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public report 9-9-26\new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STATS'!$A$1:$M$78</definedName>
    <definedName name="_xlnm.Print_Area" localSheetId="4">'SLOT STATS'!$A$1:$I$79</definedName>
    <definedName name="_xlnm.Print_Area" localSheetId="2">'TABLE STATS'!$A$1:$H$78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977461" fullCalcOnLoad="1" iterate="1" iterateCount="1" iterateDelta="0"/>
</workbook>
</file>

<file path=xl/calcChain.xml><?xml version="1.0" encoding="utf-8"?>
<calcChain xmlns="http://schemas.openxmlformats.org/spreadsheetml/2006/main">
  <c r="E77" i="4" l="1"/>
  <c r="C77" i="4"/>
  <c r="D77" i="4"/>
  <c r="G71" i="4"/>
  <c r="H71" i="4"/>
  <c r="F71" i="4"/>
  <c r="G66" i="4"/>
  <c r="H66" i="4"/>
  <c r="F66" i="4"/>
  <c r="G61" i="4"/>
  <c r="H61" i="4"/>
  <c r="F61" i="4"/>
  <c r="H56" i="4"/>
  <c r="G56" i="4"/>
  <c r="F56" i="4"/>
  <c r="G51" i="4"/>
  <c r="H51" i="4"/>
  <c r="F51" i="4"/>
  <c r="G46" i="4"/>
  <c r="H46" i="4"/>
  <c r="F46" i="4"/>
  <c r="G41" i="4"/>
  <c r="H41" i="4"/>
  <c r="F41" i="4"/>
  <c r="H36" i="4"/>
  <c r="G36" i="4"/>
  <c r="F36" i="4"/>
  <c r="G31" i="4"/>
  <c r="H31" i="4"/>
  <c r="F31" i="4"/>
  <c r="G26" i="4"/>
  <c r="H26" i="4"/>
  <c r="F26" i="4"/>
  <c r="G21" i="4"/>
  <c r="H21" i="4"/>
  <c r="F21" i="4"/>
  <c r="G16" i="4"/>
  <c r="H16" i="4"/>
  <c r="F16" i="4"/>
  <c r="G11" i="4"/>
  <c r="H11" i="4"/>
  <c r="F11" i="4"/>
  <c r="B71" i="4"/>
  <c r="B66" i="4"/>
  <c r="B61" i="4"/>
  <c r="B56" i="4"/>
  <c r="B51" i="4"/>
  <c r="B46" i="4"/>
  <c r="B41" i="4"/>
  <c r="B36" i="4"/>
  <c r="B31" i="4"/>
  <c r="B26" i="4"/>
  <c r="B21" i="4"/>
  <c r="B16" i="4"/>
  <c r="B11" i="4"/>
  <c r="E77" i="5"/>
  <c r="D77" i="5"/>
  <c r="C77" i="5"/>
  <c r="F73" i="5"/>
  <c r="F71" i="5"/>
  <c r="B71" i="5"/>
  <c r="B66" i="5"/>
  <c r="B61" i="5"/>
  <c r="B56" i="5"/>
  <c r="B51" i="5"/>
  <c r="B46" i="5"/>
  <c r="B41" i="5"/>
  <c r="B36" i="5"/>
  <c r="B31" i="5"/>
  <c r="B26" i="5"/>
  <c r="B21" i="5"/>
  <c r="B16" i="5"/>
  <c r="B11" i="5"/>
  <c r="E76" i="3"/>
  <c r="D76" i="3"/>
  <c r="C76" i="3"/>
  <c r="G70" i="3"/>
  <c r="F70" i="3"/>
  <c r="G65" i="3"/>
  <c r="F65" i="3"/>
  <c r="G55" i="3"/>
  <c r="F55" i="3"/>
  <c r="G50" i="3"/>
  <c r="F50" i="3"/>
  <c r="G45" i="3"/>
  <c r="F45" i="3"/>
  <c r="G40" i="3"/>
  <c r="F40" i="3"/>
  <c r="G35" i="3"/>
  <c r="F35" i="3"/>
  <c r="G30" i="3"/>
  <c r="F30" i="3"/>
  <c r="G25" i="3"/>
  <c r="F25" i="3"/>
  <c r="G20" i="3"/>
  <c r="F20" i="3"/>
  <c r="G15" i="3"/>
  <c r="F15" i="3"/>
  <c r="G10" i="3"/>
  <c r="F10" i="3"/>
  <c r="B70" i="3"/>
  <c r="B65" i="3"/>
  <c r="B60" i="3"/>
  <c r="B55" i="3"/>
  <c r="B50" i="3"/>
  <c r="B45" i="3"/>
  <c r="B40" i="3"/>
  <c r="B35" i="3"/>
  <c r="B30" i="3"/>
  <c r="B25" i="3"/>
  <c r="B20" i="3"/>
  <c r="B15" i="3"/>
  <c r="B10" i="3"/>
  <c r="N32" i="2"/>
  <c r="N44" i="2"/>
  <c r="M32" i="2"/>
  <c r="M44" i="2"/>
  <c r="L32" i="2"/>
  <c r="K32" i="2"/>
  <c r="J32" i="2"/>
  <c r="I32" i="2"/>
  <c r="H32" i="2"/>
  <c r="G32" i="2"/>
  <c r="F32" i="2"/>
  <c r="E32" i="2"/>
  <c r="D32" i="2"/>
  <c r="C32" i="2"/>
  <c r="B32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32" i="2"/>
  <c r="A11" i="2"/>
  <c r="F64" i="1"/>
  <c r="L76" i="1"/>
  <c r="K76" i="1"/>
  <c r="G76" i="1"/>
  <c r="F76" i="1"/>
  <c r="D76" i="1"/>
  <c r="C76" i="1"/>
  <c r="E76" i="1"/>
  <c r="M70" i="1"/>
  <c r="J70" i="1"/>
  <c r="I70" i="1"/>
  <c r="H70" i="1"/>
  <c r="E70" i="1"/>
  <c r="G70" i="1"/>
  <c r="F70" i="1"/>
  <c r="M65" i="1"/>
  <c r="J65" i="1"/>
  <c r="I65" i="1"/>
  <c r="H65" i="1"/>
  <c r="E65" i="1"/>
  <c r="G65" i="1"/>
  <c r="F65" i="1"/>
  <c r="M60" i="1"/>
  <c r="J60" i="1"/>
  <c r="I60" i="1"/>
  <c r="H60" i="1"/>
  <c r="E60" i="1"/>
  <c r="G60" i="1"/>
  <c r="F60" i="1"/>
  <c r="M55" i="1"/>
  <c r="J55" i="1"/>
  <c r="I55" i="1"/>
  <c r="H55" i="1"/>
  <c r="E55" i="1"/>
  <c r="G55" i="1"/>
  <c r="F55" i="1"/>
  <c r="M50" i="1"/>
  <c r="J50" i="1"/>
  <c r="I50" i="1"/>
  <c r="H50" i="1"/>
  <c r="E50" i="1"/>
  <c r="G50" i="1"/>
  <c r="F50" i="1"/>
  <c r="M45" i="1"/>
  <c r="J45" i="1"/>
  <c r="I45" i="1"/>
  <c r="H45" i="1"/>
  <c r="E45" i="1"/>
  <c r="G45" i="1"/>
  <c r="F45" i="1"/>
  <c r="M40" i="1"/>
  <c r="J40" i="1"/>
  <c r="I40" i="1"/>
  <c r="H40" i="1"/>
  <c r="E40" i="1"/>
  <c r="G40" i="1"/>
  <c r="F40" i="1"/>
  <c r="M35" i="1"/>
  <c r="J35" i="1"/>
  <c r="I35" i="1"/>
  <c r="H35" i="1"/>
  <c r="E35" i="1"/>
  <c r="G35" i="1"/>
  <c r="F35" i="1"/>
  <c r="M30" i="1"/>
  <c r="J30" i="1"/>
  <c r="I30" i="1"/>
  <c r="H30" i="1"/>
  <c r="E30" i="1"/>
  <c r="G30" i="1"/>
  <c r="F30" i="1"/>
  <c r="M25" i="1"/>
  <c r="J25" i="1"/>
  <c r="I25" i="1"/>
  <c r="H25" i="1"/>
  <c r="E25" i="1"/>
  <c r="G25" i="1"/>
  <c r="F25" i="1"/>
  <c r="M20" i="1"/>
  <c r="J20" i="1"/>
  <c r="I20" i="1"/>
  <c r="H20" i="1"/>
  <c r="E20" i="1"/>
  <c r="G20" i="1"/>
  <c r="F20" i="1"/>
  <c r="M15" i="1"/>
  <c r="J15" i="1"/>
  <c r="I15" i="1"/>
  <c r="H15" i="1"/>
  <c r="E15" i="1"/>
  <c r="G15" i="1"/>
  <c r="F15" i="1"/>
  <c r="M10" i="1"/>
  <c r="J10" i="1"/>
  <c r="I10" i="1"/>
  <c r="H10" i="1"/>
  <c r="E10" i="1"/>
  <c r="G10" i="1"/>
  <c r="F10" i="1"/>
  <c r="B70" i="1"/>
  <c r="B65" i="1"/>
  <c r="B60" i="1"/>
  <c r="B55" i="1"/>
  <c r="B50" i="1"/>
  <c r="B45" i="1"/>
  <c r="B40" i="1"/>
  <c r="B35" i="1"/>
  <c r="B30" i="1"/>
  <c r="B25" i="1"/>
  <c r="B20" i="1"/>
  <c r="B15" i="1"/>
  <c r="B10" i="1"/>
  <c r="G69" i="1"/>
  <c r="G72" i="1"/>
  <c r="F69" i="1"/>
  <c r="J69" i="1"/>
  <c r="G64" i="1"/>
  <c r="G67" i="1"/>
  <c r="G59" i="1"/>
  <c r="G62" i="1"/>
  <c r="F59" i="1"/>
  <c r="G54" i="1"/>
  <c r="G57" i="1"/>
  <c r="F54" i="1"/>
  <c r="F57" i="1"/>
  <c r="G49" i="1"/>
  <c r="G52" i="1"/>
  <c r="F49" i="1"/>
  <c r="F52" i="1"/>
  <c r="G44" i="1"/>
  <c r="G47" i="1"/>
  <c r="F44" i="1"/>
  <c r="G39" i="1"/>
  <c r="F39" i="1"/>
  <c r="F42" i="1"/>
  <c r="G34" i="1"/>
  <c r="F34" i="1"/>
  <c r="F37" i="1"/>
  <c r="G29" i="1"/>
  <c r="F29" i="1"/>
  <c r="J29" i="1"/>
  <c r="G24" i="1"/>
  <c r="G27" i="1"/>
  <c r="F24" i="1"/>
  <c r="F27" i="1"/>
  <c r="G19" i="1"/>
  <c r="G22" i="1"/>
  <c r="F19" i="1"/>
  <c r="G14" i="1"/>
  <c r="G17" i="1"/>
  <c r="F14" i="1"/>
  <c r="J14" i="1"/>
  <c r="G9" i="1"/>
  <c r="F9" i="1"/>
  <c r="F70" i="5"/>
  <c r="B70" i="4"/>
  <c r="B65" i="4"/>
  <c r="B60" i="4"/>
  <c r="B55" i="4"/>
  <c r="B50" i="4"/>
  <c r="B45" i="4"/>
  <c r="B40" i="4"/>
  <c r="B35" i="4"/>
  <c r="B30" i="4"/>
  <c r="B25" i="4"/>
  <c r="B20" i="4"/>
  <c r="B15" i="4"/>
  <c r="B10" i="4"/>
  <c r="B70" i="5"/>
  <c r="B65" i="5"/>
  <c r="B60" i="5"/>
  <c r="B55" i="5"/>
  <c r="B50" i="5"/>
  <c r="B45" i="5"/>
  <c r="B40" i="5"/>
  <c r="B35" i="5"/>
  <c r="B30" i="5"/>
  <c r="B25" i="5"/>
  <c r="B20" i="5"/>
  <c r="B15" i="5"/>
  <c r="B10" i="5"/>
  <c r="B69" i="3"/>
  <c r="B64" i="3"/>
  <c r="B59" i="3"/>
  <c r="B54" i="3"/>
  <c r="B49" i="3"/>
  <c r="B44" i="3"/>
  <c r="B39" i="3"/>
  <c r="B34" i="3"/>
  <c r="B29" i="3"/>
  <c r="B24" i="3"/>
  <c r="B19" i="3"/>
  <c r="B14" i="3"/>
  <c r="B9" i="3"/>
  <c r="A31" i="2"/>
  <c r="A10" i="2"/>
  <c r="B69" i="1"/>
  <c r="B64" i="1"/>
  <c r="B59" i="1"/>
  <c r="B54" i="1"/>
  <c r="B49" i="1"/>
  <c r="B44" i="1"/>
  <c r="B39" i="1"/>
  <c r="B34" i="1"/>
  <c r="B29" i="1"/>
  <c r="B24" i="1"/>
  <c r="B19" i="1"/>
  <c r="B14" i="1"/>
  <c r="B9" i="1"/>
  <c r="G70" i="5"/>
  <c r="H70" i="5"/>
  <c r="E64" i="1"/>
  <c r="G37" i="1"/>
  <c r="B10" i="2"/>
  <c r="E73" i="5"/>
  <c r="D73" i="5"/>
  <c r="C73" i="5"/>
  <c r="E68" i="5"/>
  <c r="D68" i="5"/>
  <c r="C68" i="5"/>
  <c r="E63" i="5"/>
  <c r="D63" i="5"/>
  <c r="C63" i="5"/>
  <c r="E58" i="5"/>
  <c r="D58" i="5"/>
  <c r="C58" i="5"/>
  <c r="E53" i="5"/>
  <c r="D53" i="5"/>
  <c r="C53" i="5"/>
  <c r="E48" i="5"/>
  <c r="D48" i="5"/>
  <c r="C48" i="5"/>
  <c r="E43" i="5"/>
  <c r="D43" i="5"/>
  <c r="C43" i="5"/>
  <c r="E38" i="5"/>
  <c r="D38" i="5"/>
  <c r="C38" i="5"/>
  <c r="E33" i="5"/>
  <c r="D33" i="5"/>
  <c r="C33" i="5"/>
  <c r="E28" i="5"/>
  <c r="D28" i="5"/>
  <c r="C28" i="5"/>
  <c r="E23" i="5"/>
  <c r="D23" i="5"/>
  <c r="C23" i="5"/>
  <c r="E18" i="5"/>
  <c r="D18" i="5"/>
  <c r="C18" i="5"/>
  <c r="E13" i="5"/>
  <c r="D13" i="5"/>
  <c r="C13" i="5"/>
  <c r="L27" i="1"/>
  <c r="F35" i="4"/>
  <c r="F34" i="3"/>
  <c r="M34" i="1"/>
  <c r="E34" i="1"/>
  <c r="F70" i="4"/>
  <c r="F69" i="3"/>
  <c r="G31" i="2"/>
  <c r="G44" i="2"/>
  <c r="G10" i="2"/>
  <c r="M69" i="1"/>
  <c r="E69" i="1"/>
  <c r="E38" i="4"/>
  <c r="D38" i="4"/>
  <c r="C38" i="4"/>
  <c r="G35" i="4"/>
  <c r="H35" i="4"/>
  <c r="E37" i="3"/>
  <c r="D37" i="3"/>
  <c r="C37" i="3"/>
  <c r="G37" i="3"/>
  <c r="G34" i="3"/>
  <c r="L37" i="1"/>
  <c r="D37" i="1"/>
  <c r="C37" i="1"/>
  <c r="I34" i="1"/>
  <c r="G70" i="4"/>
  <c r="H70" i="4"/>
  <c r="G69" i="3"/>
  <c r="I69" i="1"/>
  <c r="D12" i="1"/>
  <c r="D17" i="1"/>
  <c r="D22" i="1"/>
  <c r="D27" i="1"/>
  <c r="D32" i="1"/>
  <c r="D42" i="1"/>
  <c r="D47" i="1"/>
  <c r="D52" i="1"/>
  <c r="D57" i="1"/>
  <c r="D62" i="1"/>
  <c r="D67" i="1"/>
  <c r="D72" i="1"/>
  <c r="C72" i="1"/>
  <c r="E72" i="1"/>
  <c r="C73" i="4"/>
  <c r="D73" i="4"/>
  <c r="C72" i="3"/>
  <c r="D72" i="3"/>
  <c r="E13" i="4"/>
  <c r="E18" i="4"/>
  <c r="E23" i="4"/>
  <c r="E28" i="4"/>
  <c r="E33" i="4"/>
  <c r="E43" i="4"/>
  <c r="E48" i="4"/>
  <c r="E53" i="4"/>
  <c r="E58" i="4"/>
  <c r="E63" i="4"/>
  <c r="E68" i="4"/>
  <c r="E73" i="4"/>
  <c r="D13" i="4"/>
  <c r="D18" i="4"/>
  <c r="D23" i="4"/>
  <c r="D28" i="4"/>
  <c r="D33" i="4"/>
  <c r="D43" i="4"/>
  <c r="D48" i="4"/>
  <c r="D53" i="4"/>
  <c r="D58" i="4"/>
  <c r="D63" i="4"/>
  <c r="D68" i="4"/>
  <c r="C13" i="4"/>
  <c r="C18" i="4"/>
  <c r="C23" i="4"/>
  <c r="G23" i="4"/>
  <c r="H23" i="4"/>
  <c r="C28" i="4"/>
  <c r="C33" i="4"/>
  <c r="C43" i="4"/>
  <c r="C48" i="4"/>
  <c r="C53" i="4"/>
  <c r="C58" i="4"/>
  <c r="C63" i="4"/>
  <c r="C68" i="4"/>
  <c r="F55" i="4"/>
  <c r="E12" i="3"/>
  <c r="E17" i="3"/>
  <c r="E22" i="3"/>
  <c r="E27" i="3"/>
  <c r="E32" i="3"/>
  <c r="E42" i="3"/>
  <c r="E47" i="3"/>
  <c r="E52" i="3"/>
  <c r="E57" i="3"/>
  <c r="E62" i="3"/>
  <c r="E67" i="3"/>
  <c r="E72" i="3"/>
  <c r="D12" i="3"/>
  <c r="D17" i="3"/>
  <c r="D22" i="3"/>
  <c r="D27" i="3"/>
  <c r="D32" i="3"/>
  <c r="D42" i="3"/>
  <c r="D47" i="3"/>
  <c r="F47" i="3"/>
  <c r="D52" i="3"/>
  <c r="D57" i="3"/>
  <c r="D62" i="3"/>
  <c r="D67" i="3"/>
  <c r="G67" i="3"/>
  <c r="C12" i="3"/>
  <c r="C17" i="3"/>
  <c r="C22" i="3"/>
  <c r="C27" i="3"/>
  <c r="G27" i="3"/>
  <c r="C32" i="3"/>
  <c r="C42" i="3"/>
  <c r="C47" i="3"/>
  <c r="C52" i="3"/>
  <c r="C57" i="3"/>
  <c r="C62" i="3"/>
  <c r="C67" i="3"/>
  <c r="F54" i="3"/>
  <c r="M54" i="1"/>
  <c r="E54" i="1"/>
  <c r="L12" i="1"/>
  <c r="L17" i="1"/>
  <c r="L22" i="1"/>
  <c r="L32" i="1"/>
  <c r="L42" i="1"/>
  <c r="L47" i="1"/>
  <c r="L52" i="1"/>
  <c r="L57" i="1"/>
  <c r="L62" i="1"/>
  <c r="L67" i="1"/>
  <c r="K12" i="1"/>
  <c r="K17" i="1"/>
  <c r="C12" i="1"/>
  <c r="C17" i="1"/>
  <c r="C22" i="1"/>
  <c r="C27" i="1"/>
  <c r="C32" i="1"/>
  <c r="C42" i="1"/>
  <c r="C47" i="1"/>
  <c r="C52" i="1"/>
  <c r="C57" i="1"/>
  <c r="C62" i="1"/>
  <c r="C67" i="1"/>
  <c r="E59" i="1"/>
  <c r="I59" i="1"/>
  <c r="M59" i="1"/>
  <c r="K57" i="1"/>
  <c r="F65" i="4"/>
  <c r="K31" i="2"/>
  <c r="K10" i="2"/>
  <c r="K27" i="1"/>
  <c r="K32" i="1"/>
  <c r="K42" i="1"/>
  <c r="K47" i="1"/>
  <c r="K52" i="1"/>
  <c r="K67" i="1"/>
  <c r="I54" i="1"/>
  <c r="G55" i="4"/>
  <c r="H55" i="4"/>
  <c r="G54" i="3"/>
  <c r="F45" i="4"/>
  <c r="F44" i="3"/>
  <c r="N31" i="2"/>
  <c r="M31" i="2"/>
  <c r="L31" i="2"/>
  <c r="J31" i="2"/>
  <c r="I31" i="2"/>
  <c r="H31" i="2"/>
  <c r="H44" i="2"/>
  <c r="F31" i="2"/>
  <c r="E31" i="2"/>
  <c r="E44" i="2"/>
  <c r="C31" i="2"/>
  <c r="C44" i="2"/>
  <c r="B31" i="2"/>
  <c r="M44" i="1"/>
  <c r="E44" i="1"/>
  <c r="I10" i="2"/>
  <c r="G45" i="4"/>
  <c r="H45" i="4"/>
  <c r="G50" i="4"/>
  <c r="H50" i="4"/>
  <c r="F50" i="4"/>
  <c r="G44" i="3"/>
  <c r="I44" i="1"/>
  <c r="F10" i="4"/>
  <c r="G10" i="4"/>
  <c r="H10" i="4"/>
  <c r="I9" i="1"/>
  <c r="I14" i="1"/>
  <c r="I24" i="1"/>
  <c r="I29" i="1"/>
  <c r="I39" i="1"/>
  <c r="I49" i="1"/>
  <c r="I64" i="1"/>
  <c r="E9" i="1"/>
  <c r="M9" i="1"/>
  <c r="E14" i="1"/>
  <c r="M14" i="1"/>
  <c r="E19" i="1"/>
  <c r="E24" i="1"/>
  <c r="M24" i="1"/>
  <c r="E29" i="1"/>
  <c r="M29" i="1"/>
  <c r="E39" i="1"/>
  <c r="M39" i="1"/>
  <c r="E49" i="1"/>
  <c r="M49" i="1"/>
  <c r="M64" i="1"/>
  <c r="F15" i="4"/>
  <c r="G15" i="4"/>
  <c r="H15" i="4"/>
  <c r="F20" i="4"/>
  <c r="G20" i="4"/>
  <c r="H20" i="4"/>
  <c r="F25" i="4"/>
  <c r="G25" i="4"/>
  <c r="H25" i="4"/>
  <c r="F30" i="4"/>
  <c r="G30" i="4"/>
  <c r="H30" i="4"/>
  <c r="F40" i="4"/>
  <c r="G40" i="4"/>
  <c r="H40" i="4"/>
  <c r="F60" i="4"/>
  <c r="G60" i="4"/>
  <c r="H60" i="4"/>
  <c r="G65" i="4"/>
  <c r="H65" i="4"/>
  <c r="F9" i="3"/>
  <c r="F14" i="3"/>
  <c r="G14" i="3"/>
  <c r="F19" i="3"/>
  <c r="G19" i="3"/>
  <c r="F24" i="3"/>
  <c r="G24" i="3"/>
  <c r="F29" i="3"/>
  <c r="G29" i="3"/>
  <c r="F39" i="3"/>
  <c r="G39" i="3"/>
  <c r="F49" i="3"/>
  <c r="G49" i="3"/>
  <c r="F64" i="3"/>
  <c r="G64" i="3"/>
  <c r="G9" i="3"/>
  <c r="C10" i="2"/>
  <c r="D10" i="2"/>
  <c r="E10" i="2"/>
  <c r="F10" i="2"/>
  <c r="H10" i="2"/>
  <c r="J10" i="2"/>
  <c r="L10" i="2"/>
  <c r="M10" i="2"/>
  <c r="N10" i="2"/>
  <c r="I19" i="1"/>
  <c r="M19" i="1"/>
  <c r="K22" i="1"/>
  <c r="D31" i="2"/>
  <c r="D44" i="2"/>
  <c r="L72" i="1"/>
  <c r="K72" i="1"/>
  <c r="K37" i="1"/>
  <c r="K62" i="1"/>
  <c r="J59" i="1"/>
  <c r="F62" i="1"/>
  <c r="G38" i="4"/>
  <c r="H38" i="4"/>
  <c r="G43" i="4"/>
  <c r="H43" i="4"/>
  <c r="F73" i="4"/>
  <c r="G73" i="4"/>
  <c r="H73" i="4"/>
  <c r="F58" i="4"/>
  <c r="F28" i="4"/>
  <c r="G13" i="4"/>
  <c r="H13" i="4"/>
  <c r="F68" i="4"/>
  <c r="F63" i="4"/>
  <c r="G58" i="4"/>
  <c r="H58" i="4"/>
  <c r="F33" i="4"/>
  <c r="G28" i="4"/>
  <c r="H28" i="4"/>
  <c r="F18" i="4"/>
  <c r="G77" i="4"/>
  <c r="H77" i="4"/>
  <c r="G53" i="4"/>
  <c r="H53" i="4"/>
  <c r="E75" i="4"/>
  <c r="F48" i="4"/>
  <c r="F43" i="4"/>
  <c r="F23" i="4"/>
  <c r="F13" i="4"/>
  <c r="G68" i="4"/>
  <c r="H68" i="4"/>
  <c r="G18" i="4"/>
  <c r="H18" i="4"/>
  <c r="G48" i="4"/>
  <c r="H48" i="4"/>
  <c r="C75" i="4"/>
  <c r="G63" i="4"/>
  <c r="H63" i="4"/>
  <c r="F77" i="4"/>
  <c r="F53" i="4"/>
  <c r="G33" i="4"/>
  <c r="H33" i="4"/>
  <c r="D75" i="4"/>
  <c r="F38" i="4"/>
  <c r="F77" i="5"/>
  <c r="G73" i="5"/>
  <c r="H73" i="5"/>
  <c r="E75" i="5"/>
  <c r="C75" i="5"/>
  <c r="D75" i="5"/>
  <c r="F76" i="3"/>
  <c r="F72" i="3"/>
  <c r="F37" i="3"/>
  <c r="G52" i="3"/>
  <c r="G57" i="3"/>
  <c r="G72" i="3"/>
  <c r="G32" i="3"/>
  <c r="F12" i="3"/>
  <c r="F52" i="3"/>
  <c r="G42" i="3"/>
  <c r="G47" i="3"/>
  <c r="F22" i="3"/>
  <c r="F17" i="3"/>
  <c r="D74" i="3"/>
  <c r="G76" i="3"/>
  <c r="E74" i="3"/>
  <c r="C74" i="3"/>
  <c r="G12" i="3"/>
  <c r="F67" i="3"/>
  <c r="F32" i="3"/>
  <c r="F27" i="3"/>
  <c r="F42" i="3"/>
  <c r="F57" i="3"/>
  <c r="G17" i="3"/>
  <c r="G22" i="3"/>
  <c r="K44" i="2"/>
  <c r="J44" i="2"/>
  <c r="I44" i="2"/>
  <c r="F44" i="2"/>
  <c r="O32" i="2"/>
  <c r="L44" i="2"/>
  <c r="J23" i="2"/>
  <c r="H23" i="2"/>
  <c r="G23" i="2"/>
  <c r="O11" i="2"/>
  <c r="D23" i="2"/>
  <c r="C23" i="2"/>
  <c r="B23" i="2"/>
  <c r="N23" i="2"/>
  <c r="M23" i="2"/>
  <c r="L23" i="2"/>
  <c r="F23" i="2"/>
  <c r="K23" i="2"/>
  <c r="E23" i="2"/>
  <c r="I23" i="2"/>
  <c r="F67" i="1"/>
  <c r="G32" i="1"/>
  <c r="F22" i="1"/>
  <c r="H22" i="1"/>
  <c r="E37" i="1"/>
  <c r="J67" i="1"/>
  <c r="M22" i="1"/>
  <c r="I42" i="1"/>
  <c r="F72" i="1"/>
  <c r="H72" i="1"/>
  <c r="M17" i="1"/>
  <c r="I67" i="1"/>
  <c r="H34" i="1"/>
  <c r="E52" i="1"/>
  <c r="H64" i="1"/>
  <c r="J34" i="1"/>
  <c r="J64" i="1"/>
  <c r="M76" i="1"/>
  <c r="H44" i="1"/>
  <c r="E57" i="1"/>
  <c r="M37" i="1"/>
  <c r="E27" i="1"/>
  <c r="E17" i="1"/>
  <c r="J37" i="1"/>
  <c r="H24" i="1"/>
  <c r="J39" i="1"/>
  <c r="F32" i="1"/>
  <c r="J32" i="1"/>
  <c r="H67" i="1"/>
  <c r="E12" i="1"/>
  <c r="H52" i="1"/>
  <c r="I72" i="1"/>
  <c r="J49" i="1"/>
  <c r="M72" i="1"/>
  <c r="J54" i="1"/>
  <c r="H54" i="1"/>
  <c r="H59" i="1"/>
  <c r="M42" i="1"/>
  <c r="E62" i="1"/>
  <c r="E47" i="1"/>
  <c r="H62" i="1"/>
  <c r="H57" i="1"/>
  <c r="M27" i="1"/>
  <c r="I32" i="1"/>
  <c r="M32" i="1"/>
  <c r="I47" i="1"/>
  <c r="L74" i="1"/>
  <c r="E42" i="1"/>
  <c r="I57" i="1"/>
  <c r="E32" i="1"/>
  <c r="H37" i="1"/>
  <c r="J57" i="1"/>
  <c r="I17" i="1"/>
  <c r="J19" i="1"/>
  <c r="H29" i="1"/>
  <c r="E67" i="1"/>
  <c r="H9" i="1"/>
  <c r="D74" i="1"/>
  <c r="I22" i="1"/>
  <c r="E22" i="1"/>
  <c r="K74" i="1"/>
  <c r="F12" i="1"/>
  <c r="J12" i="1"/>
  <c r="M52" i="1"/>
  <c r="J52" i="1"/>
  <c r="I52" i="1"/>
  <c r="M62" i="1"/>
  <c r="J62" i="1"/>
  <c r="G42" i="1"/>
  <c r="H42" i="1"/>
  <c r="H39" i="1"/>
  <c r="I37" i="1"/>
  <c r="G12" i="1"/>
  <c r="J27" i="1"/>
  <c r="H27" i="1"/>
  <c r="I62" i="1"/>
  <c r="J44" i="1"/>
  <c r="F47" i="1"/>
  <c r="H47" i="1"/>
  <c r="J9" i="1"/>
  <c r="M47" i="1"/>
  <c r="O31" i="2"/>
  <c r="F17" i="1"/>
  <c r="H49" i="1"/>
  <c r="B44" i="2"/>
  <c r="C74" i="1"/>
  <c r="I12" i="1"/>
  <c r="M12" i="1"/>
  <c r="J24" i="1"/>
  <c r="J42" i="1"/>
  <c r="I27" i="1"/>
  <c r="O10" i="2"/>
  <c r="M67" i="1"/>
  <c r="M57" i="1"/>
  <c r="I76" i="1"/>
  <c r="H69" i="1"/>
  <c r="H19" i="1"/>
  <c r="H14" i="1"/>
  <c r="G75" i="4"/>
  <c r="H75" i="4"/>
  <c r="F75" i="4"/>
  <c r="F75" i="5"/>
  <c r="G75" i="5"/>
  <c r="H75" i="5"/>
  <c r="G74" i="3"/>
  <c r="F74" i="3"/>
  <c r="O44" i="2"/>
  <c r="O23" i="2"/>
  <c r="H32" i="1"/>
  <c r="E74" i="1"/>
  <c r="J22" i="1"/>
  <c r="J72" i="1"/>
  <c r="G74" i="1"/>
  <c r="J47" i="1"/>
  <c r="H12" i="1"/>
  <c r="I74" i="1"/>
  <c r="M74" i="1"/>
  <c r="H17" i="1"/>
  <c r="J17" i="1"/>
  <c r="F74" i="1"/>
  <c r="H76" i="1"/>
  <c r="J76" i="1"/>
  <c r="H74" i="1"/>
  <c r="J74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<sst xmlns="http://schemas.openxmlformats.org/spreadsheetml/2006/main" count="241" uniqueCount="79">
  <si>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</si>
  <si>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</si>
  <si>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</si>
  <si>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</si>
  <si>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</si>
  <si>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</si>
  <si>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</si>
  <si>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</si>
  <si>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</si>
  <si>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</si>
  <si>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</si>
  <si>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</si>
  <si>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</si>
  <si>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</si>
  <si>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</si>
  <si>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</si>
  <si>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</si>
  <si>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</si>
  <si>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</si>
  <si>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</si>
  <si>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</si>
  <si>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</si>
  <si>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</si>
  <si>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</si>
  <si>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</si>
  <si>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</si>
  <si>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</si>
  <si>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</si>
  <si>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</si>
  <si>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</si>
  <si>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</si>
  <si>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</si>
  <si>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</si>
  <si>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</si>
  <si>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</si>
  <si>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</si>
  <si>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</si>
  <si>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</si>
  <si>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</si>
  <si>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</si>
  <si>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</si>
  <si>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</si>
  <si>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</si>
  <si>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</si>
  <si>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</si>
  <si>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</si>
  <si>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</si>
  <si>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</si>
  <si>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</si>
  <si>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</si>
  <si>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</si>
  <si>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</si>
  <si>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</si>
  <si>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</si>
  <si>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</si>
  <si>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</si>
  <si>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</si>
  <si>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</si>
  <si>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</si>
  <si>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</si>
  <si>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</si>
  <si>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</si>
  <si>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</si>
  <si>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</si>
  <si>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</si>
  <si>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</si>
  <si>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</si>
  <si>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</si>
  <si>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</si>
  <si>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</si>
  <si>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</si>
  <si>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2027 YTD ADMISSIONS, PATRONS AND AGR SUMMARY </t>
  </si>
  <si>
    <t>MONTH ENDED:  AUGUST 31, 2026</t>
  </si>
  <si>
    <t>(as reported on the tax remittal database dtd 9/9/26)</t>
  </si>
  <si>
    <t>FOR THE MONTH ENDED:   AUGUST 31, 2026</t>
  </si>
  <si>
    <t>THRU MONTH ENDED:   AUGUST 31, 2026</t>
  </si>
  <si>
    <t>(as reported on the tax remittal database as of 9/9/26)</t>
  </si>
  <si>
    <t>THRU MONTH ENDED:    AUGUST 31, 2026</t>
  </si>
  <si>
    <t>THRU MONTH ENDED:    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</si>
</sst>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348"/>
  <sheetViews>
    <sheetView tabSelected="1"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DATE(2026,7,1)</f>
        <v>46204</v>
      </c>
      <c r="C9" s="21">
        <v>189126</v>
      </c>
      <c r="D9" s="21">
        <v>180280</v>
      </c>
      <c r="E9" s="22">
        <f>(+C9-D9)/D9</f>
        <v>4.9068116263589971E-2</v>
      </c>
      <c r="F9" s="21">
        <f>+C9-89676</f>
        <v>99450</v>
      </c>
      <c r="G9" s="21">
        <f>+D9-86141</f>
        <v>94139</v>
      </c>
      <c r="H9" s="22">
        <f>(+F9-G9)/G9</f>
        <v>5.6416575489435836E-2</v>
      </c>
      <c r="I9" s="23">
        <f>K9/C9</f>
        <v>76.804510220699427</v>
      </c>
      <c r="J9" s="23">
        <f>K9/F9</f>
        <v>146.06063147310206</v>
      </c>
      <c r="K9" s="21">
        <v>14525729.800000001</v>
      </c>
      <c r="L9" s="21">
        <v>13660297.02</v>
      </c>
      <c r="M9" s="24">
        <f>(+K9-L9)/L9</f>
        <v>6.335387720581212E-2</v>
      </c>
      <c r="N9" s="10"/>
      <c r="R9" s="2"/>
    </row>
    <row r="10" spans="1:18" ht="15.75" x14ac:dyDescent="0.25">
      <c r="A10" s="19"/>
      <c r="B10" s="20">
        <f>DATE(2026,8,1)</f>
        <v>46235</v>
      </c>
      <c r="C10" s="21">
        <v>189063</v>
      </c>
      <c r="D10" s="21">
        <v>189582</v>
      </c>
      <c r="E10" s="22">
        <f>(+C10-D10)/D10</f>
        <v>-2.7376016710447195E-3</v>
      </c>
      <c r="F10" s="21">
        <f>+C10-91174</f>
        <v>97889</v>
      </c>
      <c r="G10" s="21">
        <f>+D10-90399</f>
        <v>99183</v>
      </c>
      <c r="H10" s="22">
        <f>(+F10-G10)/G10</f>
        <v>-1.3046590645574343E-2</v>
      </c>
      <c r="I10" s="23">
        <f>K10/C10</f>
        <v>75.822771774487862</v>
      </c>
      <c r="J10" s="23">
        <f>K10/F10</f>
        <v>146.44424501220769</v>
      </c>
      <c r="K10" s="21">
        <v>14335280.699999999</v>
      </c>
      <c r="L10" s="21">
        <v>14809224.57</v>
      </c>
      <c r="M10" s="24">
        <f>(+K10-L10)/L10</f>
        <v>-3.2003287394270434E-2</v>
      </c>
      <c r="N10" s="10"/>
      <c r="R10" s="2"/>
    </row>
    <row r="11" spans="1:18" ht="15.75" customHeight="1" thickBot="1" x14ac:dyDescent="0.3">
      <c r="A11" s="19"/>
      <c r="B11" s="20"/>
      <c r="C11" s="21"/>
      <c r="D11" s="21"/>
      <c r="E11" s="22"/>
      <c r="F11" s="21"/>
      <c r="G11" s="21"/>
      <c r="H11" s="22"/>
      <c r="I11" s="23"/>
      <c r="J11" s="23"/>
      <c r="K11" s="21"/>
      <c r="L11" s="21"/>
      <c r="M11" s="24"/>
      <c r="N11" s="10"/>
      <c r="R11" s="2"/>
    </row>
    <row r="12" spans="1:18" ht="17.25" thickTop="1" thickBot="1" x14ac:dyDescent="0.3">
      <c r="A12" s="25" t="s">
        <v>14</v>
      </c>
      <c r="B12" s="26"/>
      <c r="C12" s="27">
        <f>SUM(C9:C11)</f>
        <v>378189</v>
      </c>
      <c r="D12" s="27">
        <f>SUM(D9:D11)</f>
        <v>369862</v>
      </c>
      <c r="E12" s="278">
        <f>(+C12-D12)/D12</f>
        <v>2.251380244523633E-2</v>
      </c>
      <c r="F12" s="27">
        <f>SUM(F9:F11)</f>
        <v>197339</v>
      </c>
      <c r="G12" s="27">
        <f>SUM(G9:G11)</f>
        <v>193322</v>
      </c>
      <c r="H12" s="29">
        <f>(+F12-G12)/G12</f>
        <v>2.0778804274733345E-2</v>
      </c>
      <c r="I12" s="30">
        <f>K12/C12</f>
        <v>76.313722768245512</v>
      </c>
      <c r="J12" s="30">
        <f>K12/F12</f>
        <v>146.25092100395764</v>
      </c>
      <c r="K12" s="27">
        <f>SUM(K9:K11)</f>
        <v>28861010.5</v>
      </c>
      <c r="L12" s="27">
        <f>SUM(L9:L11)</f>
        <v>28469521.59</v>
      </c>
      <c r="M12" s="31">
        <f>(+K12-L12)/L12</f>
        <v>1.3751158717662181E-2</v>
      </c>
      <c r="N12" s="10"/>
      <c r="R12" s="2"/>
    </row>
    <row r="13" spans="1:18" ht="15.75" customHeight="1" thickTop="1" x14ac:dyDescent="0.25">
      <c r="A13" s="15"/>
      <c r="B13" s="16"/>
      <c r="C13" s="16"/>
      <c r="D13" s="16"/>
      <c r="E13" s="17"/>
      <c r="F13" s="16"/>
      <c r="G13" s="16"/>
      <c r="H13" s="17"/>
      <c r="I13" s="16"/>
      <c r="J13" s="16"/>
      <c r="K13" s="194"/>
      <c r="L13" s="194"/>
      <c r="M13" s="18"/>
      <c r="N13" s="10"/>
      <c r="R13" s="2"/>
    </row>
    <row r="14" spans="1:18" ht="15.75" x14ac:dyDescent="0.25">
      <c r="A14" s="19" t="s">
        <v>15</v>
      </c>
      <c r="B14" s="20">
        <f>DATE(2026,7,1)</f>
        <v>46204</v>
      </c>
      <c r="C14" s="21">
        <v>104355</v>
      </c>
      <c r="D14" s="21">
        <v>107305</v>
      </c>
      <c r="E14" s="22">
        <f>(+C14-D14)/D14</f>
        <v>-2.7491729183169469E-2</v>
      </c>
      <c r="F14" s="21">
        <f>+C14-50736</f>
        <v>53619</v>
      </c>
      <c r="G14" s="21">
        <f>+D14-51168</f>
        <v>56137</v>
      </c>
      <c r="H14" s="22">
        <f>(+F14-G14)/G14</f>
        <v>-4.4854552256087782E-2</v>
      </c>
      <c r="I14" s="23">
        <f>K14/C14</f>
        <v>80.840713238464858</v>
      </c>
      <c r="J14" s="23">
        <f>K14/F14</f>
        <v>157.33476249090808</v>
      </c>
      <c r="K14" s="21">
        <v>8436132.6300000008</v>
      </c>
      <c r="L14" s="21">
        <v>8360597.3200000003</v>
      </c>
      <c r="M14" s="24">
        <f>(+K14-L14)/L14</f>
        <v>9.0346786370522764E-3</v>
      </c>
      <c r="N14" s="10"/>
      <c r="R14" s="2"/>
    </row>
    <row r="15" spans="1:18" ht="15.75" x14ac:dyDescent="0.25">
      <c r="A15" s="19"/>
      <c r="B15" s="20">
        <f>DATE(2026,8,1)</f>
        <v>46235</v>
      </c>
      <c r="C15" s="21">
        <v>107461</v>
      </c>
      <c r="D15" s="21">
        <v>110037</v>
      </c>
      <c r="E15" s="22">
        <f>(+C15-D15)/D15</f>
        <v>-2.3410307442042221E-2</v>
      </c>
      <c r="F15" s="21">
        <f>+C15-52878</f>
        <v>54583</v>
      </c>
      <c r="G15" s="21">
        <f>+D15-52170</f>
        <v>57867</v>
      </c>
      <c r="H15" s="22">
        <f>(+F15-G15)/G15</f>
        <v>-5.6750825168057788E-2</v>
      </c>
      <c r="I15" s="23">
        <f>K15/C15</f>
        <v>78.559075943830777</v>
      </c>
      <c r="J15" s="23">
        <f>K15/F15</f>
        <v>154.66421523184874</v>
      </c>
      <c r="K15" s="21">
        <v>8442036.8599999994</v>
      </c>
      <c r="L15" s="21">
        <v>8357716.6799999997</v>
      </c>
      <c r="M15" s="24">
        <f>(+K15-L15)/L15</f>
        <v>1.0088901458191055E-2</v>
      </c>
      <c r="N15" s="10"/>
      <c r="R15" s="2"/>
    </row>
    <row r="16" spans="1:18" ht="15.75" customHeight="1" thickBot="1" x14ac:dyDescent="0.3">
      <c r="A16" s="19"/>
      <c r="B16" s="20"/>
      <c r="C16" s="21"/>
      <c r="D16" s="21"/>
      <c r="E16" s="22"/>
      <c r="F16" s="21"/>
      <c r="G16" s="21"/>
      <c r="H16" s="22"/>
      <c r="I16" s="23"/>
      <c r="J16" s="23"/>
      <c r="K16" s="21"/>
      <c r="L16" s="21"/>
      <c r="M16" s="24"/>
      <c r="N16" s="10"/>
      <c r="R16" s="2"/>
    </row>
    <row r="17" spans="1:18" ht="17.25" customHeight="1" thickTop="1" thickBot="1" x14ac:dyDescent="0.3">
      <c r="A17" s="25" t="s">
        <v>14</v>
      </c>
      <c r="B17" s="26"/>
      <c r="C17" s="27">
        <f>SUM(C14:C16)</f>
        <v>211816</v>
      </c>
      <c r="D17" s="27">
        <f>SUM(D14:D16)</f>
        <v>217342</v>
      </c>
      <c r="E17" s="278">
        <f>(+C17-D17)/D17</f>
        <v>-2.5425366473116103E-2</v>
      </c>
      <c r="F17" s="27">
        <f>SUM(F14:F16)</f>
        <v>108202</v>
      </c>
      <c r="G17" s="27">
        <f>SUM(G14:G16)</f>
        <v>114004</v>
      </c>
      <c r="H17" s="29">
        <f>(+F17-G17)/G17</f>
        <v>-5.0892951124521947E-2</v>
      </c>
      <c r="I17" s="30">
        <f>K17/C17</f>
        <v>79.683166002568271</v>
      </c>
      <c r="J17" s="30">
        <f>K17/F17</f>
        <v>155.98759255836308</v>
      </c>
      <c r="K17" s="27">
        <f>SUM(K14:K16)</f>
        <v>16878169.490000002</v>
      </c>
      <c r="L17" s="27">
        <f>SUM(L14:L16)</f>
        <v>16718314</v>
      </c>
      <c r="M17" s="31">
        <f>(+K17-L17)/L17</f>
        <v>9.561699223976896E-3</v>
      </c>
      <c r="N17" s="10"/>
      <c r="R17" s="2"/>
    </row>
    <row r="18" spans="1:18" ht="15.75" customHeight="1" thickTop="1" x14ac:dyDescent="0.25">
      <c r="A18" s="32"/>
      <c r="B18" s="33"/>
      <c r="C18" s="34"/>
      <c r="D18" s="34"/>
      <c r="E18" s="28"/>
      <c r="F18" s="34"/>
      <c r="G18" s="34"/>
      <c r="H18" s="28"/>
      <c r="I18" s="35"/>
      <c r="J18" s="35"/>
      <c r="K18" s="34"/>
      <c r="L18" s="34"/>
      <c r="M18" s="36"/>
      <c r="N18" s="10"/>
      <c r="R18" s="2"/>
    </row>
    <row r="19" spans="1:18" ht="15.75" customHeight="1" x14ac:dyDescent="0.25">
      <c r="A19" s="19" t="s">
        <v>62</v>
      </c>
      <c r="B19" s="20">
        <f>DATE(2026,7,1)</f>
        <v>46204</v>
      </c>
      <c r="C19" s="21">
        <v>76459</v>
      </c>
      <c r="D19" s="21">
        <v>72536</v>
      </c>
      <c r="E19" s="22">
        <f>(+C19-D19)/D19</f>
        <v>5.4083489577589058E-2</v>
      </c>
      <c r="F19" s="21">
        <f>+C19-42930</f>
        <v>33529</v>
      </c>
      <c r="G19" s="21">
        <f>+D19-42110</f>
        <v>30426</v>
      </c>
      <c r="H19" s="22">
        <f>(+F19-G19)/G19</f>
        <v>0.10198514428449353</v>
      </c>
      <c r="I19" s="23">
        <f>K19/C19</f>
        <v>70.230216979034523</v>
      </c>
      <c r="J19" s="23">
        <f>K19/F19</f>
        <v>160.15187330370725</v>
      </c>
      <c r="K19" s="21">
        <v>5369732.1600000001</v>
      </c>
      <c r="L19" s="21">
        <v>5102921.79</v>
      </c>
      <c r="M19" s="24">
        <f>(+K19-L19)/L19</f>
        <v>5.2285804286253838E-2</v>
      </c>
      <c r="N19" s="10"/>
      <c r="R19" s="2"/>
    </row>
    <row r="20" spans="1:18" ht="15.75" customHeight="1" x14ac:dyDescent="0.25">
      <c r="A20" s="19"/>
      <c r="B20" s="20">
        <f>DATE(2026,8,1)</f>
        <v>46235</v>
      </c>
      <c r="C20" s="21">
        <v>73307</v>
      </c>
      <c r="D20" s="21">
        <v>76450</v>
      </c>
      <c r="E20" s="22">
        <f>(+C20-D20)/D20</f>
        <v>-4.1111837802485285E-2</v>
      </c>
      <c r="F20" s="21">
        <f>+C20-41179</f>
        <v>32128</v>
      </c>
      <c r="G20" s="21">
        <f>+D20-44909</f>
        <v>31541</v>
      </c>
      <c r="H20" s="22">
        <f>(+F20-G20)/G20</f>
        <v>1.8610697187787323E-2</v>
      </c>
      <c r="I20" s="23">
        <f>K20/C20</f>
        <v>70.579765097466819</v>
      </c>
      <c r="J20" s="23">
        <f>K20/F20</f>
        <v>161.04304158366534</v>
      </c>
      <c r="K20" s="21">
        <v>5173990.84</v>
      </c>
      <c r="L20" s="21">
        <v>5368968.5099999998</v>
      </c>
      <c r="M20" s="24">
        <f>(+K20-L20)/L20</f>
        <v>-3.6315666526418114E-2</v>
      </c>
      <c r="N20" s="10"/>
      <c r="R20" s="2"/>
    </row>
    <row r="21" spans="1:18" ht="15.75" customHeight="1" thickBot="1" x14ac:dyDescent="0.25">
      <c r="A21" s="37"/>
      <c r="B21" s="20"/>
      <c r="C21" s="21"/>
      <c r="D21" s="21"/>
      <c r="E21" s="22"/>
      <c r="F21" s="21"/>
      <c r="G21" s="21"/>
      <c r="H21" s="22"/>
      <c r="I21" s="23"/>
      <c r="J21" s="23"/>
      <c r="K21" s="21"/>
      <c r="L21" s="21"/>
      <c r="M21" s="24"/>
      <c r="N21" s="10"/>
      <c r="R21" s="2"/>
    </row>
    <row r="22" spans="1:18" ht="17.25" customHeight="1" thickTop="1" thickBot="1" x14ac:dyDescent="0.3">
      <c r="A22" s="38" t="s">
        <v>14</v>
      </c>
      <c r="B22" s="39"/>
      <c r="C22" s="40">
        <f>SUM(C19:C21)</f>
        <v>149766</v>
      </c>
      <c r="D22" s="40">
        <f>SUM(D19:D21)</f>
        <v>148986</v>
      </c>
      <c r="E22" s="279">
        <f>(+C22-D22)/D22</f>
        <v>5.2353912448149494E-3</v>
      </c>
      <c r="F22" s="40">
        <f>SUM(F19:F21)</f>
        <v>65657</v>
      </c>
      <c r="G22" s="40">
        <f>SUM(G19:G21)</f>
        <v>61967</v>
      </c>
      <c r="H22" s="41">
        <f>(+F22-G22)/G22</f>
        <v>5.9547823841722206E-2</v>
      </c>
      <c r="I22" s="42">
        <f>K22/C22</f>
        <v>70.401312714501287</v>
      </c>
      <c r="J22" s="42">
        <f>K22/F22</f>
        <v>160.58794949510335</v>
      </c>
      <c r="K22" s="40">
        <f>SUM(K19:K21)</f>
        <v>10543723</v>
      </c>
      <c r="L22" s="40">
        <f>SUM(L19:L21)</f>
        <v>10471890.300000001</v>
      </c>
      <c r="M22" s="43">
        <f>(+K22-L22)/L22</f>
        <v>6.8595733857142538E-3</v>
      </c>
      <c r="N22" s="10"/>
      <c r="R22" s="2"/>
    </row>
    <row r="23" spans="1:18" ht="15.75" customHeight="1" thickTop="1" x14ac:dyDescent="0.2">
      <c r="A23" s="37"/>
      <c r="B23" s="44"/>
      <c r="C23" s="21"/>
      <c r="D23" s="21"/>
      <c r="E23" s="22"/>
      <c r="F23" s="21"/>
      <c r="G23" s="21"/>
      <c r="H23" s="22"/>
      <c r="I23" s="23"/>
      <c r="J23" s="23"/>
      <c r="K23" s="21"/>
      <c r="L23" s="21"/>
      <c r="M23" s="24"/>
      <c r="N23" s="10"/>
      <c r="R23" s="2"/>
    </row>
    <row r="24" spans="1:18" ht="15.75" customHeight="1" x14ac:dyDescent="0.25">
      <c r="A24" s="176" t="s">
        <v>58</v>
      </c>
      <c r="B24" s="20">
        <f>DATE(2026,7,1)</f>
        <v>46204</v>
      </c>
      <c r="C24" s="21">
        <v>331943</v>
      </c>
      <c r="D24" s="21">
        <v>313197</v>
      </c>
      <c r="E24" s="22">
        <f>(+C24-D24)/D24</f>
        <v>5.9853702302384758E-2</v>
      </c>
      <c r="F24" s="21">
        <f>+C24-176098</f>
        <v>155845</v>
      </c>
      <c r="G24" s="21">
        <f>+D24-156640</f>
        <v>156557</v>
      </c>
      <c r="H24" s="22">
        <f>(+F24-G24)/G24</f>
        <v>-4.547864356113109E-3</v>
      </c>
      <c r="I24" s="23">
        <f>K24/C24</f>
        <v>70.057016776976766</v>
      </c>
      <c r="J24" s="23">
        <f>K24/F24</f>
        <v>149.21836645384838</v>
      </c>
      <c r="K24" s="21">
        <v>23254936.32</v>
      </c>
      <c r="L24" s="21">
        <v>22059210.129999999</v>
      </c>
      <c r="M24" s="24">
        <f>(+K24-L24)/L24</f>
        <v>5.4205303950291599E-2</v>
      </c>
      <c r="N24" s="10"/>
      <c r="R24" s="2"/>
    </row>
    <row r="25" spans="1:18" ht="15.75" customHeight="1" x14ac:dyDescent="0.25">
      <c r="A25" s="176"/>
      <c r="B25" s="20">
        <f>DATE(2026,8,1)</f>
        <v>46235</v>
      </c>
      <c r="C25" s="21">
        <v>334452</v>
      </c>
      <c r="D25" s="21">
        <v>333263</v>
      </c>
      <c r="E25" s="22">
        <f>(+C25-D25)/D25</f>
        <v>3.5677527958399222E-3</v>
      </c>
      <c r="F25" s="21">
        <f>+C25-177647</f>
        <v>156805</v>
      </c>
      <c r="G25" s="21">
        <f>+D25-168558</f>
        <v>164705</v>
      </c>
      <c r="H25" s="22">
        <f>(+F25-G25)/G25</f>
        <v>-4.7964542667192862E-2</v>
      </c>
      <c r="I25" s="23">
        <f>K25/C25</f>
        <v>66.324207180701563</v>
      </c>
      <c r="J25" s="23">
        <f>K25/F25</f>
        <v>141.46400778036414</v>
      </c>
      <c r="K25" s="21">
        <v>22182263.739999998</v>
      </c>
      <c r="L25" s="21">
        <v>23729381.620000001</v>
      </c>
      <c r="M25" s="24">
        <f>(+K25-L25)/L25</f>
        <v>-6.5198406969696782E-2</v>
      </c>
      <c r="N25" s="10"/>
      <c r="R25" s="2"/>
    </row>
    <row r="26" spans="1:18" ht="15.75" thickBot="1" x14ac:dyDescent="0.25">
      <c r="A26" s="37"/>
      <c r="B26" s="44"/>
      <c r="C26" s="21"/>
      <c r="D26" s="21"/>
      <c r="E26" s="22"/>
      <c r="F26" s="21"/>
      <c r="G26" s="21"/>
      <c r="H26" s="22"/>
      <c r="I26" s="23"/>
      <c r="J26" s="23"/>
      <c r="K26" s="21"/>
      <c r="L26" s="21"/>
      <c r="M26" s="24"/>
      <c r="N26" s="10"/>
      <c r="R26" s="2"/>
    </row>
    <row r="27" spans="1:18" ht="17.25" thickTop="1" thickBot="1" x14ac:dyDescent="0.3">
      <c r="A27" s="38" t="s">
        <v>14</v>
      </c>
      <c r="B27" s="39"/>
      <c r="C27" s="40">
        <f>SUM(C24:C26)</f>
        <v>666395</v>
      </c>
      <c r="D27" s="40">
        <f>SUM(D24:D26)</f>
        <v>646460</v>
      </c>
      <c r="E27" s="279">
        <f>(+C27-D27)/D27</f>
        <v>3.083717476719364E-2</v>
      </c>
      <c r="F27" s="40">
        <f>SUM(F24:F26)</f>
        <v>312650</v>
      </c>
      <c r="G27" s="40">
        <f>SUM(G24:G26)</f>
        <v>321262</v>
      </c>
      <c r="H27" s="41">
        <f>(+F27-G27)/G27</f>
        <v>-2.6806780758384122E-2</v>
      </c>
      <c r="I27" s="42">
        <f>K27/C27</f>
        <v>68.183584900847094</v>
      </c>
      <c r="J27" s="42">
        <f>K27/F27</f>
        <v>145.32928213657445</v>
      </c>
      <c r="K27" s="40">
        <f>SUM(K24:K26)</f>
        <v>45437200.060000002</v>
      </c>
      <c r="L27" s="40">
        <f>SUM(L24:L26)</f>
        <v>45788591.75</v>
      </c>
      <c r="M27" s="43">
        <f>(+K27-L27)/L27</f>
        <v>-7.674219201117877E-3</v>
      </c>
      <c r="N27" s="10"/>
      <c r="R27" s="2"/>
    </row>
    <row r="28" spans="1:18" ht="15.75" thickTop="1" x14ac:dyDescent="0.2">
      <c r="A28" s="37"/>
      <c r="B28" s="44"/>
      <c r="C28" s="21"/>
      <c r="D28" s="21"/>
      <c r="E28" s="22"/>
      <c r="F28" s="21"/>
      <c r="G28" s="21"/>
      <c r="H28" s="22"/>
      <c r="I28" s="23"/>
      <c r="J28" s="23"/>
      <c r="K28" s="21"/>
      <c r="L28" s="21"/>
      <c r="M28" s="24"/>
      <c r="N28" s="10"/>
      <c r="R28" s="2"/>
    </row>
    <row r="29" spans="1:18" ht="15.75" x14ac:dyDescent="0.25">
      <c r="A29" s="19" t="s">
        <v>60</v>
      </c>
      <c r="B29" s="20">
        <f>DATE(2026,7,1)</f>
        <v>46204</v>
      </c>
      <c r="C29" s="21">
        <v>177912</v>
      </c>
      <c r="D29" s="21">
        <v>189028</v>
      </c>
      <c r="E29" s="22">
        <f>(+C29-D29)/D29</f>
        <v>-5.8806102799585244E-2</v>
      </c>
      <c r="F29" s="21">
        <f>+C29-83696</f>
        <v>94216</v>
      </c>
      <c r="G29" s="21">
        <f>+D29-89606</f>
        <v>99422</v>
      </c>
      <c r="H29" s="22">
        <f>(+F29-G29)/G29</f>
        <v>-5.2362656152561804E-2</v>
      </c>
      <c r="I29" s="23">
        <f>K29/C29</f>
        <v>87.632682337335311</v>
      </c>
      <c r="J29" s="23">
        <f>K29/F29</f>
        <v>165.4804468455464</v>
      </c>
      <c r="K29" s="21">
        <v>15590905.779999999</v>
      </c>
      <c r="L29" s="21">
        <v>14506589.619999999</v>
      </c>
      <c r="M29" s="24">
        <f>(+K29-L29)/L29</f>
        <v>7.4746455811024737E-2</v>
      </c>
      <c r="N29" s="10"/>
      <c r="R29" s="2"/>
    </row>
    <row r="30" spans="1:18" ht="15.75" x14ac:dyDescent="0.25">
      <c r="A30" s="19"/>
      <c r="B30" s="20">
        <f>DATE(2026,8,1)</f>
        <v>46235</v>
      </c>
      <c r="C30" s="21">
        <v>177917</v>
      </c>
      <c r="D30" s="21">
        <v>194053</v>
      </c>
      <c r="E30" s="22">
        <f>(+C30-D30)/D30</f>
        <v>-8.3152540800709079E-2</v>
      </c>
      <c r="F30" s="21">
        <f>+C30-85133</f>
        <v>92784</v>
      </c>
      <c r="G30" s="21">
        <f>+D30-90254</f>
        <v>103799</v>
      </c>
      <c r="H30" s="22">
        <f>(+F30-G30)/G30</f>
        <v>-0.10611855605545333</v>
      </c>
      <c r="I30" s="23">
        <f>K30/C30</f>
        <v>84.009008245417817</v>
      </c>
      <c r="J30" s="23">
        <f>K30/F30</f>
        <v>161.09060527677187</v>
      </c>
      <c r="K30" s="21">
        <v>14946630.720000001</v>
      </c>
      <c r="L30" s="21">
        <v>16145692.15</v>
      </c>
      <c r="M30" s="24">
        <f>(+K30-L30)/L30</f>
        <v>-7.426509925125753E-2</v>
      </c>
      <c r="N30" s="10"/>
      <c r="R30" s="2"/>
    </row>
    <row r="31" spans="1:18" ht="15.75" thickBot="1" x14ac:dyDescent="0.25">
      <c r="A31" s="37"/>
      <c r="B31" s="20"/>
      <c r="C31" s="21"/>
      <c r="D31" s="21"/>
      <c r="E31" s="22"/>
      <c r="F31" s="21"/>
      <c r="G31" s="21"/>
      <c r="H31" s="22"/>
      <c r="I31" s="23"/>
      <c r="J31" s="23"/>
      <c r="K31" s="21"/>
      <c r="L31" s="21"/>
      <c r="M31" s="24"/>
      <c r="N31" s="10"/>
      <c r="R31" s="2"/>
    </row>
    <row r="32" spans="1:18" ht="17.25" thickTop="1" thickBot="1" x14ac:dyDescent="0.3">
      <c r="A32" s="38" t="s">
        <v>14</v>
      </c>
      <c r="B32" s="39"/>
      <c r="C32" s="40">
        <f>SUM(C29:C31)</f>
        <v>355829</v>
      </c>
      <c r="D32" s="40">
        <f>SUM(D29:D31)</f>
        <v>383081</v>
      </c>
      <c r="E32" s="280">
        <f>(+C32-D32)/D32</f>
        <v>-7.113900193431677E-2</v>
      </c>
      <c r="F32" s="46">
        <f>SUM(F29:F31)</f>
        <v>187000</v>
      </c>
      <c r="G32" s="47">
        <f>SUM(G29:G31)</f>
        <v>203221</v>
      </c>
      <c r="H32" s="48">
        <f>(+F32-G32)/G32</f>
        <v>-7.9819506842304683E-2</v>
      </c>
      <c r="I32" s="49">
        <f>K32/C32</f>
        <v>85.820819831997952</v>
      </c>
      <c r="J32" s="50">
        <f>K32/F32</f>
        <v>163.30233422459892</v>
      </c>
      <c r="K32" s="47">
        <f>SUM(K29:K31)</f>
        <v>30537536.5</v>
      </c>
      <c r="L32" s="46">
        <f>SUM(L29:L31)</f>
        <v>30652281.77</v>
      </c>
      <c r="M32" s="43">
        <f>(+K32-L32)/L32</f>
        <v>-3.7434495370032464E-3</v>
      </c>
      <c r="N32" s="10"/>
      <c r="R32" s="2"/>
    </row>
    <row r="33" spans="1:18" ht="15.75" customHeight="1" thickTop="1" x14ac:dyDescent="0.25">
      <c r="A33" s="272"/>
      <c r="B33" s="44"/>
      <c r="C33" s="21"/>
      <c r="D33" s="21"/>
      <c r="E33" s="22"/>
      <c r="F33" s="21"/>
      <c r="G33" s="21"/>
      <c r="H33" s="22"/>
      <c r="I33" s="23"/>
      <c r="J33" s="23"/>
      <c r="K33" s="21"/>
      <c r="L33" s="21"/>
      <c r="M33" s="24"/>
      <c r="N33" s="10"/>
      <c r="R33" s="2"/>
    </row>
    <row r="34" spans="1:18" ht="15.75" x14ac:dyDescent="0.25">
      <c r="A34" s="273" t="s">
        <v>61</v>
      </c>
      <c r="B34" s="20">
        <f>DATE(2026,7,1)</f>
        <v>46204</v>
      </c>
      <c r="C34" s="21">
        <v>96729</v>
      </c>
      <c r="D34" s="21">
        <v>94878</v>
      </c>
      <c r="E34" s="22">
        <f>(+C34-D34)/D34</f>
        <v>1.9509264529184847E-2</v>
      </c>
      <c r="F34" s="21">
        <f>+C34-48349</f>
        <v>48380</v>
      </c>
      <c r="G34" s="21">
        <f>+D34-48029</f>
        <v>46849</v>
      </c>
      <c r="H34" s="22">
        <f>(+F34-G34)/G34</f>
        <v>3.2679459540224977E-2</v>
      </c>
      <c r="I34" s="23">
        <f>K34/C34</f>
        <v>64.137018267530934</v>
      </c>
      <c r="J34" s="23">
        <f>K34/F34</f>
        <v>128.23294005787514</v>
      </c>
      <c r="K34" s="21">
        <v>6203909.6399999997</v>
      </c>
      <c r="L34" s="21">
        <v>5867584.71</v>
      </c>
      <c r="M34" s="24">
        <f>(+K34-L34)/L34</f>
        <v>5.7319143501551546E-2</v>
      </c>
      <c r="N34" s="10"/>
      <c r="R34" s="2"/>
    </row>
    <row r="35" spans="1:18" ht="15.75" x14ac:dyDescent="0.25">
      <c r="A35" s="273"/>
      <c r="B35" s="20">
        <f>DATE(2026,8,1)</f>
        <v>46235</v>
      </c>
      <c r="C35" s="21">
        <v>95116</v>
      </c>
      <c r="D35" s="21">
        <v>97250</v>
      </c>
      <c r="E35" s="22">
        <f>(+C35-D35)/D35</f>
        <v>-2.194344473007712E-2</v>
      </c>
      <c r="F35" s="21">
        <f>+C35-46444</f>
        <v>48672</v>
      </c>
      <c r="G35" s="21">
        <f>+D35-49642</f>
        <v>47608</v>
      </c>
      <c r="H35" s="22">
        <f>(+F35-G35)/G35</f>
        <v>2.2349185010922534E-2</v>
      </c>
      <c r="I35" s="23">
        <f>K35/C35</f>
        <v>63.94388357374153</v>
      </c>
      <c r="J35" s="23">
        <f>K35/F35</f>
        <v>124.96068437705456</v>
      </c>
      <c r="K35" s="21">
        <v>6082086.4299999997</v>
      </c>
      <c r="L35" s="21">
        <v>6088791.9800000004</v>
      </c>
      <c r="M35" s="24">
        <f>(+K35-L35)/L35</f>
        <v>-1.1012939877116223E-3</v>
      </c>
      <c r="N35" s="10"/>
      <c r="R35" s="2"/>
    </row>
    <row r="36" spans="1:18" ht="15.75" customHeight="1" thickBot="1" x14ac:dyDescent="0.3">
      <c r="A36" s="19"/>
      <c r="B36" s="20"/>
      <c r="C36" s="21"/>
      <c r="D36" s="21"/>
      <c r="E36" s="22"/>
      <c r="F36" s="21"/>
      <c r="G36" s="21"/>
      <c r="H36" s="22"/>
      <c r="I36" s="23"/>
      <c r="J36" s="23"/>
      <c r="K36" s="21"/>
      <c r="L36" s="21"/>
      <c r="M36" s="24"/>
      <c r="N36" s="10"/>
      <c r="R36" s="2"/>
    </row>
    <row r="37" spans="1:18" ht="17.45" customHeight="1" thickTop="1" thickBot="1" x14ac:dyDescent="0.3">
      <c r="A37" s="38" t="s">
        <v>14</v>
      </c>
      <c r="B37" s="51"/>
      <c r="C37" s="46">
        <f>SUM(C34:C36)</f>
        <v>191845</v>
      </c>
      <c r="D37" s="47">
        <f>SUM(D34:D36)</f>
        <v>192128</v>
      </c>
      <c r="E37" s="280">
        <f>(+C37-D37)/D37</f>
        <v>-1.4729763491005995E-3</v>
      </c>
      <c r="F37" s="47">
        <f>SUM(F34:F36)</f>
        <v>97052</v>
      </c>
      <c r="G37" s="46">
        <f>SUM(G34:G36)</f>
        <v>94457</v>
      </c>
      <c r="H37" s="45">
        <f>(+F37-G37)/G37</f>
        <v>2.7472818319446944E-2</v>
      </c>
      <c r="I37" s="50">
        <f>K37/C37</f>
        <v>64.041262842398808</v>
      </c>
      <c r="J37" s="49">
        <f>K37/F37</f>
        <v>126.59188960557228</v>
      </c>
      <c r="K37" s="46">
        <f>SUM(K34:K36)</f>
        <v>12285996.07</v>
      </c>
      <c r="L37" s="47">
        <f>SUM(L34:L36)</f>
        <v>11956376.690000001</v>
      </c>
      <c r="M37" s="43">
        <f>(+K37-L37)/L37</f>
        <v>2.7568500771281649E-2</v>
      </c>
      <c r="N37" s="10"/>
      <c r="R37" s="2"/>
    </row>
    <row r="38" spans="1:18" ht="15.75" customHeight="1" thickTop="1" x14ac:dyDescent="0.25">
      <c r="A38" s="19"/>
      <c r="B38" s="44"/>
      <c r="C38" s="21"/>
      <c r="D38" s="21"/>
      <c r="E38" s="22"/>
      <c r="F38" s="21"/>
      <c r="G38" s="21"/>
      <c r="H38" s="22"/>
      <c r="I38" s="23"/>
      <c r="J38" s="23"/>
      <c r="K38" s="21"/>
      <c r="L38" s="21"/>
      <c r="M38" s="24"/>
      <c r="N38" s="10"/>
      <c r="R38" s="2"/>
    </row>
    <row r="39" spans="1:18" ht="15.75" x14ac:dyDescent="0.25">
      <c r="A39" s="19" t="s">
        <v>67</v>
      </c>
      <c r="B39" s="20">
        <f>DATE(2026,7,1)</f>
        <v>46204</v>
      </c>
      <c r="C39" s="21">
        <v>198801</v>
      </c>
      <c r="D39" s="21">
        <v>204452</v>
      </c>
      <c r="E39" s="22">
        <f>(+C39-D39)/D39</f>
        <v>-2.7639739400935184E-2</v>
      </c>
      <c r="F39" s="21">
        <f>+C39-91541</f>
        <v>107260</v>
      </c>
      <c r="G39" s="21">
        <f>+D39-91736</f>
        <v>112716</v>
      </c>
      <c r="H39" s="22">
        <f>(+F39-G39)/G39</f>
        <v>-4.8404840484048403E-2</v>
      </c>
      <c r="I39" s="23">
        <f>K39/C39</f>
        <v>54.905665313554763</v>
      </c>
      <c r="J39" s="23">
        <f>K39/F39</f>
        <v>101.76488131642738</v>
      </c>
      <c r="K39" s="21">
        <v>10915301.17</v>
      </c>
      <c r="L39" s="21">
        <v>11066469.359999999</v>
      </c>
      <c r="M39" s="24">
        <f>(+K39-L39)/L39</f>
        <v>-1.3660019748159271E-2</v>
      </c>
      <c r="N39" s="10"/>
      <c r="R39" s="2"/>
    </row>
    <row r="40" spans="1:18" ht="15.75" x14ac:dyDescent="0.25">
      <c r="A40" s="19"/>
      <c r="B40" s="20">
        <f>DATE(2026,8,1)</f>
        <v>46235</v>
      </c>
      <c r="C40" s="21">
        <v>206532</v>
      </c>
      <c r="D40" s="21">
        <v>206255</v>
      </c>
      <c r="E40" s="22">
        <f>(+C40-D40)/D40</f>
        <v>1.3429977455091998E-3</v>
      </c>
      <c r="F40" s="21">
        <f>+C40-95955</f>
        <v>110577</v>
      </c>
      <c r="G40" s="21">
        <f>+D40-94629</f>
        <v>111626</v>
      </c>
      <c r="H40" s="22">
        <f>(+F40-G40)/G40</f>
        <v>-9.3974522064751934E-3</v>
      </c>
      <c r="I40" s="23">
        <f>K40/C40</f>
        <v>51.787616204752773</v>
      </c>
      <c r="J40" s="23">
        <f>K40/F40</f>
        <v>96.727167041970745</v>
      </c>
      <c r="K40" s="21">
        <v>10695799.949999999</v>
      </c>
      <c r="L40" s="21">
        <v>11290460.789999999</v>
      </c>
      <c r="M40" s="24">
        <f>(+K40-L40)/L40</f>
        <v>-5.2669315368128557E-2</v>
      </c>
      <c r="N40" s="10"/>
      <c r="R40" s="2"/>
    </row>
    <row r="41" spans="1:18" ht="15.75" customHeight="1" thickBot="1" x14ac:dyDescent="0.3">
      <c r="A41" s="19"/>
      <c r="B41" s="44"/>
      <c r="C41" s="21"/>
      <c r="D41" s="21"/>
      <c r="E41" s="22"/>
      <c r="F41" s="21"/>
      <c r="G41" s="21"/>
      <c r="H41" s="22"/>
      <c r="I41" s="23"/>
      <c r="J41" s="23"/>
      <c r="K41" s="21"/>
      <c r="L41" s="21"/>
      <c r="M41" s="24"/>
      <c r="N41" s="10"/>
      <c r="R41" s="2"/>
    </row>
    <row r="42" spans="1:18" ht="17.45" customHeight="1" thickTop="1" thickBot="1" x14ac:dyDescent="0.3">
      <c r="A42" s="38" t="s">
        <v>14</v>
      </c>
      <c r="B42" s="51"/>
      <c r="C42" s="46">
        <f>SUM(C39:C41)</f>
        <v>405333</v>
      </c>
      <c r="D42" s="47">
        <f>SUM(D39:D41)</f>
        <v>410707</v>
      </c>
      <c r="E42" s="280">
        <f>(+C42-D42)/D42</f>
        <v>-1.308475385128571E-2</v>
      </c>
      <c r="F42" s="47">
        <f>SUM(F39:F41)</f>
        <v>217837</v>
      </c>
      <c r="G42" s="46">
        <f>SUM(G39:G41)</f>
        <v>224342</v>
      </c>
      <c r="H42" s="52">
        <f>(+F42-G42)/G42</f>
        <v>-2.899590803327063E-2</v>
      </c>
      <c r="I42" s="50">
        <f>K42/C42</f>
        <v>53.316905161928581</v>
      </c>
      <c r="J42" s="49">
        <f>K42/F42</f>
        <v>99.207669587811054</v>
      </c>
      <c r="K42" s="46">
        <f>SUM(K39:K41)</f>
        <v>21611101.119999997</v>
      </c>
      <c r="L42" s="47">
        <f>SUM(L39:L41)</f>
        <v>22356930.149999999</v>
      </c>
      <c r="M42" s="43">
        <f>(+K42-L42)/L42</f>
        <v>-3.3360082309869421E-2</v>
      </c>
      <c r="N42" s="10"/>
      <c r="R42" s="2"/>
    </row>
    <row r="43" spans="1:18" ht="15.75" customHeight="1" thickTop="1" x14ac:dyDescent="0.25">
      <c r="A43" s="19"/>
      <c r="B43" s="44"/>
      <c r="C43" s="21"/>
      <c r="D43" s="21"/>
      <c r="E43" s="22"/>
      <c r="F43" s="21"/>
      <c r="G43" s="21"/>
      <c r="H43" s="22"/>
      <c r="I43" s="23"/>
      <c r="J43" s="23"/>
      <c r="K43" s="21"/>
      <c r="L43" s="21"/>
      <c r="M43" s="24"/>
      <c r="N43" s="10"/>
      <c r="R43" s="2"/>
    </row>
    <row r="44" spans="1:18" ht="15.75" customHeight="1" x14ac:dyDescent="0.25">
      <c r="A44" s="19" t="s">
        <v>69</v>
      </c>
      <c r="B44" s="20">
        <f>DATE(2026,7,1)</f>
        <v>46204</v>
      </c>
      <c r="C44" s="21">
        <v>228050</v>
      </c>
      <c r="D44" s="21">
        <v>216398</v>
      </c>
      <c r="E44" s="22">
        <f>(+C44-D44)/D44</f>
        <v>5.3845229623194296E-2</v>
      </c>
      <c r="F44" s="21">
        <f>+C44-102462</f>
        <v>125588</v>
      </c>
      <c r="G44" s="21">
        <f>+D44-97090</f>
        <v>119308</v>
      </c>
      <c r="H44" s="22">
        <f>(+F44-G44)/G44</f>
        <v>5.2636872632178901E-2</v>
      </c>
      <c r="I44" s="23">
        <f>K44/C44</f>
        <v>64.115548914711681</v>
      </c>
      <c r="J44" s="23">
        <f>K44/F44</f>
        <v>116.42474543746218</v>
      </c>
      <c r="K44" s="21">
        <v>14621550.93</v>
      </c>
      <c r="L44" s="21">
        <v>14459195.58</v>
      </c>
      <c r="M44" s="24">
        <f>(+K44-L44)/L44</f>
        <v>1.1228518841295016E-2</v>
      </c>
      <c r="N44" s="10"/>
      <c r="R44" s="2"/>
    </row>
    <row r="45" spans="1:18" ht="15.75" customHeight="1" x14ac:dyDescent="0.25">
      <c r="A45" s="19"/>
      <c r="B45" s="20">
        <f>DATE(2026,8,1)</f>
        <v>46235</v>
      </c>
      <c r="C45" s="21">
        <v>212177</v>
      </c>
      <c r="D45" s="21">
        <v>230610</v>
      </c>
      <c r="E45" s="22">
        <f>(+C45-D45)/D45</f>
        <v>-7.9931486058713849E-2</v>
      </c>
      <c r="F45" s="21">
        <f>+C45-93578</f>
        <v>118599</v>
      </c>
      <c r="G45" s="21">
        <f>+D45-104945</f>
        <v>125665</v>
      </c>
      <c r="H45" s="22">
        <f>(+F45-G45)/G45</f>
        <v>-5.6228862451756657E-2</v>
      </c>
      <c r="I45" s="23">
        <f>K45/C45</f>
        <v>66.151506619473366</v>
      </c>
      <c r="J45" s="23">
        <f>K45/F45</f>
        <v>118.34693564026679</v>
      </c>
      <c r="K45" s="21">
        <v>14035828.220000001</v>
      </c>
      <c r="L45" s="21">
        <v>15344965.49</v>
      </c>
      <c r="M45" s="24">
        <f>(+K45-L45)/L45</f>
        <v>-8.5313796948786727E-2</v>
      </c>
      <c r="N45" s="10"/>
      <c r="R45" s="2"/>
    </row>
    <row r="46" spans="1:18" ht="15.75" customHeight="1" thickBot="1" x14ac:dyDescent="0.3">
      <c r="A46" s="19"/>
      <c r="B46" s="44"/>
      <c r="C46" s="21"/>
      <c r="D46" s="21"/>
      <c r="E46" s="22"/>
      <c r="F46" s="21"/>
      <c r="G46" s="21"/>
      <c r="H46" s="22"/>
      <c r="I46" s="23"/>
      <c r="J46" s="23"/>
      <c r="K46" s="21"/>
      <c r="L46" s="21"/>
      <c r="M46" s="24"/>
      <c r="N46" s="10"/>
      <c r="R46" s="2"/>
    </row>
    <row r="47" spans="1:18" ht="17.25" thickTop="1" thickBot="1" x14ac:dyDescent="0.3">
      <c r="A47" s="38" t="s">
        <v>14</v>
      </c>
      <c r="B47" s="39"/>
      <c r="C47" s="40">
        <f>SUM(C44:C46)</f>
        <v>440227</v>
      </c>
      <c r="D47" s="40">
        <f>SUM(D44:D46)</f>
        <v>447008</v>
      </c>
      <c r="E47" s="279">
        <f>(+C47-D47)/D47</f>
        <v>-1.51697508769418E-2</v>
      </c>
      <c r="F47" s="40">
        <f>SUM(F44:F46)</f>
        <v>244187</v>
      </c>
      <c r="G47" s="40">
        <f>SUM(G44:G46)</f>
        <v>244973</v>
      </c>
      <c r="H47" s="41">
        <f>(+F47-G47)/G47</f>
        <v>-3.2085168569597465E-3</v>
      </c>
      <c r="I47" s="42">
        <f>K47/C47</f>
        <v>65.096823116255933</v>
      </c>
      <c r="J47" s="42">
        <f>K47/F47</f>
        <v>117.35833254841576</v>
      </c>
      <c r="K47" s="40">
        <f>SUM(K44:K46)</f>
        <v>28657379.149999999</v>
      </c>
      <c r="L47" s="40">
        <f>SUM(L44:L46)</f>
        <v>29804161.07</v>
      </c>
      <c r="M47" s="43">
        <f>(+K47-L47)/L47</f>
        <v>-3.8477242063837826E-2</v>
      </c>
      <c r="N47" s="10"/>
      <c r="R47" s="2"/>
    </row>
    <row r="48" spans="1:18" ht="15.75" customHeight="1" thickTop="1" x14ac:dyDescent="0.2">
      <c r="A48" s="53"/>
      <c r="B48" s="54"/>
      <c r="C48" s="54"/>
      <c r="D48" s="54"/>
      <c r="E48" s="55"/>
      <c r="F48" s="54"/>
      <c r="G48" s="54"/>
      <c r="H48" s="55"/>
      <c r="I48" s="54"/>
      <c r="J48" s="54"/>
      <c r="K48" s="195"/>
      <c r="L48" s="195"/>
      <c r="M48" s="56"/>
      <c r="N48" s="10"/>
      <c r="R48" s="2"/>
    </row>
    <row r="49" spans="1:18" ht="15.75" customHeight="1" x14ac:dyDescent="0.25">
      <c r="A49" s="19" t="s">
        <v>16</v>
      </c>
      <c r="B49" s="20">
        <f>DATE(2026,7,1)</f>
        <v>46204</v>
      </c>
      <c r="C49" s="21">
        <v>264538</v>
      </c>
      <c r="D49" s="21">
        <v>256392</v>
      </c>
      <c r="E49" s="22">
        <f>(+C49-D49)/D49</f>
        <v>3.1771662142344538E-2</v>
      </c>
      <c r="F49" s="21">
        <f>+C49-140988</f>
        <v>123550</v>
      </c>
      <c r="G49" s="21">
        <f>+D49-136380</f>
        <v>120012</v>
      </c>
      <c r="H49" s="22">
        <f>(+F49-G49)/G49</f>
        <v>2.9480385294803853E-2</v>
      </c>
      <c r="I49" s="23">
        <f>K49/C49</f>
        <v>70.66800440768435</v>
      </c>
      <c r="J49" s="23">
        <f>K49/F49</f>
        <v>151.31017847025495</v>
      </c>
      <c r="K49" s="21">
        <v>18694372.550000001</v>
      </c>
      <c r="L49" s="21">
        <v>17475628.050000001</v>
      </c>
      <c r="M49" s="24">
        <f>(+K49-L49)/L49</f>
        <v>6.9739668097364885E-2</v>
      </c>
      <c r="N49" s="10"/>
      <c r="R49" s="2"/>
    </row>
    <row r="50" spans="1:18" ht="15.75" customHeight="1" x14ac:dyDescent="0.25">
      <c r="A50" s="19"/>
      <c r="B50" s="20">
        <f>DATE(2026,8,1)</f>
        <v>46235</v>
      </c>
      <c r="C50" s="21">
        <v>269466</v>
      </c>
      <c r="D50" s="21">
        <v>264576</v>
      </c>
      <c r="E50" s="22">
        <f>(+C50-D50)/D50</f>
        <v>1.8482402031930335E-2</v>
      </c>
      <c r="F50" s="21">
        <f>+C50-144661</f>
        <v>124805</v>
      </c>
      <c r="G50" s="21">
        <f>+D50-139241</f>
        <v>125335</v>
      </c>
      <c r="H50" s="22">
        <f>(+F50-G50)/G50</f>
        <v>-4.2286671719790961E-3</v>
      </c>
      <c r="I50" s="23">
        <f>K50/C50</f>
        <v>66.332452814084149</v>
      </c>
      <c r="J50" s="23">
        <f>K50/F50</f>
        <v>143.21814614799086</v>
      </c>
      <c r="K50" s="21">
        <v>17874340.73</v>
      </c>
      <c r="L50" s="21">
        <v>17789586.539999999</v>
      </c>
      <c r="M50" s="24">
        <f>(+K50-L50)/L50</f>
        <v>4.7642585626951478E-3</v>
      </c>
      <c r="N50" s="10"/>
      <c r="R50" s="2"/>
    </row>
    <row r="51" spans="1:18" ht="15.75" customHeight="1" thickBot="1" x14ac:dyDescent="0.3">
      <c r="A51" s="19"/>
      <c r="B51" s="44"/>
      <c r="C51" s="21"/>
      <c r="D51" s="21"/>
      <c r="E51" s="22"/>
      <c r="F51" s="21"/>
      <c r="G51" s="21"/>
      <c r="H51" s="22"/>
      <c r="I51" s="23"/>
      <c r="J51" s="23"/>
      <c r="K51" s="21"/>
      <c r="L51" s="21"/>
      <c r="M51" s="24"/>
      <c r="N51" s="10"/>
      <c r="R51" s="2"/>
    </row>
    <row r="52" spans="1:18" ht="17.25" thickTop="1" thickBot="1" x14ac:dyDescent="0.3">
      <c r="A52" s="38" t="s">
        <v>14</v>
      </c>
      <c r="B52" s="39"/>
      <c r="C52" s="40">
        <f>SUM(C49:C51)</f>
        <v>534004</v>
      </c>
      <c r="D52" s="40">
        <f>SUM(D49:D51)</f>
        <v>520968</v>
      </c>
      <c r="E52" s="279">
        <f>(+C52-D52)/D52</f>
        <v>2.5022650143578875E-2</v>
      </c>
      <c r="F52" s="40">
        <f>SUM(F49:F51)</f>
        <v>248355</v>
      </c>
      <c r="G52" s="40">
        <f>SUM(G49:G51)</f>
        <v>245347</v>
      </c>
      <c r="H52" s="41">
        <f>(+F52-G52)/G52</f>
        <v>1.2260186592866431E-2</v>
      </c>
      <c r="I52" s="42">
        <f>K52/C52</f>
        <v>68.480223518924959</v>
      </c>
      <c r="J52" s="42">
        <f>K52/F52</f>
        <v>147.24371677638865</v>
      </c>
      <c r="K52" s="40">
        <f>SUM(K49:K51)</f>
        <v>36568713.280000001</v>
      </c>
      <c r="L52" s="40">
        <f>SUM(L49:L51)</f>
        <v>35265214.590000004</v>
      </c>
      <c r="M52" s="43">
        <f>(+K52-L52)/L52</f>
        <v>3.6962732402304022E-2</v>
      </c>
      <c r="N52" s="10"/>
      <c r="R52" s="2"/>
    </row>
    <row r="53" spans="1:18" ht="15.75" customHeight="1" thickTop="1" x14ac:dyDescent="0.2">
      <c r="A53" s="53"/>
      <c r="B53" s="54"/>
      <c r="C53" s="54"/>
      <c r="D53" s="54"/>
      <c r="E53" s="55"/>
      <c r="F53" s="54"/>
      <c r="G53" s="54"/>
      <c r="H53" s="55"/>
      <c r="I53" s="54"/>
      <c r="J53" s="54"/>
      <c r="K53" s="195"/>
      <c r="L53" s="195"/>
      <c r="M53" s="56"/>
      <c r="N53" s="10"/>
      <c r="R53" s="2"/>
    </row>
    <row r="54" spans="1:18" ht="15.75" customHeight="1" x14ac:dyDescent="0.25">
      <c r="A54" s="19" t="s">
        <v>53</v>
      </c>
      <c r="B54" s="20">
        <f>DATE(2026,7,1)</f>
        <v>46204</v>
      </c>
      <c r="C54" s="21">
        <v>337537</v>
      </c>
      <c r="D54" s="21">
        <v>334577</v>
      </c>
      <c r="E54" s="22">
        <f>(+C54-D54)/D54</f>
        <v>8.84699187332064E-3</v>
      </c>
      <c r="F54" s="21">
        <f>+C54-162327</f>
        <v>175210</v>
      </c>
      <c r="G54" s="21">
        <f>+D54-156657</f>
        <v>177920</v>
      </c>
      <c r="H54" s="22">
        <f>(+F54-G54)/G54</f>
        <v>-1.523156474820144E-2</v>
      </c>
      <c r="I54" s="23">
        <f>K54/C54</f>
        <v>72.261429117400468</v>
      </c>
      <c r="J54" s="23">
        <f>K54/F54</f>
        <v>139.20955424918668</v>
      </c>
      <c r="K54" s="21">
        <v>24390906</v>
      </c>
      <c r="L54" s="21">
        <v>22266365.559999999</v>
      </c>
      <c r="M54" s="24">
        <f>(+K54-L54)/L54</f>
        <v>9.5414783085057797E-2</v>
      </c>
      <c r="N54" s="10"/>
      <c r="R54" s="2"/>
    </row>
    <row r="55" spans="1:18" ht="15.75" customHeight="1" x14ac:dyDescent="0.25">
      <c r="A55" s="19"/>
      <c r="B55" s="20">
        <f>DATE(2026,8,1)</f>
        <v>46235</v>
      </c>
      <c r="C55" s="21">
        <v>339985</v>
      </c>
      <c r="D55" s="21">
        <v>344204</v>
      </c>
      <c r="E55" s="22">
        <f>(+C55-D55)/D55</f>
        <v>-1.2257266039906567E-2</v>
      </c>
      <c r="F55" s="21">
        <f>+C55-167176</f>
        <v>172809</v>
      </c>
      <c r="G55" s="21">
        <f>+D55-159754</f>
        <v>184450</v>
      </c>
      <c r="H55" s="22">
        <f>(+F55-G55)/G55</f>
        <v>-6.3111954459203035E-2</v>
      </c>
      <c r="I55" s="23">
        <f>K55/C55</f>
        <v>69.217672367898587</v>
      </c>
      <c r="J55" s="23">
        <f>K55/F55</f>
        <v>136.17907828874652</v>
      </c>
      <c r="K55" s="21">
        <v>23532970.34</v>
      </c>
      <c r="L55" s="21">
        <v>24045210.210000001</v>
      </c>
      <c r="M55" s="24">
        <f>(+K55-L55)/L55</f>
        <v>-2.1303197831348923E-2</v>
      </c>
      <c r="N55" s="10"/>
      <c r="R55" s="2"/>
    </row>
    <row r="56" spans="1:18" ht="15.75" customHeight="1" thickBot="1" x14ac:dyDescent="0.3">
      <c r="A56" s="19"/>
      <c r="B56" s="44"/>
      <c r="C56" s="21"/>
      <c r="D56" s="21"/>
      <c r="E56" s="22"/>
      <c r="F56" s="21"/>
      <c r="G56" s="21"/>
      <c r="H56" s="22"/>
      <c r="I56" s="23"/>
      <c r="J56" s="23"/>
      <c r="K56" s="21"/>
      <c r="L56" s="21"/>
      <c r="M56" s="24"/>
      <c r="N56" s="10"/>
      <c r="R56" s="2"/>
    </row>
    <row r="57" spans="1:18" ht="17.25" thickTop="1" thickBot="1" x14ac:dyDescent="0.3">
      <c r="A57" s="38" t="s">
        <v>14</v>
      </c>
      <c r="B57" s="39"/>
      <c r="C57" s="40">
        <f>SUM(C54:C56)</f>
        <v>677522</v>
      </c>
      <c r="D57" s="40">
        <f>SUM(D54:D56)</f>
        <v>678781</v>
      </c>
      <c r="E57" s="279">
        <f>(+C57-D57)/D57</f>
        <v>-1.8547955820802291E-3</v>
      </c>
      <c r="F57" s="40">
        <f>SUM(F54:F56)</f>
        <v>348019</v>
      </c>
      <c r="G57" s="40">
        <f>SUM(G54:G56)</f>
        <v>362370</v>
      </c>
      <c r="H57" s="41">
        <f>(+F57-G57)/G57</f>
        <v>-3.9603168032673788E-2</v>
      </c>
      <c r="I57" s="42">
        <f>K57/C57</f>
        <v>70.734051942224767</v>
      </c>
      <c r="J57" s="42">
        <f>K57/F57</f>
        <v>137.7047699694557</v>
      </c>
      <c r="K57" s="40">
        <f>SUM(K54:K56)</f>
        <v>47923876.340000004</v>
      </c>
      <c r="L57" s="40">
        <f>SUM(L54:L56)</f>
        <v>46311575.769999996</v>
      </c>
      <c r="M57" s="43">
        <f>(+K57-L57)/L57</f>
        <v>3.4814202349910839E-2</v>
      </c>
      <c r="N57" s="10"/>
      <c r="R57" s="2"/>
    </row>
    <row r="58" spans="1:18" ht="15.75" customHeight="1" thickTop="1" x14ac:dyDescent="0.2">
      <c r="A58" s="57"/>
      <c r="B58" s="58"/>
      <c r="C58" s="58"/>
      <c r="D58" s="58"/>
      <c r="E58" s="59"/>
      <c r="F58" s="58"/>
      <c r="G58" s="58"/>
      <c r="H58" s="59"/>
      <c r="I58" s="58"/>
      <c r="J58" s="58"/>
      <c r="K58" s="196"/>
      <c r="L58" s="196"/>
      <c r="M58" s="60"/>
      <c r="N58" s="10"/>
      <c r="R58" s="2"/>
    </row>
    <row r="59" spans="1:18" ht="15" customHeight="1" x14ac:dyDescent="0.25">
      <c r="A59" s="19" t="s">
        <v>54</v>
      </c>
      <c r="B59" s="20">
        <f>DATE(2026,7,1)</f>
        <v>46204</v>
      </c>
      <c r="C59" s="21">
        <v>43738</v>
      </c>
      <c r="D59" s="21">
        <v>42805</v>
      </c>
      <c r="E59" s="22">
        <f>(+C59-D59)/D59</f>
        <v>2.1796519098236187E-2</v>
      </c>
      <c r="F59" s="21">
        <f>+C59-22080</f>
        <v>21658</v>
      </c>
      <c r="G59" s="21">
        <f>+D59-21502</f>
        <v>21303</v>
      </c>
      <c r="H59" s="22">
        <f>(+F59-G59)/G59</f>
        <v>1.6664319579401961E-2</v>
      </c>
      <c r="I59" s="23">
        <f>K59/C59</f>
        <v>75.722945036352826</v>
      </c>
      <c r="J59" s="23">
        <f>K59/F59</f>
        <v>152.92133022439745</v>
      </c>
      <c r="K59" s="21">
        <v>3311970.17</v>
      </c>
      <c r="L59" s="21">
        <v>2945968.77</v>
      </c>
      <c r="M59" s="24">
        <f>(+K59-L59)/L59</f>
        <v>0.12423804479095001</v>
      </c>
      <c r="N59" s="10"/>
      <c r="R59" s="2"/>
    </row>
    <row r="60" spans="1:18" ht="15" customHeight="1" x14ac:dyDescent="0.25">
      <c r="A60" s="19"/>
      <c r="B60" s="20">
        <f>DATE(2026,8,1)</f>
        <v>46235</v>
      </c>
      <c r="C60" s="21">
        <v>44042</v>
      </c>
      <c r="D60" s="21">
        <v>43476</v>
      </c>
      <c r="E60" s="22">
        <f>(+C60-D60)/D60</f>
        <v>1.3018676971202502E-2</v>
      </c>
      <c r="F60" s="21">
        <f>+C60-22198</f>
        <v>21844</v>
      </c>
      <c r="G60" s="21">
        <f>+D60-21927</f>
        <v>21549</v>
      </c>
      <c r="H60" s="22">
        <f>(+F60-G60)/G60</f>
        <v>1.3689730381920276E-2</v>
      </c>
      <c r="I60" s="23">
        <f>K60/C60</f>
        <v>73.062354797693104</v>
      </c>
      <c r="J60" s="23">
        <f>K60/F60</f>
        <v>147.30874519318806</v>
      </c>
      <c r="K60" s="21">
        <v>3217812.23</v>
      </c>
      <c r="L60" s="21">
        <v>3020485.7</v>
      </c>
      <c r="M60" s="24">
        <f>(+K60-L60)/L60</f>
        <v>6.5329403810784392E-2</v>
      </c>
      <c r="N60" s="10"/>
      <c r="R60" s="2"/>
    </row>
    <row r="61" spans="1:18" ht="15.75" thickBot="1" x14ac:dyDescent="0.25">
      <c r="A61" s="37"/>
      <c r="B61" s="20"/>
      <c r="C61" s="21"/>
      <c r="D61" s="21"/>
      <c r="E61" s="22"/>
      <c r="F61" s="21"/>
      <c r="G61" s="21"/>
      <c r="H61" s="22"/>
      <c r="I61" s="23"/>
      <c r="J61" s="23"/>
      <c r="K61" s="21"/>
      <c r="L61" s="21"/>
      <c r="M61" s="24"/>
      <c r="N61" s="10"/>
      <c r="R61" s="2"/>
    </row>
    <row r="62" spans="1:18" ht="17.25" thickTop="1" thickBot="1" x14ac:dyDescent="0.3">
      <c r="A62" s="61" t="s">
        <v>14</v>
      </c>
      <c r="B62" s="51"/>
      <c r="C62" s="47">
        <f>SUM(C59:C61)</f>
        <v>87780</v>
      </c>
      <c r="D62" s="47">
        <f>SUM(D59:D61)</f>
        <v>86281</v>
      </c>
      <c r="E62" s="279">
        <f>(+C62-D62)/D62</f>
        <v>1.7373465768825119E-2</v>
      </c>
      <c r="F62" s="47">
        <f>SUM(F59:F61)</f>
        <v>43502</v>
      </c>
      <c r="G62" s="47">
        <f>SUM(G59:G61)</f>
        <v>42852</v>
      </c>
      <c r="H62" s="41">
        <f>(+F62-G62)/G62</f>
        <v>1.5168486885092878E-2</v>
      </c>
      <c r="I62" s="49">
        <f>K62/C62</f>
        <v>74.388042834358629</v>
      </c>
      <c r="J62" s="49">
        <f>K62/F62</f>
        <v>150.10303894073837</v>
      </c>
      <c r="K62" s="47">
        <f>SUM(K59:K61)</f>
        <v>6529782.4000000004</v>
      </c>
      <c r="L62" s="47">
        <f>SUM(L59:L61)</f>
        <v>5966454.4700000007</v>
      </c>
      <c r="M62" s="43">
        <f>(+K62-L62)/L62</f>
        <v>9.4415860010744312E-2</v>
      </c>
      <c r="N62" s="10"/>
      <c r="R62" s="2"/>
    </row>
    <row r="63" spans="1:18" ht="15.75" customHeight="1" thickTop="1" x14ac:dyDescent="0.25">
      <c r="A63" s="19"/>
      <c r="B63" s="44"/>
      <c r="C63" s="21"/>
      <c r="D63" s="21"/>
      <c r="E63" s="22"/>
      <c r="F63" s="21"/>
      <c r="G63" s="21"/>
      <c r="H63" s="22"/>
      <c r="I63" s="23"/>
      <c r="J63" s="23"/>
      <c r="K63" s="21"/>
      <c r="L63" s="21"/>
      <c r="M63" s="24"/>
      <c r="N63" s="10"/>
      <c r="R63" s="2"/>
    </row>
    <row r="64" spans="1:18" ht="15.75" x14ac:dyDescent="0.25">
      <c r="A64" s="19" t="s">
        <v>17</v>
      </c>
      <c r="B64" s="20">
        <f>DATE(2026,7,1)</f>
        <v>46204</v>
      </c>
      <c r="C64" s="21">
        <v>337201</v>
      </c>
      <c r="D64" s="21">
        <v>332760</v>
      </c>
      <c r="E64" s="22">
        <f>(+C64-D64)/D64</f>
        <v>1.3345955042673397E-2</v>
      </c>
      <c r="F64" s="21">
        <f>+C64-169932</f>
        <v>167269</v>
      </c>
      <c r="G64" s="21">
        <f>+D64-168404</f>
        <v>164356</v>
      </c>
      <c r="H64" s="22">
        <f>(+F64-G64)/G64</f>
        <v>1.7723721677334565E-2</v>
      </c>
      <c r="I64" s="23">
        <f>K64/C64</f>
        <v>80.387827408578261</v>
      </c>
      <c r="J64" s="23">
        <f>K64/F64</f>
        <v>162.05546628484655</v>
      </c>
      <c r="K64" s="21">
        <v>27106855.789999999</v>
      </c>
      <c r="L64" s="21">
        <v>25612206.329999998</v>
      </c>
      <c r="M64" s="24">
        <f>(+K64-L64)/L64</f>
        <v>5.8356919382196816E-2</v>
      </c>
      <c r="N64" s="10"/>
      <c r="R64" s="2"/>
    </row>
    <row r="65" spans="1:18" ht="15.75" x14ac:dyDescent="0.25">
      <c r="A65" s="19"/>
      <c r="B65" s="20">
        <f>DATE(2026,8,1)</f>
        <v>46235</v>
      </c>
      <c r="C65" s="21">
        <v>330416</v>
      </c>
      <c r="D65" s="21">
        <v>337938</v>
      </c>
      <c r="E65" s="22">
        <f>(+C65-D65)/D65</f>
        <v>-2.2258520793755069E-2</v>
      </c>
      <c r="F65" s="21">
        <f>+C65-164602</f>
        <v>165814</v>
      </c>
      <c r="G65" s="21">
        <f>+D65-170987</f>
        <v>166951</v>
      </c>
      <c r="H65" s="22">
        <f>(+F65-G65)/G65</f>
        <v>-6.8103814891794599E-3</v>
      </c>
      <c r="I65" s="23">
        <f>K65/C65</f>
        <v>80.489930330250345</v>
      </c>
      <c r="J65" s="23">
        <f>K65/F65</f>
        <v>160.39152797713101</v>
      </c>
      <c r="K65" s="21">
        <v>26595160.82</v>
      </c>
      <c r="L65" s="21">
        <v>27293471.59</v>
      </c>
      <c r="M65" s="24">
        <f>(+K65-L65)/L65</f>
        <v>-2.5585267440139503E-2</v>
      </c>
      <c r="N65" s="10"/>
      <c r="R65" s="2"/>
    </row>
    <row r="66" spans="1:18" ht="15.75" thickBot="1" x14ac:dyDescent="0.25">
      <c r="A66" s="37"/>
      <c r="B66" s="44"/>
      <c r="C66" s="21"/>
      <c r="D66" s="21"/>
      <c r="E66" s="22"/>
      <c r="F66" s="21"/>
      <c r="G66" s="21"/>
      <c r="H66" s="22"/>
      <c r="I66" s="23"/>
      <c r="J66" s="23"/>
      <c r="K66" s="21"/>
      <c r="L66" s="21"/>
      <c r="M66" s="24"/>
      <c r="N66" s="10"/>
      <c r="R66" s="2"/>
    </row>
    <row r="67" spans="1:18" ht="17.25" thickTop="1" thickBot="1" x14ac:dyDescent="0.3">
      <c r="A67" s="38" t="s">
        <v>14</v>
      </c>
      <c r="B67" s="39"/>
      <c r="C67" s="40">
        <f>SUM(C64:C66)</f>
        <v>667617</v>
      </c>
      <c r="D67" s="40">
        <f>SUM(D64:D66)</f>
        <v>670698</v>
      </c>
      <c r="E67" s="279">
        <f>(+C67-D67)/D67</f>
        <v>-4.5937217644901286E-3</v>
      </c>
      <c r="F67" s="40">
        <f>SUM(F64:F66)</f>
        <v>333083</v>
      </c>
      <c r="G67" s="40">
        <f>SUM(G64:G66)</f>
        <v>331307</v>
      </c>
      <c r="H67" s="41">
        <f>(+F67-G67)/G67</f>
        <v>5.360587008424211E-3</v>
      </c>
      <c r="I67" s="42">
        <f>K67/C67</f>
        <v>80.438360032773275</v>
      </c>
      <c r="J67" s="42">
        <f>K67/F67</f>
        <v>161.22713140568567</v>
      </c>
      <c r="K67" s="40">
        <f>SUM(K64:K66)</f>
        <v>53702016.609999999</v>
      </c>
      <c r="L67" s="40">
        <f>SUM(L64:L66)</f>
        <v>52905677.920000002</v>
      </c>
      <c r="M67" s="43">
        <f>(+K67-L67)/L67</f>
        <v>1.505204585421174E-2</v>
      </c>
      <c r="N67" s="10"/>
      <c r="R67" s="2"/>
    </row>
    <row r="68" spans="1:18" ht="15.75" customHeight="1" thickTop="1" x14ac:dyDescent="0.25">
      <c r="A68" s="19"/>
      <c r="B68" s="44"/>
      <c r="C68" s="21"/>
      <c r="D68" s="21"/>
      <c r="E68" s="22"/>
      <c r="F68" s="21"/>
      <c r="G68" s="21"/>
      <c r="H68" s="22"/>
      <c r="I68" s="23"/>
      <c r="J68" s="23"/>
      <c r="K68" s="21"/>
      <c r="L68" s="21"/>
      <c r="M68" s="24"/>
      <c r="N68" s="10"/>
      <c r="R68" s="2"/>
    </row>
    <row r="69" spans="1:18" ht="15.75" x14ac:dyDescent="0.25">
      <c r="A69" s="19" t="s">
        <v>56</v>
      </c>
      <c r="B69" s="20">
        <f>DATE(2026,7,1)</f>
        <v>46204</v>
      </c>
      <c r="C69" s="21">
        <v>61487</v>
      </c>
      <c r="D69" s="21">
        <v>62531</v>
      </c>
      <c r="E69" s="22">
        <f>(+C69-D69)/D69</f>
        <v>-1.6695718923413986E-2</v>
      </c>
      <c r="F69" s="21">
        <f>+C69-27643</f>
        <v>33844</v>
      </c>
      <c r="G69" s="21">
        <f>+D69-28002</f>
        <v>34529</v>
      </c>
      <c r="H69" s="22">
        <f>(+F69-G69)/G69</f>
        <v>-1.9838396710011873E-2</v>
      </c>
      <c r="I69" s="23">
        <f>K69/C69</f>
        <v>70.996753622716994</v>
      </c>
      <c r="J69" s="23">
        <f>K69/F69</f>
        <v>128.98526740338019</v>
      </c>
      <c r="K69" s="21">
        <v>4365377.3899999997</v>
      </c>
      <c r="L69" s="21">
        <v>4324125.6399999997</v>
      </c>
      <c r="M69" s="24">
        <f>(+K69-L69)/L69</f>
        <v>9.5399055056133858E-3</v>
      </c>
      <c r="N69" s="10"/>
      <c r="R69" s="2"/>
    </row>
    <row r="70" spans="1:18" ht="15.75" x14ac:dyDescent="0.25">
      <c r="A70" s="19"/>
      <c r="B70" s="20">
        <f>DATE(2026,8,1)</f>
        <v>46235</v>
      </c>
      <c r="C70" s="21">
        <v>61747</v>
      </c>
      <c r="D70" s="21">
        <v>65265</v>
      </c>
      <c r="E70" s="22">
        <f>(+C70-D70)/D70</f>
        <v>-5.3903317245077763E-2</v>
      </c>
      <c r="F70" s="21">
        <f>+C70-27655</f>
        <v>34092</v>
      </c>
      <c r="G70" s="21">
        <f>+D70-29137</f>
        <v>36128</v>
      </c>
      <c r="H70" s="22">
        <f>(+F70-G70)/G70</f>
        <v>-5.6355181576616474E-2</v>
      </c>
      <c r="I70" s="23">
        <f>K70/C70</f>
        <v>68.723444215913318</v>
      </c>
      <c r="J70" s="23">
        <f>K70/F70</f>
        <v>124.47103455356094</v>
      </c>
      <c r="K70" s="21">
        <v>4243466.51</v>
      </c>
      <c r="L70" s="21">
        <v>4199267.03</v>
      </c>
      <c r="M70" s="24">
        <f>(+K70-L70)/L70</f>
        <v>1.0525522593403523E-2</v>
      </c>
      <c r="N70" s="10"/>
      <c r="R70" s="2"/>
    </row>
    <row r="71" spans="1:18" ht="15.75" thickBot="1" x14ac:dyDescent="0.25">
      <c r="A71" s="37"/>
      <c r="B71" s="44"/>
      <c r="C71" s="21"/>
      <c r="D71" s="21"/>
      <c r="E71" s="22"/>
      <c r="F71" s="21"/>
      <c r="G71" s="21"/>
      <c r="H71" s="22"/>
      <c r="I71" s="23"/>
      <c r="J71" s="23"/>
      <c r="K71" s="21"/>
      <c r="L71" s="21"/>
      <c r="M71" s="24"/>
      <c r="N71" s="10"/>
      <c r="R71" s="2"/>
    </row>
    <row r="72" spans="1:18" ht="17.25" thickTop="1" thickBot="1" x14ac:dyDescent="0.3">
      <c r="A72" s="25" t="s">
        <v>14</v>
      </c>
      <c r="B72" s="26"/>
      <c r="C72" s="27">
        <f>SUM(C69:C71)</f>
        <v>123234</v>
      </c>
      <c r="D72" s="27">
        <f>SUM(D69:D71)</f>
        <v>127796</v>
      </c>
      <c r="E72" s="279">
        <f>(+C72-D72)/D72</f>
        <v>-3.5697517919183699E-2</v>
      </c>
      <c r="F72" s="27">
        <f>SUM(F69:F71)</f>
        <v>67936</v>
      </c>
      <c r="G72" s="27">
        <f>SUM(G69:G71)</f>
        <v>70657</v>
      </c>
      <c r="H72" s="41">
        <f>(+F72-G72)/G72</f>
        <v>-3.8509984856419037E-2</v>
      </c>
      <c r="I72" s="42">
        <f>K72/C72</f>
        <v>69.857700796857998</v>
      </c>
      <c r="J72" s="42">
        <f>K72/F72</f>
        <v>126.71991138718792</v>
      </c>
      <c r="K72" s="27">
        <f>SUM(K69:K71)</f>
        <v>8608843.8999999985</v>
      </c>
      <c r="L72" s="27">
        <f>SUM(L69:L71)</f>
        <v>8523392.6699999999</v>
      </c>
      <c r="M72" s="43">
        <f>(+K72-L72)/L72</f>
        <v>1.0025494930060354E-2</v>
      </c>
      <c r="N72" s="10"/>
      <c r="R72" s="2"/>
    </row>
    <row r="73" spans="1:18" ht="16.5" thickTop="1" thickBot="1" x14ac:dyDescent="0.25">
      <c r="A73" s="62"/>
      <c r="B73" s="33"/>
      <c r="C73" s="34"/>
      <c r="D73" s="34"/>
      <c r="E73" s="28"/>
      <c r="F73" s="34"/>
      <c r="G73" s="34"/>
      <c r="H73" s="28"/>
      <c r="I73" s="35"/>
      <c r="J73" s="35"/>
      <c r="K73" s="34"/>
      <c r="L73" s="34"/>
      <c r="M73" s="36"/>
      <c r="N73" s="10"/>
      <c r="R73" s="2"/>
    </row>
    <row r="74" spans="1:18" ht="17.25" thickTop="1" thickBot="1" x14ac:dyDescent="0.3">
      <c r="A74" s="63" t="s">
        <v>18</v>
      </c>
      <c r="B74" s="64"/>
      <c r="C74" s="27">
        <f>C72+C67+C32+C42+C47+C22+C12+C52+C57+C27+C62+C17+C37</f>
        <v>4889557</v>
      </c>
      <c r="D74" s="27">
        <f>D72+D67+D32+D42+D47+D22+D12+D52+D57+D27+D62+D17+D37</f>
        <v>4900098</v>
      </c>
      <c r="E74" s="278">
        <f>(+C74-D74)/D74</f>
        <v>-2.1511814661665952E-3</v>
      </c>
      <c r="F74" s="27">
        <f>F72+F67+F32+F42+F47+F22+F12+F52+F57+F27+F62+F17+F37</f>
        <v>2470819</v>
      </c>
      <c r="G74" s="27">
        <f>G72+G67+G32+G42+G47+G22+G12+G52+G57+G27+G62+G17+G37</f>
        <v>2510081</v>
      </c>
      <c r="H74" s="29">
        <f>(+F74-G74)/G74</f>
        <v>-1.5641726302856363E-2</v>
      </c>
      <c r="I74" s="30">
        <f>K74/C74</f>
        <v>71.201818164713089</v>
      </c>
      <c r="J74" s="30">
        <f>K74/F74</f>
        <v>140.90281336674195</v>
      </c>
      <c r="K74" s="27">
        <f>K72+K67+K32+K42+K47+K22+K12+K52+K57+K27+K62+K17+K37</f>
        <v>348145348.42000002</v>
      </c>
      <c r="L74" s="27">
        <f>L72+L67+L32+L42+L47+L22+L12+L52+L57+L27+L62+L17+L37</f>
        <v>345190382.74000001</v>
      </c>
      <c r="M74" s="31">
        <f>(+K74-L74)/L74</f>
        <v>8.5603939963347971E-3</v>
      </c>
      <c r="N74" s="10"/>
      <c r="R74" s="2"/>
    </row>
    <row r="75" spans="1:18" ht="17.25" thickTop="1" thickBot="1" x14ac:dyDescent="0.3">
      <c r="A75" s="63"/>
      <c r="B75" s="64"/>
      <c r="C75" s="27"/>
      <c r="D75" s="27"/>
      <c r="E75" s="28"/>
      <c r="F75" s="27"/>
      <c r="G75" s="27"/>
      <c r="H75" s="29"/>
      <c r="I75" s="30"/>
      <c r="J75" s="30"/>
      <c r="K75" s="27"/>
      <c r="L75" s="27"/>
      <c r="M75" s="31"/>
      <c r="N75" s="10"/>
      <c r="R75" s="2"/>
    </row>
    <row r="76" spans="1:18" ht="17.25" thickTop="1" thickBot="1" x14ac:dyDescent="0.3">
      <c r="A76" s="63" t="s">
        <v>19</v>
      </c>
      <c r="B76" s="64"/>
      <c r="C76" s="27">
        <f>+C10+C15+C20+C25+C30+C35+C40+C45+C50+C55+C60+C65+C70</f>
        <v>2441681</v>
      </c>
      <c r="D76" s="27">
        <f>+D10+D15+D20+D25+D30+D35+D40+D45+D50+D55+D60+D65+D70</f>
        <v>2492959</v>
      </c>
      <c r="E76" s="278">
        <f>(+C76-D76)/D76</f>
        <v>-2.0569130900267515E-2</v>
      </c>
      <c r="F76" s="27">
        <f>+F10+F15+F20+F25+F30+F35+F40+F45+F50+F55+F60+F65+F70</f>
        <v>1231401</v>
      </c>
      <c r="G76" s="27">
        <f>+G10+G15+G20+G25+G30+G35+G40+G45+G50+G55+G60+G65+G70</f>
        <v>1276407</v>
      </c>
      <c r="H76" s="29">
        <f>(+F76-G76)/G76</f>
        <v>-3.5259913178163391E-2</v>
      </c>
      <c r="I76" s="292">
        <f>K76/C76</f>
        <v>70.180202938057832</v>
      </c>
      <c r="J76" s="30">
        <f>K76/F76</f>
        <v>139.15667446266485</v>
      </c>
      <c r="K76" s="27">
        <f>+K10+K15+K20+K25+K30+K35+K40+K45+K50+K55+K60+K65+K70</f>
        <v>171357668.08999997</v>
      </c>
      <c r="L76" s="27">
        <f>+L10+L15+L20+L25+L30+L35+L40+L45+L50+L55+L60+L65+L70</f>
        <v>177483222.86000001</v>
      </c>
      <c r="M76" s="31">
        <f>(+K76-L76)/L76</f>
        <v>-3.4513429896593215E-2</v>
      </c>
      <c r="N76" s="10"/>
      <c r="R76" s="2"/>
    </row>
    <row r="77" spans="1:18" ht="15.75" thickTop="1" x14ac:dyDescent="0.2">
      <c r="A77" s="65"/>
      <c r="B77" s="66"/>
      <c r="C77" s="67"/>
      <c r="D77" s="66"/>
      <c r="E77" s="66"/>
      <c r="F77" s="66"/>
      <c r="G77" s="66"/>
      <c r="H77" s="66"/>
      <c r="I77" s="66"/>
      <c r="J77" s="66"/>
      <c r="K77" s="67"/>
      <c r="L77" s="67"/>
      <c r="M77" s="66"/>
      <c r="R77" s="2"/>
    </row>
    <row r="78" spans="1:18" ht="18.75" x14ac:dyDescent="0.3">
      <c r="A78" s="263" t="s">
        <v>20</v>
      </c>
      <c r="B78" s="69"/>
      <c r="C78" s="70"/>
      <c r="D78" s="70"/>
      <c r="E78" s="70"/>
      <c r="F78" s="70"/>
      <c r="G78" s="70"/>
      <c r="H78" s="70"/>
      <c r="I78" s="70"/>
      <c r="J78" s="70"/>
      <c r="K78" s="197"/>
      <c r="L78" s="197"/>
      <c r="M78" s="70"/>
      <c r="N78" s="2"/>
      <c r="O78" s="2"/>
      <c r="P78" s="2"/>
      <c r="Q78" s="2"/>
      <c r="R78" s="2"/>
    </row>
    <row r="79" spans="1:18" ht="18" x14ac:dyDescent="0.25">
      <c r="A79" s="68"/>
      <c r="B79" s="69"/>
      <c r="C79" s="70"/>
      <c r="D79" s="70"/>
      <c r="E79" s="70"/>
      <c r="F79" s="70"/>
      <c r="G79" s="70"/>
      <c r="H79" s="70"/>
      <c r="I79" s="70"/>
      <c r="J79" s="70"/>
      <c r="K79" s="197"/>
      <c r="L79" s="197"/>
      <c r="M79" s="70"/>
      <c r="N79" s="2"/>
      <c r="O79" s="2"/>
      <c r="P79" s="2"/>
      <c r="Q79" s="2"/>
      <c r="R79" s="2"/>
    </row>
    <row r="80" spans="1:18" ht="15.75" x14ac:dyDescent="0.25">
      <c r="A80" s="71"/>
      <c r="B80" s="72"/>
      <c r="C80" s="73"/>
      <c r="D80" s="73"/>
      <c r="E80" s="73"/>
      <c r="F80" s="73"/>
      <c r="G80" s="73"/>
      <c r="H80" s="73"/>
      <c r="I80" s="73"/>
      <c r="J80" s="73"/>
      <c r="K80" s="191"/>
      <c r="L80" s="191"/>
      <c r="M80" s="74"/>
      <c r="N80" s="2"/>
      <c r="O80" s="2"/>
      <c r="P80" s="2"/>
      <c r="Q80" s="2"/>
      <c r="R80" s="2"/>
    </row>
    <row r="81" spans="1:18" x14ac:dyDescent="0.2">
      <c r="A81" s="2"/>
      <c r="B81" s="72"/>
      <c r="C81" s="73"/>
      <c r="D81" s="73"/>
      <c r="E81" s="73"/>
      <c r="F81" s="73"/>
      <c r="G81" s="73"/>
      <c r="H81" s="73"/>
      <c r="I81" s="73"/>
      <c r="J81" s="73"/>
      <c r="K81" s="191"/>
      <c r="L81" s="191"/>
      <c r="M81" s="74"/>
      <c r="N81" s="2"/>
      <c r="O81" s="2"/>
      <c r="P81" s="2"/>
      <c r="Q81" s="2"/>
      <c r="R81" s="2"/>
    </row>
    <row r="82" spans="1:18" x14ac:dyDescent="0.2">
      <c r="A82" s="2"/>
      <c r="B82" s="72"/>
      <c r="C82" s="73"/>
      <c r="D82" s="73"/>
      <c r="E82" s="73"/>
      <c r="F82" s="73"/>
      <c r="G82" s="73"/>
      <c r="H82" s="73"/>
      <c r="I82" s="73"/>
      <c r="J82" s="73"/>
      <c r="K82" s="191"/>
      <c r="L82" s="191"/>
      <c r="M82" s="74"/>
      <c r="N82" s="2"/>
      <c r="O82" s="2"/>
      <c r="P82" s="2"/>
      <c r="Q82" s="2"/>
      <c r="R82" s="2"/>
    </row>
    <row r="83" spans="1:18" x14ac:dyDescent="0.2">
      <c r="A83" s="2"/>
      <c r="B83" s="72"/>
      <c r="C83" s="73"/>
      <c r="D83" s="73"/>
      <c r="E83" s="73"/>
      <c r="F83" s="73"/>
      <c r="G83" s="73"/>
      <c r="H83" s="73"/>
      <c r="I83" s="73"/>
      <c r="J83" s="73"/>
      <c r="K83" s="191"/>
      <c r="L83" s="191"/>
      <c r="M83" s="74"/>
      <c r="N83" s="2"/>
      <c r="O83" s="2"/>
      <c r="P83" s="2"/>
      <c r="Q83" s="2"/>
      <c r="R83" s="2"/>
    </row>
    <row r="84" spans="1:18" x14ac:dyDescent="0.2">
      <c r="A84" s="2"/>
      <c r="B84" s="72"/>
      <c r="C84" s="73"/>
      <c r="D84" s="73"/>
      <c r="E84" s="73"/>
      <c r="F84" s="73"/>
      <c r="G84" s="73"/>
      <c r="H84" s="73"/>
      <c r="I84" s="73"/>
      <c r="J84" s="73"/>
      <c r="K84" s="191"/>
      <c r="L84" s="191"/>
      <c r="M84" s="74"/>
      <c r="N84" s="2"/>
      <c r="O84" s="2"/>
      <c r="P84" s="2"/>
      <c r="Q84" s="2"/>
      <c r="R84" s="2"/>
    </row>
    <row r="85" spans="1:18" x14ac:dyDescent="0.2">
      <c r="A85" s="2"/>
      <c r="B85" s="72"/>
      <c r="C85" s="73"/>
      <c r="D85" s="73"/>
      <c r="E85" s="73"/>
      <c r="F85" s="73"/>
      <c r="G85" s="73"/>
      <c r="H85" s="73"/>
      <c r="I85" s="73"/>
      <c r="J85" s="73"/>
      <c r="K85" s="191"/>
      <c r="L85" s="191"/>
      <c r="M85" s="74"/>
      <c r="N85" s="2"/>
      <c r="O85" s="2"/>
      <c r="P85" s="2"/>
      <c r="Q85" s="2"/>
      <c r="R85" s="2"/>
    </row>
    <row r="86" spans="1:18" x14ac:dyDescent="0.2">
      <c r="A86" s="2"/>
      <c r="B86" s="72"/>
      <c r="C86" s="73"/>
      <c r="D86" s="73"/>
      <c r="E86" s="73"/>
      <c r="F86" s="73"/>
      <c r="G86" s="73"/>
      <c r="H86" s="73"/>
      <c r="I86" s="73"/>
      <c r="J86" s="73"/>
      <c r="K86" s="191"/>
      <c r="L86" s="191"/>
      <c r="M86" s="74"/>
      <c r="N86" s="2"/>
      <c r="O86" s="2"/>
      <c r="P86" s="2"/>
      <c r="Q86" s="2"/>
      <c r="R86" s="2"/>
    </row>
    <row r="87" spans="1:18" x14ac:dyDescent="0.2">
      <c r="A87" s="2"/>
      <c r="B87" s="72"/>
      <c r="C87" s="73"/>
      <c r="D87" s="73"/>
      <c r="E87" s="73"/>
      <c r="F87" s="73"/>
      <c r="G87" s="73"/>
      <c r="H87" s="73"/>
      <c r="I87" s="73"/>
      <c r="J87" s="73"/>
      <c r="K87" s="191"/>
      <c r="L87" s="191"/>
      <c r="M87" s="74"/>
      <c r="N87" s="2"/>
      <c r="O87" s="2"/>
      <c r="P87" s="2"/>
      <c r="Q87" s="2"/>
      <c r="R87" s="2"/>
    </row>
    <row r="88" spans="1:18" x14ac:dyDescent="0.2">
      <c r="A88" s="2"/>
      <c r="B88" s="72"/>
      <c r="C88" s="73"/>
      <c r="D88" s="73"/>
      <c r="E88" s="73"/>
      <c r="F88" s="73"/>
      <c r="G88" s="73"/>
      <c r="H88" s="73"/>
      <c r="I88" s="73"/>
      <c r="J88" s="73"/>
      <c r="K88" s="191"/>
      <c r="L88" s="191"/>
      <c r="M88" s="74"/>
      <c r="N88" s="2"/>
      <c r="O88" s="2"/>
      <c r="P88" s="2"/>
      <c r="Q88" s="2"/>
      <c r="R88" s="2"/>
    </row>
    <row r="89" spans="1:18" x14ac:dyDescent="0.2">
      <c r="A89" s="2"/>
      <c r="B89" s="72"/>
      <c r="C89" s="73"/>
      <c r="D89" s="73"/>
      <c r="E89" s="73"/>
      <c r="F89" s="73"/>
      <c r="G89" s="73"/>
      <c r="H89" s="73"/>
      <c r="I89" s="73"/>
      <c r="J89" s="73"/>
      <c r="K89" s="191"/>
      <c r="L89" s="191"/>
      <c r="M89" s="73"/>
      <c r="N89" s="2"/>
      <c r="O89" s="2"/>
      <c r="P89" s="2"/>
      <c r="Q89" s="2"/>
      <c r="R89" s="2"/>
    </row>
    <row r="90" spans="1:18" x14ac:dyDescent="0.2">
      <c r="A90" s="2"/>
      <c r="B90" s="72"/>
      <c r="C90" s="73"/>
      <c r="D90" s="73"/>
      <c r="E90" s="73"/>
      <c r="F90" s="73"/>
      <c r="G90" s="73"/>
      <c r="H90" s="73"/>
      <c r="I90" s="73"/>
      <c r="J90" s="73"/>
      <c r="K90" s="191"/>
      <c r="L90" s="191"/>
      <c r="M90" s="73"/>
      <c r="N90" s="2"/>
      <c r="O90" s="2"/>
      <c r="P90" s="2"/>
      <c r="Q90" s="2"/>
      <c r="R90" s="2"/>
    </row>
    <row r="91" spans="1:18" x14ac:dyDescent="0.2">
      <c r="A91" s="2"/>
      <c r="B91" s="69"/>
      <c r="C91" s="73"/>
      <c r="D91" s="73"/>
      <c r="E91" s="73"/>
      <c r="F91" s="73"/>
      <c r="G91" s="73"/>
      <c r="H91" s="73"/>
      <c r="I91" s="73"/>
      <c r="J91" s="73"/>
      <c r="K91" s="191"/>
      <c r="L91" s="191"/>
      <c r="M91" s="73"/>
      <c r="N91" s="2"/>
      <c r="O91" s="2"/>
      <c r="P91" s="2"/>
      <c r="Q91" s="2"/>
      <c r="R91" s="2"/>
    </row>
    <row r="92" spans="1:18" ht="15.75" x14ac:dyDescent="0.25">
      <c r="A92" s="75"/>
      <c r="B92" s="69"/>
      <c r="C92" s="73"/>
      <c r="D92" s="73"/>
      <c r="E92" s="73"/>
      <c r="F92" s="73"/>
      <c r="G92" s="73"/>
      <c r="H92" s="73"/>
      <c r="I92" s="73"/>
      <c r="J92" s="73"/>
      <c r="K92" s="191"/>
      <c r="L92" s="191"/>
      <c r="M92" s="74"/>
      <c r="N92" s="2"/>
      <c r="O92" s="2"/>
      <c r="P92" s="2"/>
      <c r="Q92" s="2"/>
      <c r="R92" s="2"/>
    </row>
    <row r="93" spans="1:18" ht="15.75" x14ac:dyDescent="0.25">
      <c r="A93" s="75"/>
      <c r="B93" s="69"/>
      <c r="C93" s="73"/>
      <c r="D93" s="73"/>
      <c r="E93" s="73"/>
      <c r="F93" s="73"/>
      <c r="G93" s="73"/>
      <c r="H93" s="73"/>
      <c r="I93" s="73"/>
      <c r="J93" s="73"/>
      <c r="K93" s="191"/>
      <c r="L93" s="191"/>
      <c r="M93" s="74"/>
      <c r="N93" s="2"/>
      <c r="O93" s="2"/>
      <c r="P93" s="2"/>
      <c r="Q93" s="2"/>
      <c r="R93" s="2"/>
    </row>
    <row r="94" spans="1:18" ht="15.75" x14ac:dyDescent="0.25">
      <c r="A94" s="75"/>
      <c r="B94" s="69"/>
      <c r="C94" s="73"/>
      <c r="D94" s="73"/>
      <c r="E94" s="73"/>
      <c r="F94" s="73"/>
      <c r="G94" s="73"/>
      <c r="H94" s="73"/>
      <c r="I94" s="73"/>
      <c r="J94" s="73"/>
      <c r="K94" s="191"/>
      <c r="L94" s="191"/>
      <c r="M94" s="74"/>
      <c r="N94" s="2"/>
      <c r="O94" s="2"/>
      <c r="P94" s="2"/>
      <c r="Q94" s="2"/>
      <c r="R94" s="2"/>
    </row>
    <row r="95" spans="1:18" x14ac:dyDescent="0.2">
      <c r="A95" s="2"/>
      <c r="B95" s="69"/>
      <c r="C95" s="73"/>
      <c r="D95" s="73"/>
      <c r="E95" s="73"/>
      <c r="F95" s="73"/>
      <c r="G95" s="73"/>
      <c r="H95" s="73"/>
      <c r="I95" s="73"/>
      <c r="J95" s="73"/>
      <c r="K95" s="191"/>
      <c r="L95" s="191"/>
      <c r="M95" s="74"/>
      <c r="N95" s="2"/>
      <c r="O95" s="2"/>
      <c r="P95" s="2"/>
      <c r="Q95" s="2"/>
      <c r="R95" s="2"/>
    </row>
    <row r="96" spans="1:18" ht="15.75" x14ac:dyDescent="0.25">
      <c r="A96" s="75"/>
      <c r="B96" s="72"/>
      <c r="C96" s="73"/>
      <c r="D96" s="73"/>
      <c r="E96" s="73"/>
      <c r="F96" s="73"/>
      <c r="G96" s="73"/>
      <c r="H96" s="73"/>
      <c r="I96" s="73"/>
      <c r="J96" s="73"/>
      <c r="K96" s="191"/>
      <c r="L96" s="191"/>
      <c r="M96" s="74"/>
      <c r="N96" s="2"/>
      <c r="O96" s="2"/>
      <c r="P96" s="2"/>
      <c r="Q96" s="2"/>
      <c r="R96" s="2"/>
    </row>
    <row r="97" spans="1:18" x14ac:dyDescent="0.2">
      <c r="A97" s="2"/>
      <c r="B97" s="72"/>
      <c r="C97" s="73"/>
      <c r="D97" s="73"/>
      <c r="E97" s="73"/>
      <c r="F97" s="73"/>
      <c r="G97" s="73"/>
      <c r="H97" s="73"/>
      <c r="I97" s="73"/>
      <c r="J97" s="73"/>
      <c r="K97" s="191"/>
      <c r="L97" s="191"/>
      <c r="M97" s="74"/>
      <c r="N97" s="2"/>
      <c r="O97" s="2"/>
      <c r="P97" s="2"/>
      <c r="Q97" s="2"/>
      <c r="R97" s="2"/>
    </row>
    <row r="98" spans="1:18" x14ac:dyDescent="0.2">
      <c r="A98" s="2"/>
      <c r="B98" s="72"/>
      <c r="C98" s="73"/>
      <c r="D98" s="73"/>
      <c r="E98" s="73"/>
      <c r="F98" s="73"/>
      <c r="G98" s="73"/>
      <c r="H98" s="73"/>
      <c r="I98" s="73"/>
      <c r="J98" s="73"/>
      <c r="K98" s="191"/>
      <c r="L98" s="191"/>
      <c r="M98" s="74"/>
      <c r="N98" s="2"/>
      <c r="O98" s="2"/>
      <c r="P98" s="2"/>
      <c r="Q98" s="2"/>
      <c r="R98" s="2"/>
    </row>
    <row r="99" spans="1:18" x14ac:dyDescent="0.2">
      <c r="A99" s="2"/>
      <c r="B99" s="76"/>
      <c r="C99" s="73"/>
      <c r="D99" s="73"/>
      <c r="E99" s="73"/>
      <c r="F99" s="73"/>
      <c r="G99" s="73"/>
      <c r="H99" s="73"/>
      <c r="I99" s="73"/>
      <c r="J99" s="73"/>
      <c r="K99" s="191"/>
      <c r="L99" s="191"/>
      <c r="M99" s="74"/>
      <c r="N99" s="2"/>
      <c r="O99" s="2"/>
      <c r="P99" s="2"/>
      <c r="Q99" s="2"/>
      <c r="R99" s="2"/>
    </row>
    <row r="100" spans="1:18" x14ac:dyDescent="0.2">
      <c r="A100" s="2"/>
      <c r="B100" s="76"/>
      <c r="C100" s="73"/>
      <c r="D100" s="73"/>
      <c r="E100" s="73"/>
      <c r="F100" s="73"/>
      <c r="G100" s="73"/>
      <c r="H100" s="73"/>
      <c r="I100" s="73"/>
      <c r="J100" s="73"/>
      <c r="K100" s="191"/>
      <c r="L100" s="191"/>
      <c r="M100" s="74"/>
      <c r="N100" s="2"/>
      <c r="O100" s="2"/>
      <c r="P100" s="2"/>
      <c r="Q100" s="2"/>
      <c r="R100" s="2"/>
    </row>
    <row r="101" spans="1:18" x14ac:dyDescent="0.2">
      <c r="A101" s="2"/>
      <c r="B101" s="76"/>
      <c r="C101" s="73"/>
      <c r="D101" s="73"/>
      <c r="E101" s="73"/>
      <c r="F101" s="73"/>
      <c r="G101" s="73"/>
      <c r="H101" s="73"/>
      <c r="I101" s="73"/>
      <c r="J101" s="73"/>
      <c r="K101" s="191"/>
      <c r="L101" s="191"/>
      <c r="M101" s="74"/>
      <c r="N101" s="2"/>
      <c r="O101" s="2"/>
      <c r="P101" s="2"/>
      <c r="Q101" s="2"/>
      <c r="R101" s="2"/>
    </row>
    <row r="102" spans="1:18" x14ac:dyDescent="0.2">
      <c r="A102" s="2"/>
      <c r="B102" s="76"/>
      <c r="C102" s="73"/>
      <c r="D102" s="73"/>
      <c r="E102" s="73"/>
      <c r="F102" s="73"/>
      <c r="G102" s="73"/>
      <c r="H102" s="73"/>
      <c r="I102" s="73"/>
      <c r="J102" s="73"/>
      <c r="K102" s="191"/>
      <c r="L102" s="191"/>
      <c r="M102" s="74"/>
      <c r="N102" s="2"/>
      <c r="O102" s="2"/>
      <c r="P102" s="2"/>
      <c r="Q102" s="2"/>
      <c r="R102" s="2"/>
    </row>
    <row r="103" spans="1:18" x14ac:dyDescent="0.2">
      <c r="A103" s="2"/>
      <c r="B103" s="76"/>
      <c r="C103" s="73"/>
      <c r="D103" s="73"/>
      <c r="E103" s="73"/>
      <c r="F103" s="73"/>
      <c r="G103" s="73"/>
      <c r="H103" s="73"/>
      <c r="I103" s="73"/>
      <c r="J103" s="73"/>
      <c r="K103" s="191"/>
      <c r="L103" s="191"/>
      <c r="M103" s="74"/>
      <c r="N103" s="2"/>
      <c r="O103" s="2"/>
      <c r="P103" s="2"/>
      <c r="Q103" s="2"/>
      <c r="R103" s="2"/>
    </row>
    <row r="104" spans="1:18" x14ac:dyDescent="0.2">
      <c r="A104" s="2"/>
      <c r="B104" s="76"/>
      <c r="C104" s="73"/>
      <c r="D104" s="73"/>
      <c r="E104" s="73"/>
      <c r="F104" s="73"/>
      <c r="G104" s="73"/>
      <c r="H104" s="73"/>
      <c r="I104" s="73"/>
      <c r="J104" s="73"/>
      <c r="K104" s="191"/>
      <c r="L104" s="191"/>
      <c r="M104" s="74"/>
      <c r="N104" s="2"/>
      <c r="O104" s="2"/>
      <c r="P104" s="2"/>
      <c r="Q104" s="2"/>
      <c r="R104" s="2"/>
    </row>
    <row r="105" spans="1:18" x14ac:dyDescent="0.2">
      <c r="A105" s="2"/>
      <c r="B105" s="76"/>
      <c r="C105" s="73"/>
      <c r="D105" s="73"/>
      <c r="E105" s="73"/>
      <c r="F105" s="73"/>
      <c r="G105" s="73"/>
      <c r="H105" s="73"/>
      <c r="I105" s="73"/>
      <c r="J105" s="73"/>
      <c r="K105" s="191"/>
      <c r="L105" s="191"/>
      <c r="M105" s="74"/>
      <c r="N105" s="2"/>
      <c r="O105" s="2"/>
      <c r="P105" s="2"/>
      <c r="Q105" s="2"/>
      <c r="R105" s="2"/>
    </row>
    <row r="106" spans="1:18" x14ac:dyDescent="0.2">
      <c r="A106" s="2"/>
      <c r="B106" s="76"/>
      <c r="C106" s="73"/>
      <c r="D106" s="73"/>
      <c r="E106" s="73"/>
      <c r="F106" s="73"/>
      <c r="G106" s="73"/>
      <c r="H106" s="73"/>
      <c r="I106" s="73"/>
      <c r="J106" s="73"/>
      <c r="K106" s="191"/>
      <c r="L106" s="191"/>
      <c r="M106" s="74"/>
      <c r="N106" s="2"/>
      <c r="O106" s="2"/>
      <c r="P106" s="2"/>
      <c r="Q106" s="2"/>
      <c r="R106" s="2"/>
    </row>
    <row r="107" spans="1:18" x14ac:dyDescent="0.2">
      <c r="A107" s="2"/>
      <c r="B107" s="76"/>
      <c r="C107" s="73"/>
      <c r="D107" s="73"/>
      <c r="E107" s="73"/>
      <c r="F107" s="73"/>
      <c r="G107" s="73"/>
      <c r="H107" s="73"/>
      <c r="I107" s="73"/>
      <c r="J107" s="73"/>
      <c r="K107" s="191"/>
      <c r="L107" s="191"/>
      <c r="M107" s="74"/>
      <c r="N107" s="2"/>
      <c r="O107" s="2"/>
      <c r="P107" s="2"/>
      <c r="Q107" s="2"/>
      <c r="R107" s="2"/>
    </row>
    <row r="108" spans="1:18" x14ac:dyDescent="0.2">
      <c r="A108" s="2"/>
      <c r="B108" s="2"/>
      <c r="C108" s="73"/>
      <c r="D108" s="73"/>
      <c r="E108" s="73"/>
      <c r="F108" s="73"/>
      <c r="G108" s="73"/>
      <c r="H108" s="73"/>
      <c r="I108" s="73"/>
      <c r="J108" s="73"/>
      <c r="K108" s="191"/>
      <c r="L108" s="191"/>
      <c r="M108" s="74"/>
      <c r="N108" s="2"/>
      <c r="O108" s="2"/>
      <c r="P108" s="2"/>
      <c r="Q108" s="2"/>
      <c r="R108" s="2"/>
    </row>
    <row r="109" spans="1:18" ht="15.75" x14ac:dyDescent="0.25">
      <c r="A109" s="75"/>
      <c r="B109" s="2"/>
      <c r="C109" s="73"/>
      <c r="D109" s="73"/>
      <c r="E109" s="73"/>
      <c r="F109" s="73"/>
      <c r="G109" s="73"/>
      <c r="H109" s="73"/>
      <c r="I109" s="73"/>
      <c r="J109" s="73"/>
      <c r="K109" s="191"/>
      <c r="L109" s="191"/>
      <c r="M109" s="74"/>
      <c r="N109" s="2"/>
      <c r="O109" s="2"/>
      <c r="P109" s="2"/>
      <c r="Q109" s="2"/>
      <c r="R109" s="2"/>
    </row>
    <row r="110" spans="1:18" x14ac:dyDescent="0.2">
      <c r="A110" s="2"/>
      <c r="B110" s="2"/>
      <c r="C110" s="73"/>
      <c r="D110" s="73"/>
      <c r="E110" s="73"/>
      <c r="F110" s="73"/>
      <c r="G110" s="73"/>
      <c r="H110" s="73"/>
      <c r="I110" s="73"/>
      <c r="J110" s="73"/>
      <c r="K110" s="191"/>
      <c r="L110" s="191"/>
      <c r="M110" s="74"/>
      <c r="N110" s="2"/>
      <c r="O110" s="2"/>
      <c r="P110" s="2"/>
      <c r="Q110" s="2"/>
      <c r="R110" s="2"/>
    </row>
    <row r="111" spans="1:18" x14ac:dyDescent="0.2">
      <c r="A111" s="2"/>
      <c r="B111" s="2"/>
      <c r="C111" s="73"/>
      <c r="D111" s="73"/>
      <c r="E111" s="73"/>
      <c r="F111" s="73"/>
      <c r="G111" s="73"/>
      <c r="H111" s="73"/>
      <c r="I111" s="73"/>
      <c r="J111" s="73"/>
      <c r="K111" s="191"/>
      <c r="L111" s="191"/>
      <c r="M111" s="74"/>
      <c r="N111" s="2"/>
      <c r="O111" s="2"/>
      <c r="P111" s="2"/>
      <c r="Q111" s="2"/>
      <c r="R111" s="2"/>
    </row>
    <row r="112" spans="1:18" ht="15.75" x14ac:dyDescent="0.25">
      <c r="A112" s="75"/>
      <c r="B112" s="2"/>
      <c r="C112" s="73"/>
      <c r="D112" s="73"/>
      <c r="E112" s="73"/>
      <c r="F112" s="73"/>
      <c r="G112" s="73"/>
      <c r="H112" s="73"/>
      <c r="I112" s="73"/>
      <c r="J112" s="73"/>
      <c r="K112" s="191"/>
      <c r="L112" s="191"/>
      <c r="M112" s="74"/>
      <c r="N112" s="2"/>
      <c r="O112" s="2"/>
      <c r="P112" s="2"/>
      <c r="Q112" s="2"/>
      <c r="R112" s="2"/>
    </row>
    <row r="113" spans="1:18" ht="15.75" x14ac:dyDescent="0.25">
      <c r="A113" s="75"/>
      <c r="B113" s="2"/>
      <c r="C113" s="73"/>
      <c r="D113" s="73"/>
      <c r="E113" s="73"/>
      <c r="F113" s="73"/>
      <c r="G113" s="73"/>
      <c r="H113" s="73"/>
      <c r="I113" s="73"/>
      <c r="J113" s="73"/>
      <c r="K113" s="191"/>
      <c r="L113" s="191"/>
      <c r="M113" s="74"/>
      <c r="N113" s="2"/>
      <c r="O113" s="2"/>
      <c r="P113" s="2"/>
      <c r="Q113" s="2"/>
      <c r="R113" s="2"/>
    </row>
    <row r="114" spans="1:18" ht="15.75" x14ac:dyDescent="0.25">
      <c r="A114" s="75"/>
      <c r="B114" s="76"/>
      <c r="C114" s="73"/>
      <c r="D114" s="73"/>
      <c r="E114" s="73"/>
      <c r="F114" s="73"/>
      <c r="G114" s="73"/>
      <c r="H114" s="73"/>
      <c r="I114" s="73"/>
      <c r="J114" s="73"/>
      <c r="K114" s="191"/>
      <c r="L114" s="191"/>
      <c r="M114" s="74"/>
      <c r="N114" s="2"/>
      <c r="O114" s="2"/>
      <c r="P114" s="2"/>
      <c r="Q114" s="2"/>
      <c r="R114" s="2"/>
    </row>
    <row r="115" spans="1:18" x14ac:dyDescent="0.2">
      <c r="A115" s="2"/>
      <c r="B115" s="76"/>
      <c r="C115" s="73"/>
      <c r="D115" s="73"/>
      <c r="E115" s="73"/>
      <c r="F115" s="73"/>
      <c r="G115" s="73"/>
      <c r="H115" s="73"/>
      <c r="I115" s="73"/>
      <c r="J115" s="73"/>
      <c r="K115" s="191"/>
      <c r="L115" s="191"/>
      <c r="M115" s="74"/>
      <c r="N115" s="2"/>
      <c r="O115" s="2"/>
      <c r="P115" s="2"/>
      <c r="Q115" s="2"/>
      <c r="R115" s="2"/>
    </row>
    <row r="116" spans="1:18" x14ac:dyDescent="0.2">
      <c r="A116" s="2"/>
      <c r="B116" s="76"/>
      <c r="C116" s="73"/>
      <c r="D116" s="73"/>
      <c r="E116" s="73"/>
      <c r="F116" s="73"/>
      <c r="G116" s="73"/>
      <c r="H116" s="73"/>
      <c r="I116" s="73"/>
      <c r="J116" s="73"/>
      <c r="K116" s="191"/>
      <c r="L116" s="191"/>
      <c r="M116" s="74"/>
      <c r="N116" s="2"/>
      <c r="O116" s="2"/>
      <c r="P116" s="2"/>
      <c r="Q116" s="2"/>
      <c r="R116" s="2"/>
    </row>
    <row r="117" spans="1:18" x14ac:dyDescent="0.2">
      <c r="A117" s="2"/>
      <c r="B117" s="76"/>
      <c r="C117" s="73"/>
      <c r="D117" s="73"/>
      <c r="E117" s="73"/>
      <c r="F117" s="73"/>
      <c r="G117" s="73"/>
      <c r="H117" s="73"/>
      <c r="I117" s="73"/>
      <c r="J117" s="73"/>
      <c r="K117" s="191"/>
      <c r="L117" s="191"/>
      <c r="M117" s="74"/>
      <c r="N117" s="2"/>
      <c r="O117" s="2"/>
      <c r="P117" s="2"/>
      <c r="Q117" s="2"/>
      <c r="R117" s="2"/>
    </row>
    <row r="118" spans="1:18" x14ac:dyDescent="0.2">
      <c r="A118" s="2"/>
      <c r="B118" s="76"/>
      <c r="C118" s="73"/>
      <c r="D118" s="73"/>
      <c r="E118" s="73"/>
      <c r="F118" s="73"/>
      <c r="G118" s="73"/>
      <c r="H118" s="73"/>
      <c r="I118" s="73"/>
      <c r="J118" s="73"/>
      <c r="K118" s="191"/>
      <c r="L118" s="191"/>
      <c r="M118" s="74"/>
      <c r="N118" s="2"/>
      <c r="O118" s="2"/>
      <c r="P118" s="2"/>
      <c r="Q118" s="2"/>
      <c r="R118" s="2"/>
    </row>
    <row r="119" spans="1:18" x14ac:dyDescent="0.2">
      <c r="A119" s="2"/>
      <c r="B119" s="76"/>
      <c r="C119" s="73"/>
      <c r="D119" s="73"/>
      <c r="E119" s="73"/>
      <c r="F119" s="73"/>
      <c r="G119" s="73"/>
      <c r="H119" s="73"/>
      <c r="I119" s="73"/>
      <c r="J119" s="73"/>
      <c r="K119" s="191"/>
      <c r="L119" s="191"/>
      <c r="M119" s="74"/>
      <c r="N119" s="2"/>
      <c r="O119" s="2"/>
      <c r="P119" s="2"/>
      <c r="Q119" s="2"/>
      <c r="R119" s="2"/>
    </row>
    <row r="120" spans="1:18" x14ac:dyDescent="0.2">
      <c r="A120" s="2"/>
      <c r="B120" s="76"/>
      <c r="C120" s="73"/>
      <c r="D120" s="73"/>
      <c r="E120" s="73"/>
      <c r="F120" s="73"/>
      <c r="G120" s="73"/>
      <c r="H120" s="73"/>
      <c r="I120" s="73"/>
      <c r="J120" s="73"/>
      <c r="K120" s="191"/>
      <c r="L120" s="191"/>
      <c r="M120" s="74"/>
      <c r="N120" s="2"/>
      <c r="O120" s="2"/>
      <c r="P120" s="2"/>
      <c r="Q120" s="2"/>
      <c r="R120" s="2"/>
    </row>
    <row r="121" spans="1:18" x14ac:dyDescent="0.2">
      <c r="A121" s="2"/>
      <c r="B121" s="76"/>
      <c r="C121" s="73"/>
      <c r="D121" s="73"/>
      <c r="E121" s="73"/>
      <c r="F121" s="73"/>
      <c r="G121" s="73"/>
      <c r="H121" s="73"/>
      <c r="I121" s="73"/>
      <c r="J121" s="73"/>
      <c r="K121" s="191"/>
      <c r="L121" s="191"/>
      <c r="M121" s="74"/>
      <c r="N121" s="2"/>
      <c r="O121" s="2"/>
      <c r="P121" s="2"/>
      <c r="Q121" s="2"/>
      <c r="R121" s="2"/>
    </row>
    <row r="122" spans="1:18" x14ac:dyDescent="0.2">
      <c r="A122" s="2"/>
      <c r="B122" s="76"/>
      <c r="C122" s="73"/>
      <c r="D122" s="73"/>
      <c r="E122" s="73"/>
      <c r="F122" s="73"/>
      <c r="G122" s="73"/>
      <c r="H122" s="73"/>
      <c r="I122" s="73"/>
      <c r="J122" s="73"/>
      <c r="K122" s="191"/>
      <c r="L122" s="191"/>
      <c r="M122" s="74"/>
      <c r="N122" s="2"/>
      <c r="O122" s="2"/>
      <c r="P122" s="2"/>
      <c r="Q122" s="2"/>
      <c r="R122" s="2"/>
    </row>
    <row r="123" spans="1:18" x14ac:dyDescent="0.2">
      <c r="A123" s="2"/>
      <c r="B123" s="76"/>
      <c r="C123" s="73"/>
      <c r="D123" s="73"/>
      <c r="E123" s="73"/>
      <c r="F123" s="73"/>
      <c r="G123" s="73"/>
      <c r="H123" s="73"/>
      <c r="I123" s="73"/>
      <c r="J123" s="73"/>
      <c r="K123" s="191"/>
      <c r="L123" s="191"/>
      <c r="M123" s="74"/>
      <c r="N123" s="2"/>
      <c r="O123" s="2"/>
      <c r="P123" s="2"/>
      <c r="Q123" s="2"/>
      <c r="R123" s="2"/>
    </row>
    <row r="124" spans="1:18" x14ac:dyDescent="0.2">
      <c r="A124" s="2"/>
      <c r="B124" s="76"/>
      <c r="C124" s="73"/>
      <c r="D124" s="73"/>
      <c r="E124" s="73"/>
      <c r="F124" s="73"/>
      <c r="G124" s="73"/>
      <c r="H124" s="73"/>
      <c r="I124" s="73"/>
      <c r="J124" s="73"/>
      <c r="K124" s="191"/>
      <c r="L124" s="191"/>
      <c r="M124" s="74"/>
      <c r="N124" s="2"/>
      <c r="O124" s="2"/>
      <c r="P124" s="2"/>
      <c r="Q124" s="2"/>
      <c r="R124" s="2"/>
    </row>
    <row r="125" spans="1:18" x14ac:dyDescent="0.2">
      <c r="A125" s="2"/>
      <c r="B125" s="76"/>
      <c r="C125" s="73"/>
      <c r="D125" s="73"/>
      <c r="E125" s="73"/>
      <c r="F125" s="73"/>
      <c r="G125" s="73"/>
      <c r="H125" s="73"/>
      <c r="I125" s="73"/>
      <c r="J125" s="73"/>
      <c r="K125" s="191"/>
      <c r="L125" s="191"/>
      <c r="M125" s="74"/>
      <c r="N125" s="2"/>
      <c r="O125" s="2"/>
      <c r="P125" s="2"/>
      <c r="Q125" s="2"/>
      <c r="R125" s="2"/>
    </row>
    <row r="126" spans="1:18" x14ac:dyDescent="0.2">
      <c r="A126" s="2"/>
      <c r="B126" s="2"/>
      <c r="C126" s="73"/>
      <c r="D126" s="73"/>
      <c r="E126" s="73"/>
      <c r="F126" s="73"/>
      <c r="G126" s="73"/>
      <c r="H126" s="73"/>
      <c r="I126" s="73"/>
      <c r="J126" s="73"/>
      <c r="K126" s="191"/>
      <c r="L126" s="191"/>
      <c r="M126" s="74"/>
      <c r="N126" s="2"/>
      <c r="O126" s="2"/>
      <c r="P126" s="2"/>
      <c r="Q126" s="2"/>
      <c r="R126" s="2"/>
    </row>
    <row r="127" spans="1:18" ht="15.75" x14ac:dyDescent="0.25">
      <c r="A127" s="75"/>
      <c r="B127" s="2"/>
      <c r="C127" s="73"/>
      <c r="D127" s="73"/>
      <c r="E127" s="73"/>
      <c r="F127" s="73"/>
      <c r="G127" s="73"/>
      <c r="H127" s="73"/>
      <c r="I127" s="73"/>
      <c r="J127" s="73"/>
      <c r="K127" s="191"/>
      <c r="L127" s="191"/>
      <c r="M127" s="74"/>
      <c r="N127" s="2"/>
      <c r="O127" s="2"/>
      <c r="P127" s="2"/>
      <c r="Q127" s="2"/>
      <c r="R127" s="2"/>
    </row>
    <row r="128" spans="1:18" x14ac:dyDescent="0.2">
      <c r="A128" s="2"/>
      <c r="B128" s="2"/>
      <c r="C128" s="73"/>
      <c r="D128" s="73"/>
      <c r="E128" s="73"/>
      <c r="F128" s="73"/>
      <c r="G128" s="73"/>
      <c r="H128" s="73"/>
      <c r="I128" s="73"/>
      <c r="J128" s="73"/>
      <c r="K128" s="191"/>
      <c r="L128" s="191"/>
      <c r="M128" s="74"/>
      <c r="N128" s="2"/>
      <c r="O128" s="2"/>
      <c r="P128" s="2"/>
      <c r="Q128" s="2"/>
      <c r="R128" s="2"/>
    </row>
    <row r="129" spans="1:18" x14ac:dyDescent="0.2">
      <c r="A129" s="2"/>
      <c r="B129" s="2"/>
      <c r="C129" s="73"/>
      <c r="D129" s="73"/>
      <c r="E129" s="73"/>
      <c r="F129" s="73"/>
      <c r="G129" s="73"/>
      <c r="H129" s="73"/>
      <c r="I129" s="73"/>
      <c r="J129" s="73"/>
      <c r="K129" s="191"/>
      <c r="L129" s="191"/>
      <c r="M129" s="74"/>
      <c r="N129" s="2"/>
      <c r="O129" s="2"/>
      <c r="P129" s="2"/>
      <c r="Q129" s="2"/>
      <c r="R129" s="2"/>
    </row>
    <row r="130" spans="1:18" ht="15.75" x14ac:dyDescent="0.25">
      <c r="A130" s="75"/>
      <c r="B130" s="76"/>
      <c r="C130" s="73"/>
      <c r="D130" s="73"/>
      <c r="E130" s="73"/>
      <c r="F130" s="73"/>
      <c r="G130" s="73"/>
      <c r="H130" s="73"/>
      <c r="I130" s="73"/>
      <c r="J130" s="73"/>
      <c r="K130" s="191"/>
      <c r="L130" s="191"/>
      <c r="M130" s="74"/>
      <c r="N130" s="2"/>
      <c r="O130" s="2"/>
      <c r="P130" s="2"/>
      <c r="Q130" s="2"/>
      <c r="R130" s="2"/>
    </row>
    <row r="131" spans="1:18" x14ac:dyDescent="0.2">
      <c r="A131" s="2"/>
      <c r="B131" s="76"/>
      <c r="C131" s="73"/>
      <c r="D131" s="73"/>
      <c r="E131" s="73"/>
      <c r="F131" s="73"/>
      <c r="G131" s="73"/>
      <c r="H131" s="73"/>
      <c r="I131" s="73"/>
      <c r="J131" s="73"/>
      <c r="K131" s="191"/>
      <c r="L131" s="191"/>
      <c r="M131" s="74"/>
      <c r="N131" s="2"/>
      <c r="O131" s="2"/>
      <c r="P131" s="2"/>
      <c r="Q131" s="2"/>
      <c r="R131" s="2"/>
    </row>
    <row r="132" spans="1:18" x14ac:dyDescent="0.2">
      <c r="A132" s="2"/>
      <c r="B132" s="76"/>
      <c r="C132" s="73"/>
      <c r="D132" s="73"/>
      <c r="E132" s="73"/>
      <c r="F132" s="73"/>
      <c r="G132" s="73"/>
      <c r="H132" s="73"/>
      <c r="I132" s="73"/>
      <c r="J132" s="73"/>
      <c r="K132" s="191"/>
      <c r="L132" s="191"/>
      <c r="M132" s="74"/>
      <c r="N132" s="2"/>
      <c r="O132" s="2"/>
      <c r="P132" s="2"/>
      <c r="Q132" s="2"/>
      <c r="R132" s="2"/>
    </row>
    <row r="133" spans="1:18" x14ac:dyDescent="0.2">
      <c r="A133" s="2"/>
      <c r="B133" s="2"/>
      <c r="C133" s="73"/>
      <c r="D133" s="73"/>
      <c r="E133" s="73"/>
      <c r="F133" s="73"/>
      <c r="G133" s="73"/>
      <c r="H133" s="73"/>
      <c r="I133" s="73"/>
      <c r="J133" s="73"/>
      <c r="K133" s="191"/>
      <c r="L133" s="191"/>
      <c r="M133" s="74"/>
      <c r="N133" s="2"/>
      <c r="O133" s="2"/>
      <c r="P133" s="2"/>
      <c r="Q133" s="2"/>
      <c r="R133" s="2"/>
    </row>
    <row r="134" spans="1:18" x14ac:dyDescent="0.2">
      <c r="A134" s="2"/>
      <c r="B134" s="2"/>
      <c r="C134" s="73"/>
      <c r="D134" s="73"/>
      <c r="E134" s="73"/>
      <c r="F134" s="73"/>
      <c r="G134" s="73"/>
      <c r="H134" s="73"/>
      <c r="I134" s="73"/>
      <c r="J134" s="73"/>
      <c r="K134" s="191"/>
      <c r="L134" s="191"/>
      <c r="M134" s="74"/>
      <c r="N134" s="2"/>
      <c r="O134" s="2"/>
      <c r="P134" s="2"/>
      <c r="Q134" s="2"/>
      <c r="R134" s="2"/>
    </row>
    <row r="135" spans="1:18" x14ac:dyDescent="0.2">
      <c r="A135" s="2"/>
      <c r="B135" s="2"/>
      <c r="C135" s="73"/>
      <c r="D135" s="73"/>
      <c r="E135" s="73"/>
      <c r="F135" s="73"/>
      <c r="G135" s="73"/>
      <c r="H135" s="73"/>
      <c r="I135" s="73"/>
      <c r="J135" s="73"/>
      <c r="K135" s="191"/>
      <c r="L135" s="191"/>
      <c r="M135" s="74"/>
      <c r="N135" s="2"/>
      <c r="O135" s="2"/>
      <c r="P135" s="2"/>
      <c r="Q135" s="2"/>
      <c r="R135" s="2"/>
    </row>
    <row r="136" spans="1:18" ht="15.75" x14ac:dyDescent="0.25">
      <c r="A136" s="75"/>
      <c r="B136" s="2"/>
      <c r="C136" s="73"/>
      <c r="D136" s="73"/>
      <c r="E136" s="73"/>
      <c r="F136" s="73"/>
      <c r="G136" s="73"/>
      <c r="H136" s="73"/>
      <c r="I136" s="73"/>
      <c r="J136" s="73"/>
      <c r="K136" s="191"/>
      <c r="L136" s="191"/>
      <c r="M136" s="74"/>
      <c r="N136" s="2"/>
      <c r="O136" s="2"/>
      <c r="P136" s="2"/>
      <c r="Q136" s="2"/>
      <c r="R136" s="2"/>
    </row>
    <row r="137" spans="1:18" x14ac:dyDescent="0.2">
      <c r="A137" s="2"/>
      <c r="B137" s="2"/>
      <c r="C137" s="73"/>
      <c r="D137" s="73"/>
      <c r="E137" s="73"/>
      <c r="F137" s="73"/>
      <c r="G137" s="73"/>
      <c r="H137" s="73"/>
      <c r="I137" s="73"/>
      <c r="J137" s="73"/>
      <c r="K137" s="191"/>
      <c r="L137" s="191"/>
      <c r="M137" s="74"/>
      <c r="N137" s="2"/>
      <c r="O137" s="2"/>
      <c r="P137" s="2"/>
      <c r="Q137" s="2"/>
      <c r="R137" s="2"/>
    </row>
    <row r="138" spans="1:18" x14ac:dyDescent="0.2">
      <c r="A138" s="2"/>
      <c r="B138" s="2"/>
      <c r="C138" s="73"/>
      <c r="D138" s="73"/>
      <c r="E138" s="73"/>
      <c r="F138" s="73"/>
      <c r="G138" s="73"/>
      <c r="H138" s="73"/>
      <c r="I138" s="73"/>
      <c r="J138" s="73"/>
      <c r="K138" s="191"/>
      <c r="L138" s="191"/>
      <c r="M138" s="74"/>
      <c r="N138" s="2"/>
      <c r="O138" s="2"/>
      <c r="P138" s="2"/>
      <c r="Q138" s="2"/>
      <c r="R138" s="2"/>
    </row>
    <row r="139" spans="1:18" ht="15.75" x14ac:dyDescent="0.25">
      <c r="A139" s="75"/>
      <c r="B139" s="75"/>
      <c r="C139" s="73"/>
      <c r="D139" s="73"/>
      <c r="E139" s="73"/>
      <c r="F139" s="73"/>
      <c r="G139" s="73"/>
      <c r="H139" s="73"/>
      <c r="I139" s="73"/>
      <c r="J139" s="73"/>
      <c r="K139" s="191"/>
      <c r="L139" s="191"/>
      <c r="M139" s="74"/>
      <c r="N139" s="2"/>
      <c r="O139" s="2"/>
      <c r="P139" s="2"/>
      <c r="Q139" s="2"/>
      <c r="R139" s="2"/>
    </row>
    <row r="140" spans="1:18" x14ac:dyDescent="0.2">
      <c r="A140" s="2"/>
      <c r="B140" s="2"/>
      <c r="C140" s="73"/>
      <c r="D140" s="73"/>
      <c r="E140" s="73"/>
      <c r="F140" s="73"/>
      <c r="G140" s="73"/>
      <c r="H140" s="73"/>
      <c r="I140" s="73"/>
      <c r="J140" s="73"/>
      <c r="K140" s="191"/>
      <c r="L140" s="191"/>
      <c r="M140" s="74"/>
      <c r="N140" s="2"/>
      <c r="O140" s="2"/>
      <c r="P140" s="2"/>
      <c r="Q140" s="2"/>
      <c r="R140" s="2"/>
    </row>
    <row r="141" spans="1:18" x14ac:dyDescent="0.2">
      <c r="A141" s="2"/>
      <c r="B141" s="2"/>
      <c r="C141" s="73"/>
      <c r="D141" s="73"/>
      <c r="E141" s="73"/>
      <c r="F141" s="73"/>
      <c r="G141" s="73"/>
      <c r="H141" s="73"/>
      <c r="I141" s="73"/>
      <c r="J141" s="73"/>
      <c r="K141" s="191"/>
      <c r="L141" s="191"/>
      <c r="M141" s="74"/>
      <c r="N141" s="2"/>
      <c r="O141" s="2"/>
      <c r="P141" s="2"/>
      <c r="Q141" s="2"/>
      <c r="R141" s="2"/>
    </row>
    <row r="142" spans="1:18" x14ac:dyDescent="0.2">
      <c r="A142" s="2"/>
      <c r="B142" s="2"/>
      <c r="C142" s="73"/>
      <c r="D142" s="73"/>
      <c r="E142" s="73"/>
      <c r="F142" s="73"/>
      <c r="G142" s="73"/>
      <c r="H142" s="73"/>
      <c r="I142" s="73"/>
      <c r="J142" s="73"/>
      <c r="K142" s="191"/>
      <c r="L142" s="191"/>
      <c r="M142" s="74"/>
      <c r="N142" s="2"/>
      <c r="O142" s="2"/>
      <c r="P142" s="2"/>
      <c r="Q142" s="2"/>
      <c r="R142" s="2"/>
    </row>
    <row r="143" spans="1:18" x14ac:dyDescent="0.2">
      <c r="A143" s="2"/>
      <c r="B143" s="2"/>
      <c r="C143" s="73"/>
      <c r="D143" s="73"/>
      <c r="E143" s="73"/>
      <c r="F143" s="73"/>
      <c r="G143" s="73"/>
      <c r="H143" s="73"/>
      <c r="I143" s="73"/>
      <c r="J143" s="73"/>
      <c r="K143" s="191"/>
      <c r="L143" s="191"/>
      <c r="M143" s="74"/>
      <c r="N143" s="2"/>
      <c r="O143" s="2"/>
      <c r="P143" s="2"/>
      <c r="Q143" s="2"/>
      <c r="R143" s="2"/>
    </row>
    <row r="144" spans="1:18" x14ac:dyDescent="0.2">
      <c r="A144" s="2"/>
      <c r="B144" s="2"/>
      <c r="C144" s="73"/>
      <c r="D144" s="73"/>
      <c r="E144" s="73"/>
      <c r="F144" s="73"/>
      <c r="G144" s="73"/>
      <c r="H144" s="73"/>
      <c r="I144" s="73"/>
      <c r="J144" s="73"/>
      <c r="K144" s="191"/>
      <c r="L144" s="191"/>
      <c r="M144" s="74"/>
      <c r="N144" s="2"/>
      <c r="O144" s="2"/>
      <c r="P144" s="2"/>
      <c r="Q144" s="2"/>
      <c r="R144" s="2"/>
    </row>
    <row r="145" spans="1:18" x14ac:dyDescent="0.2">
      <c r="A145" s="2"/>
      <c r="B145" s="2"/>
      <c r="C145" s="73"/>
      <c r="D145" s="73"/>
      <c r="E145" s="73"/>
      <c r="F145" s="73"/>
      <c r="G145" s="73"/>
      <c r="H145" s="73"/>
      <c r="I145" s="73"/>
      <c r="J145" s="73"/>
      <c r="K145" s="191"/>
      <c r="L145" s="191"/>
      <c r="M145" s="74"/>
      <c r="N145" s="2"/>
      <c r="O145" s="2"/>
      <c r="P145" s="2"/>
      <c r="Q145" s="2"/>
      <c r="R145" s="2"/>
    </row>
    <row r="146" spans="1:18" x14ac:dyDescent="0.2">
      <c r="A146" s="2"/>
      <c r="B146" s="2"/>
      <c r="C146" s="73"/>
      <c r="D146" s="73"/>
      <c r="E146" s="73"/>
      <c r="F146" s="73"/>
      <c r="G146" s="73"/>
      <c r="H146" s="73"/>
      <c r="I146" s="73"/>
      <c r="J146" s="73"/>
      <c r="K146" s="191"/>
      <c r="L146" s="191"/>
      <c r="M146" s="74"/>
      <c r="N146" s="2"/>
      <c r="O146" s="2"/>
      <c r="P146" s="2"/>
      <c r="Q146" s="2"/>
      <c r="R146" s="2"/>
    </row>
    <row r="147" spans="1:18" x14ac:dyDescent="0.2">
      <c r="A147" s="2"/>
      <c r="B147" s="2"/>
      <c r="C147" s="73"/>
      <c r="D147" s="73"/>
      <c r="E147" s="73"/>
      <c r="F147" s="73"/>
      <c r="G147" s="73"/>
      <c r="H147" s="73"/>
      <c r="I147" s="73"/>
      <c r="J147" s="73"/>
      <c r="K147" s="191"/>
      <c r="L147" s="191"/>
      <c r="M147" s="74"/>
      <c r="N147" s="2"/>
      <c r="O147" s="2"/>
      <c r="P147" s="2"/>
      <c r="Q147" s="2"/>
      <c r="R147" s="2"/>
    </row>
    <row r="148" spans="1:18" x14ac:dyDescent="0.2">
      <c r="A148" s="2"/>
      <c r="B148" s="2"/>
      <c r="C148" s="73"/>
      <c r="D148" s="73"/>
      <c r="E148" s="73"/>
      <c r="F148" s="73"/>
      <c r="G148" s="73"/>
      <c r="H148" s="73"/>
      <c r="I148" s="73"/>
      <c r="J148" s="73"/>
      <c r="K148" s="191"/>
      <c r="L148" s="191"/>
      <c r="M148" s="74"/>
      <c r="N148" s="2"/>
      <c r="O148" s="2"/>
      <c r="P148" s="2"/>
      <c r="Q148" s="2"/>
      <c r="R148" s="2"/>
    </row>
    <row r="149" spans="1:18" x14ac:dyDescent="0.2">
      <c r="A149" s="2"/>
      <c r="B149" s="2"/>
      <c r="C149" s="73"/>
      <c r="D149" s="73"/>
      <c r="E149" s="73"/>
      <c r="F149" s="73"/>
      <c r="G149" s="73"/>
      <c r="H149" s="73"/>
      <c r="I149" s="73"/>
      <c r="J149" s="73"/>
      <c r="K149" s="191"/>
      <c r="L149" s="191"/>
      <c r="M149" s="74"/>
      <c r="N149" s="2"/>
      <c r="O149" s="2"/>
      <c r="P149" s="2"/>
      <c r="Q149" s="2"/>
      <c r="R149" s="2"/>
    </row>
    <row r="150" spans="1:18" x14ac:dyDescent="0.2">
      <c r="A150" s="2"/>
      <c r="B150" s="2"/>
      <c r="C150" s="73"/>
      <c r="D150" s="73"/>
      <c r="E150" s="73"/>
      <c r="F150" s="73"/>
      <c r="G150" s="73"/>
      <c r="H150" s="73"/>
      <c r="I150" s="73"/>
      <c r="J150" s="73"/>
      <c r="K150" s="191"/>
      <c r="L150" s="191"/>
      <c r="M150" s="74"/>
      <c r="N150" s="2"/>
      <c r="O150" s="2"/>
      <c r="P150" s="2"/>
      <c r="Q150" s="2"/>
      <c r="R150" s="2"/>
    </row>
    <row r="151" spans="1:18" x14ac:dyDescent="0.2">
      <c r="A151" s="2"/>
      <c r="B151" s="2"/>
      <c r="C151" s="73"/>
      <c r="D151" s="73"/>
      <c r="E151" s="73"/>
      <c r="F151" s="73"/>
      <c r="G151" s="73"/>
      <c r="H151" s="73"/>
      <c r="I151" s="73"/>
      <c r="J151" s="73"/>
      <c r="K151" s="191"/>
      <c r="L151" s="191"/>
      <c r="M151" s="74"/>
      <c r="N151" s="2"/>
      <c r="O151" s="2"/>
      <c r="P151" s="2"/>
      <c r="Q151" s="2"/>
      <c r="R151" s="2"/>
    </row>
    <row r="152" spans="1:18" x14ac:dyDescent="0.2">
      <c r="A152" s="2"/>
      <c r="B152" s="2"/>
      <c r="C152" s="73"/>
      <c r="D152" s="73"/>
      <c r="E152" s="73"/>
      <c r="F152" s="73"/>
      <c r="G152" s="73"/>
      <c r="H152" s="73"/>
      <c r="I152" s="73"/>
      <c r="J152" s="73"/>
      <c r="K152" s="191"/>
      <c r="L152" s="191"/>
      <c r="M152" s="74"/>
      <c r="N152" s="2"/>
      <c r="O152" s="2"/>
      <c r="P152" s="2"/>
      <c r="Q152" s="2"/>
      <c r="R152" s="2"/>
    </row>
    <row r="153" spans="1:18" x14ac:dyDescent="0.2">
      <c r="A153" s="2"/>
      <c r="B153" s="2"/>
      <c r="C153" s="73"/>
      <c r="D153" s="73"/>
      <c r="E153" s="73"/>
      <c r="F153" s="73"/>
      <c r="G153" s="73"/>
      <c r="H153" s="73"/>
      <c r="I153" s="73"/>
      <c r="J153" s="73"/>
      <c r="K153" s="191"/>
      <c r="L153" s="191"/>
      <c r="M153" s="74"/>
      <c r="N153" s="2"/>
      <c r="O153" s="2"/>
      <c r="P153" s="2"/>
      <c r="Q153" s="2"/>
      <c r="R153" s="2"/>
    </row>
    <row r="154" spans="1:18" x14ac:dyDescent="0.2">
      <c r="A154" s="2"/>
      <c r="B154" s="2"/>
      <c r="C154" s="73"/>
      <c r="D154" s="73"/>
      <c r="E154" s="73"/>
      <c r="F154" s="73"/>
      <c r="G154" s="73"/>
      <c r="H154" s="73"/>
      <c r="I154" s="73"/>
      <c r="J154" s="73"/>
      <c r="K154" s="191"/>
      <c r="L154" s="191"/>
      <c r="M154" s="74"/>
      <c r="N154" s="2"/>
      <c r="O154" s="2"/>
      <c r="P154" s="2"/>
      <c r="Q154" s="2"/>
      <c r="R154" s="2"/>
    </row>
    <row r="155" spans="1:18" x14ac:dyDescent="0.2">
      <c r="A155" s="2"/>
      <c r="B155" s="2"/>
      <c r="C155" s="73"/>
      <c r="D155" s="73"/>
      <c r="E155" s="73"/>
      <c r="F155" s="73"/>
      <c r="G155" s="73"/>
      <c r="H155" s="73"/>
      <c r="I155" s="73"/>
      <c r="J155" s="73"/>
      <c r="K155" s="191"/>
      <c r="L155" s="191"/>
      <c r="M155" s="74"/>
      <c r="N155" s="2"/>
      <c r="O155" s="2"/>
      <c r="P155" s="2"/>
      <c r="Q155" s="2"/>
      <c r="R155" s="2"/>
    </row>
    <row r="156" spans="1:18" x14ac:dyDescent="0.2">
      <c r="A156" s="2"/>
      <c r="B156" s="2"/>
      <c r="C156" s="73"/>
      <c r="D156" s="73"/>
      <c r="E156" s="73"/>
      <c r="F156" s="73"/>
      <c r="G156" s="73"/>
      <c r="H156" s="73"/>
      <c r="I156" s="73"/>
      <c r="J156" s="73"/>
      <c r="K156" s="191"/>
      <c r="L156" s="191"/>
      <c r="M156" s="74"/>
      <c r="N156" s="2"/>
      <c r="O156" s="2"/>
      <c r="P156" s="2"/>
      <c r="Q156" s="2"/>
      <c r="R156" s="2"/>
    </row>
    <row r="157" spans="1:18" x14ac:dyDescent="0.2">
      <c r="A157" s="2"/>
      <c r="B157" s="2"/>
      <c r="C157" s="73"/>
      <c r="D157" s="73"/>
      <c r="E157" s="73"/>
      <c r="F157" s="73"/>
      <c r="G157" s="73"/>
      <c r="H157" s="73"/>
      <c r="I157" s="73"/>
      <c r="J157" s="73"/>
      <c r="K157" s="191"/>
      <c r="L157" s="191"/>
      <c r="M157" s="74"/>
      <c r="N157" s="2"/>
      <c r="O157" s="2"/>
      <c r="P157" s="2"/>
      <c r="Q157" s="2"/>
      <c r="R157" s="2"/>
    </row>
    <row r="158" spans="1:18" x14ac:dyDescent="0.2">
      <c r="A158" s="2"/>
      <c r="B158" s="2"/>
      <c r="C158" s="73"/>
      <c r="D158" s="73"/>
      <c r="E158" s="73"/>
      <c r="F158" s="73"/>
      <c r="G158" s="73"/>
      <c r="H158" s="73"/>
      <c r="I158" s="73"/>
      <c r="J158" s="73"/>
      <c r="K158" s="191"/>
      <c r="L158" s="191"/>
      <c r="M158" s="74"/>
      <c r="N158" s="2"/>
      <c r="O158" s="2"/>
      <c r="P158" s="2"/>
      <c r="Q158" s="2"/>
      <c r="R158" s="2"/>
    </row>
    <row r="159" spans="1:18" x14ac:dyDescent="0.2">
      <c r="A159" s="2"/>
      <c r="B159" s="2"/>
      <c r="C159" s="73"/>
      <c r="D159" s="73"/>
      <c r="E159" s="73"/>
      <c r="F159" s="73"/>
      <c r="G159" s="73"/>
      <c r="H159" s="73"/>
      <c r="I159" s="73"/>
      <c r="J159" s="73"/>
      <c r="K159" s="191"/>
      <c r="L159" s="191"/>
      <c r="M159" s="74"/>
      <c r="N159" s="2"/>
      <c r="O159" s="2"/>
      <c r="P159" s="2"/>
      <c r="Q159" s="2"/>
      <c r="R159" s="2"/>
    </row>
    <row r="160" spans="1:18" x14ac:dyDescent="0.2">
      <c r="A160" s="2"/>
      <c r="B160" s="2"/>
      <c r="C160" s="73"/>
      <c r="D160" s="73"/>
      <c r="E160" s="73"/>
      <c r="F160" s="73"/>
      <c r="G160" s="73"/>
      <c r="H160" s="73"/>
      <c r="I160" s="73"/>
      <c r="J160" s="73"/>
      <c r="K160" s="191"/>
      <c r="L160" s="191"/>
      <c r="M160" s="74"/>
      <c r="N160" s="2"/>
      <c r="O160" s="2"/>
      <c r="P160" s="2"/>
      <c r="Q160" s="2"/>
      <c r="R160" s="2"/>
    </row>
    <row r="161" spans="1:18" x14ac:dyDescent="0.2">
      <c r="A161" s="2"/>
      <c r="B161" s="2"/>
      <c r="C161" s="73"/>
      <c r="D161" s="73"/>
      <c r="E161" s="73"/>
      <c r="F161" s="73"/>
      <c r="G161" s="73"/>
      <c r="H161" s="73"/>
      <c r="I161" s="73"/>
      <c r="J161" s="73"/>
      <c r="K161" s="191"/>
      <c r="L161" s="191"/>
      <c r="M161" s="74"/>
      <c r="N161" s="2"/>
      <c r="O161" s="2"/>
      <c r="P161" s="2"/>
      <c r="Q161" s="2"/>
      <c r="R161" s="2"/>
    </row>
    <row r="162" spans="1:18" x14ac:dyDescent="0.2">
      <c r="A162" s="2"/>
      <c r="B162" s="2"/>
      <c r="C162" s="73"/>
      <c r="D162" s="73"/>
      <c r="E162" s="73"/>
      <c r="F162" s="73"/>
      <c r="G162" s="73"/>
      <c r="H162" s="73"/>
      <c r="I162" s="73"/>
      <c r="J162" s="73"/>
      <c r="K162" s="191"/>
      <c r="L162" s="191"/>
      <c r="M162" s="74"/>
      <c r="N162" s="2"/>
      <c r="O162" s="2"/>
      <c r="P162" s="2"/>
      <c r="Q162" s="2"/>
      <c r="R162" s="2"/>
    </row>
    <row r="163" spans="1:18" x14ac:dyDescent="0.2">
      <c r="A163" s="2"/>
      <c r="B163" s="2"/>
      <c r="C163" s="73"/>
      <c r="D163" s="73"/>
      <c r="E163" s="73"/>
      <c r="F163" s="73"/>
      <c r="G163" s="73"/>
      <c r="H163" s="73"/>
      <c r="I163" s="73"/>
      <c r="J163" s="73"/>
      <c r="K163" s="191"/>
      <c r="L163" s="191"/>
      <c r="M163" s="74"/>
      <c r="N163" s="2"/>
      <c r="O163" s="2"/>
      <c r="P163" s="2"/>
      <c r="Q163" s="2"/>
      <c r="R163" s="2"/>
    </row>
    <row r="164" spans="1:18" x14ac:dyDescent="0.2">
      <c r="A164" s="2"/>
      <c r="B164" s="2"/>
      <c r="C164" s="73"/>
      <c r="D164" s="73"/>
      <c r="E164" s="73"/>
      <c r="F164" s="73"/>
      <c r="G164" s="73"/>
      <c r="H164" s="73"/>
      <c r="I164" s="73"/>
      <c r="J164" s="73"/>
      <c r="K164" s="191"/>
      <c r="L164" s="191"/>
      <c r="M164" s="74"/>
      <c r="N164" s="2"/>
      <c r="O164" s="2"/>
      <c r="P164" s="2"/>
      <c r="Q164" s="2"/>
      <c r="R164" s="2"/>
    </row>
    <row r="165" spans="1:18" x14ac:dyDescent="0.2">
      <c r="A165" s="2"/>
      <c r="B165" s="2"/>
      <c r="C165" s="73"/>
      <c r="D165" s="73"/>
      <c r="E165" s="73"/>
      <c r="F165" s="73"/>
      <c r="G165" s="73"/>
      <c r="H165" s="73"/>
      <c r="I165" s="73"/>
      <c r="J165" s="73"/>
      <c r="K165" s="191"/>
      <c r="L165" s="191"/>
      <c r="M165" s="74"/>
      <c r="N165" s="2"/>
      <c r="O165" s="2"/>
      <c r="P165" s="2"/>
      <c r="Q165" s="2"/>
      <c r="R165" s="2"/>
    </row>
    <row r="166" spans="1:18" x14ac:dyDescent="0.2">
      <c r="A166" s="2"/>
      <c r="B166" s="2"/>
      <c r="C166" s="73"/>
      <c r="D166" s="73"/>
      <c r="E166" s="73"/>
      <c r="F166" s="73"/>
      <c r="G166" s="73"/>
      <c r="H166" s="73"/>
      <c r="I166" s="73"/>
      <c r="J166" s="73"/>
      <c r="K166" s="191"/>
      <c r="L166" s="191"/>
      <c r="M166" s="74"/>
      <c r="N166" s="2"/>
      <c r="O166" s="2"/>
      <c r="P166" s="2"/>
      <c r="Q166" s="2"/>
      <c r="R166" s="2"/>
    </row>
    <row r="167" spans="1:18" x14ac:dyDescent="0.2">
      <c r="A167" s="2"/>
      <c r="B167" s="2"/>
      <c r="C167" s="73"/>
      <c r="D167" s="73"/>
      <c r="E167" s="73"/>
      <c r="F167" s="73"/>
      <c r="G167" s="73"/>
      <c r="H167" s="73"/>
      <c r="I167" s="73"/>
      <c r="J167" s="73"/>
      <c r="K167" s="191"/>
      <c r="L167" s="191"/>
      <c r="M167" s="74"/>
      <c r="N167" s="2"/>
      <c r="O167" s="2"/>
      <c r="P167" s="2"/>
      <c r="Q167" s="2"/>
      <c r="R167" s="2"/>
    </row>
    <row r="168" spans="1:18" x14ac:dyDescent="0.2">
      <c r="A168" s="2"/>
      <c r="B168" s="2"/>
      <c r="C168" s="73"/>
      <c r="D168" s="73"/>
      <c r="E168" s="73"/>
      <c r="F168" s="73"/>
      <c r="G168" s="73"/>
      <c r="H168" s="73"/>
      <c r="I168" s="73"/>
      <c r="J168" s="73"/>
      <c r="K168" s="191"/>
      <c r="L168" s="191"/>
      <c r="M168" s="74"/>
      <c r="N168" s="2"/>
      <c r="O168" s="2"/>
      <c r="P168" s="2"/>
      <c r="Q168" s="2"/>
      <c r="R168" s="2"/>
    </row>
    <row r="169" spans="1:18" x14ac:dyDescent="0.2">
      <c r="A169" s="2"/>
      <c r="B169" s="2"/>
      <c r="C169" s="73"/>
      <c r="D169" s="73"/>
      <c r="E169" s="73"/>
      <c r="F169" s="73"/>
      <c r="G169" s="73"/>
      <c r="H169" s="73"/>
      <c r="I169" s="73"/>
      <c r="J169" s="73"/>
      <c r="K169" s="191"/>
      <c r="L169" s="191"/>
      <c r="M169" s="74"/>
      <c r="N169" s="2"/>
      <c r="O169" s="2"/>
      <c r="P169" s="2"/>
      <c r="Q169" s="2"/>
      <c r="R169" s="2"/>
    </row>
    <row r="170" spans="1:18" x14ac:dyDescent="0.2">
      <c r="A170" s="2"/>
      <c r="B170" s="2"/>
      <c r="C170" s="73"/>
      <c r="D170" s="73"/>
      <c r="E170" s="73"/>
      <c r="F170" s="73"/>
      <c r="G170" s="73"/>
      <c r="H170" s="73"/>
      <c r="I170" s="73"/>
      <c r="J170" s="73"/>
      <c r="K170" s="191"/>
      <c r="L170" s="191"/>
      <c r="M170" s="74"/>
      <c r="N170" s="2"/>
      <c r="O170" s="2"/>
      <c r="P170" s="2"/>
      <c r="Q170" s="2"/>
      <c r="R170" s="2"/>
    </row>
    <row r="171" spans="1:18" x14ac:dyDescent="0.2">
      <c r="A171" s="2"/>
      <c r="B171" s="2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x14ac:dyDescent="0.2">
      <c r="A172" s="2"/>
      <c r="B172" s="2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2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x14ac:dyDescent="0.2">
      <c r="A174" s="2"/>
      <c r="B174" s="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x14ac:dyDescent="0.2">
      <c r="A177" s="2"/>
      <c r="B177" s="2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x14ac:dyDescent="0.2">
      <c r="A178" s="2"/>
      <c r="B178" s="2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x14ac:dyDescent="0.2">
      <c r="A179" s="2"/>
      <c r="B179" s="2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2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4"/>
      <c r="N180" s="2"/>
      <c r="O180" s="2"/>
      <c r="P180" s="2"/>
      <c r="Q180" s="2"/>
      <c r="R180" s="2"/>
    </row>
    <row r="181" spans="1:18" x14ac:dyDescent="0.2">
      <c r="A181" s="2"/>
      <c r="B181" s="2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4"/>
      <c r="N181" s="2"/>
      <c r="O181" s="2"/>
      <c r="P181" s="2"/>
      <c r="Q181" s="2"/>
      <c r="R181" s="2"/>
    </row>
    <row r="182" spans="1:18" x14ac:dyDescent="0.2">
      <c r="A182" s="2"/>
      <c r="B182" s="2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4"/>
      <c r="N182" s="2"/>
      <c r="O182" s="2"/>
      <c r="P182" s="2"/>
      <c r="Q182" s="2"/>
      <c r="R182" s="2"/>
    </row>
    <row r="183" spans="1:18" x14ac:dyDescent="0.2">
      <c r="A183" s="2"/>
      <c r="B183" s="2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x14ac:dyDescent="0.2">
      <c r="A184" s="2"/>
      <c r="B184" s="2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2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2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x14ac:dyDescent="0.2">
      <c r="A187" s="2"/>
      <c r="B187" s="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2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x14ac:dyDescent="0.2">
      <c r="A192" s="2"/>
      <c r="B192" s="2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2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2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x14ac:dyDescent="0.2">
      <c r="A195" s="2"/>
      <c r="B195" s="2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2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2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2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2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2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2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2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2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2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2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2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2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52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3" sqref="A3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DATE(2026,7,1)</f>
        <v>46204</v>
      </c>
      <c r="B10" s="88">
        <f>'MONTHLY STATS'!$C$9*2</f>
        <v>378252</v>
      </c>
      <c r="C10" s="88">
        <f>'MONTHLY STATS'!$C$14*2</f>
        <v>208710</v>
      </c>
      <c r="D10" s="88">
        <f>'MONTHLY STATS'!$C$19*2</f>
        <v>152918</v>
      </c>
      <c r="E10" s="88">
        <f>'MONTHLY STATS'!$C$24*2</f>
        <v>663886</v>
      </c>
      <c r="F10" s="88">
        <f>'MONTHLY STATS'!$C$29*2</f>
        <v>355824</v>
      </c>
      <c r="G10" s="88">
        <f>'MONTHLY STATS'!$C$34*2</f>
        <v>193458</v>
      </c>
      <c r="H10" s="88">
        <f>'MONTHLY STATS'!$C$39*2</f>
        <v>397602</v>
      </c>
      <c r="I10" s="88">
        <f>'MONTHLY STATS'!$C$44*2</f>
        <v>456100</v>
      </c>
      <c r="J10" s="88">
        <f>'MONTHLY STATS'!$C$49*2</f>
        <v>529076</v>
      </c>
      <c r="K10" s="88">
        <f>'MONTHLY STATS'!$C$54*2</f>
        <v>675074</v>
      </c>
      <c r="L10" s="88">
        <f>'MONTHLY STATS'!$C$59*2</f>
        <v>87476</v>
      </c>
      <c r="M10" s="88">
        <f>'MONTHLY STATS'!$C$64*2</f>
        <v>674402</v>
      </c>
      <c r="N10" s="88">
        <f>'MONTHLY STATS'!$C$69*2</f>
        <v>122974</v>
      </c>
      <c r="O10" s="89">
        <f>SUM(B10:N10)</f>
        <v>4895752</v>
      </c>
      <c r="P10" s="82"/>
    </row>
    <row r="11" spans="1:16" ht="15.75" x14ac:dyDescent="0.25">
      <c r="A11" s="87">
        <f>DATE(2026,8,1)</f>
        <v>46235</v>
      </c>
      <c r="B11" s="88">
        <f>'MONTHLY STATS'!$C$10*2</f>
        <v>378126</v>
      </c>
      <c r="C11" s="88">
        <f>'MONTHLY STATS'!$C$15*2</f>
        <v>214922</v>
      </c>
      <c r="D11" s="88">
        <f>'MONTHLY STATS'!$C$20*2</f>
        <v>146614</v>
      </c>
      <c r="E11" s="88">
        <f>'MONTHLY STATS'!$C$25*2</f>
        <v>668904</v>
      </c>
      <c r="F11" s="88">
        <f>'MONTHLY STATS'!$C$30*2</f>
        <v>355834</v>
      </c>
      <c r="G11" s="88">
        <f>'MONTHLY STATS'!$C$35*2</f>
        <v>190232</v>
      </c>
      <c r="H11" s="88">
        <f>'MONTHLY STATS'!$C$40*2</f>
        <v>413064</v>
      </c>
      <c r="I11" s="88">
        <f>'MONTHLY STATS'!$C$45*2</f>
        <v>424354</v>
      </c>
      <c r="J11" s="88">
        <f>'MONTHLY STATS'!$C$50*2</f>
        <v>538932</v>
      </c>
      <c r="K11" s="88">
        <f>'MONTHLY STATS'!$C$55*2</f>
        <v>679970</v>
      </c>
      <c r="L11" s="88">
        <f>'MONTHLY STATS'!$C$60*2</f>
        <v>88084</v>
      </c>
      <c r="M11" s="88">
        <f>'MONTHLY STATS'!$C$65*2</f>
        <v>660832</v>
      </c>
      <c r="N11" s="88">
        <f>'MONTHLY STATS'!$C$70*2</f>
        <v>123494</v>
      </c>
      <c r="O11" s="89">
        <f>SUM(B11:N11)</f>
        <v>4883362</v>
      </c>
      <c r="P11" s="82"/>
    </row>
    <row r="12" spans="1:16" ht="15.75" x14ac:dyDescent="0.25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9"/>
      <c r="P12" s="82"/>
    </row>
    <row r="13" spans="1:16" ht="15.75" x14ac:dyDescent="0.25">
      <c r="A13" s="87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9"/>
      <c r="P13" s="82"/>
    </row>
    <row r="14" spans="1:16" ht="15.75" x14ac:dyDescent="0.25">
      <c r="A14" s="87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9"/>
      <c r="P14" s="82"/>
    </row>
    <row r="15" spans="1:16" ht="15.75" x14ac:dyDescent="0.25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  <c r="P15" s="82"/>
    </row>
    <row r="16" spans="1:16" ht="15.75" x14ac:dyDescent="0.25">
      <c r="A16" s="87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82"/>
    </row>
    <row r="17" spans="1:16" ht="15.75" x14ac:dyDescent="0.2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82"/>
    </row>
    <row r="18" spans="1:16" ht="15.75" x14ac:dyDescent="0.2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0">SUM(B10:B21)</f>
        <v>756378</v>
      </c>
      <c r="C23" s="89">
        <f t="shared" si="0"/>
        <v>423632</v>
      </c>
      <c r="D23" s="89">
        <f t="shared" si="0"/>
        <v>299532</v>
      </c>
      <c r="E23" s="89">
        <f t="shared" si="0"/>
        <v>1332790</v>
      </c>
      <c r="F23" s="89">
        <f t="shared" si="0"/>
        <v>711658</v>
      </c>
      <c r="G23" s="89">
        <f>SUM(G10:G21)</f>
        <v>383690</v>
      </c>
      <c r="H23" s="89">
        <f t="shared" si="0"/>
        <v>810666</v>
      </c>
      <c r="I23" s="89">
        <f>SUM(I10:I21)</f>
        <v>880454</v>
      </c>
      <c r="J23" s="89">
        <f t="shared" si="0"/>
        <v>1068008</v>
      </c>
      <c r="K23" s="89">
        <f>SUM(K10:K21)</f>
        <v>1355044</v>
      </c>
      <c r="L23" s="89">
        <f t="shared" si="0"/>
        <v>175560</v>
      </c>
      <c r="M23" s="89">
        <f t="shared" si="0"/>
        <v>1335234</v>
      </c>
      <c r="N23" s="89">
        <f t="shared" si="0"/>
        <v>246468</v>
      </c>
      <c r="O23" s="89">
        <f t="shared" si="0"/>
        <v>9779114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DATE(2026,7,1)</f>
        <v>46204</v>
      </c>
      <c r="B31" s="88">
        <f>'MONTHLY STATS'!$K$9*0.21</f>
        <v>3050403.2579999999</v>
      </c>
      <c r="C31" s="88">
        <f>'MONTHLY STATS'!$K$14*0.21</f>
        <v>1771587.8523000001</v>
      </c>
      <c r="D31" s="88">
        <f>'MONTHLY STATS'!$K$19*0.21</f>
        <v>1127643.7535999999</v>
      </c>
      <c r="E31" s="88">
        <f>'MONTHLY STATS'!$K$24*0.21</f>
        <v>4883536.6272</v>
      </c>
      <c r="F31" s="88">
        <f>'MONTHLY STATS'!$K$29*0.21</f>
        <v>3274090.2137999996</v>
      </c>
      <c r="G31" s="88">
        <f>'MONTHLY STATS'!$K$34*0.21</f>
        <v>1302821.0244</v>
      </c>
      <c r="H31" s="88">
        <f>'MONTHLY STATS'!$K$39*0.21</f>
        <v>2292213.2456999999</v>
      </c>
      <c r="I31" s="88">
        <f>'MONTHLY STATS'!$K$44*0.21</f>
        <v>3070525.6952999998</v>
      </c>
      <c r="J31" s="88">
        <f>'MONTHLY STATS'!$K$49*0.21</f>
        <v>3925818.2355</v>
      </c>
      <c r="K31" s="88">
        <f>'MONTHLY STATS'!$K$54*0.21</f>
        <v>5122090.26</v>
      </c>
      <c r="L31" s="88">
        <f>'MONTHLY STATS'!$K$59*0.21</f>
        <v>695513.73569999996</v>
      </c>
      <c r="M31" s="88">
        <f>'MONTHLY STATS'!$K$64*0.21</f>
        <v>5692439.7158999993</v>
      </c>
      <c r="N31" s="88">
        <f>'MONTHLY STATS'!$K$69*0.21</f>
        <v>916729.25189999992</v>
      </c>
      <c r="O31" s="89">
        <f>SUM(B31:N31)</f>
        <v>37125412.8693</v>
      </c>
      <c r="P31" s="82"/>
    </row>
    <row r="32" spans="1:16" ht="15.75" x14ac:dyDescent="0.25">
      <c r="A32" s="87">
        <f>DATE(2026,8,1)</f>
        <v>46235</v>
      </c>
      <c r="B32" s="88">
        <f>'MONTHLY STATS'!$K$10*0.21</f>
        <v>3010408.9469999997</v>
      </c>
      <c r="C32" s="88">
        <f>'MONTHLY STATS'!$K$15*0.21</f>
        <v>1772827.7405999999</v>
      </c>
      <c r="D32" s="88">
        <f>'MONTHLY STATS'!$K$20*0.21</f>
        <v>1086538.0763999999</v>
      </c>
      <c r="E32" s="88">
        <f>'MONTHLY STATS'!$K$25*0.21</f>
        <v>4658275.3853999991</v>
      </c>
      <c r="F32" s="88">
        <f>'MONTHLY STATS'!$K$30*0.21</f>
        <v>3138792.4512</v>
      </c>
      <c r="G32" s="88">
        <f>'MONTHLY STATS'!$K$35*0.21</f>
        <v>1277238.1502999999</v>
      </c>
      <c r="H32" s="88">
        <f>'MONTHLY STATS'!$K$40*0.21</f>
        <v>2246117.9894999997</v>
      </c>
      <c r="I32" s="88">
        <f>'MONTHLY STATS'!$K$45*0.21</f>
        <v>2947523.9262000001</v>
      </c>
      <c r="J32" s="88">
        <f>'MONTHLY STATS'!$K$50*0.21</f>
        <v>3753611.5532999998</v>
      </c>
      <c r="K32" s="88">
        <f>'MONTHLY STATS'!$K$55*0.21</f>
        <v>4941923.7714</v>
      </c>
      <c r="L32" s="88">
        <f>'MONTHLY STATS'!$K$60*0.21</f>
        <v>675740.56829999993</v>
      </c>
      <c r="M32" s="88">
        <f>'MONTHLY STATS'!$K$65*0.21</f>
        <v>5584983.7721999995</v>
      </c>
      <c r="N32" s="88">
        <f>'MONTHLY STATS'!$K$70*0.21</f>
        <v>891127.96709999989</v>
      </c>
      <c r="O32" s="89">
        <f>SUM(B32:N32)</f>
        <v>35985110.298900001</v>
      </c>
      <c r="P32" s="82"/>
    </row>
    <row r="33" spans="1:16" ht="15.75" x14ac:dyDescent="0.25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9"/>
      <c r="P33" s="82"/>
    </row>
    <row r="34" spans="1:16" ht="15.75" x14ac:dyDescent="0.25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/>
      <c r="P34" s="82"/>
    </row>
    <row r="35" spans="1:16" ht="15.75" x14ac:dyDescent="0.2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9"/>
      <c r="P35" s="82"/>
    </row>
    <row r="36" spans="1:16" ht="15.75" x14ac:dyDescent="0.2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9"/>
      <c r="P36" s="82"/>
    </row>
    <row r="37" spans="1:16" ht="15.75" x14ac:dyDescent="0.25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9"/>
      <c r="P37" s="82"/>
    </row>
    <row r="38" spans="1:16" ht="15.75" x14ac:dyDescent="0.2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9"/>
      <c r="P38" s="82"/>
    </row>
    <row r="39" spans="1:16" ht="15.75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1">SUM(B31:B42)</f>
        <v>6060812.2050000001</v>
      </c>
      <c r="C44" s="89">
        <f t="shared" si="1"/>
        <v>3544415.5929</v>
      </c>
      <c r="D44" s="89">
        <f t="shared" si="1"/>
        <v>2214181.83</v>
      </c>
      <c r="E44" s="89">
        <f t="shared" si="1"/>
        <v>9541812.0125999991</v>
      </c>
      <c r="F44" s="89">
        <f t="shared" si="1"/>
        <v>6412882.6649999991</v>
      </c>
      <c r="G44" s="89">
        <f t="shared" si="1"/>
        <v>2580059.1746999999</v>
      </c>
      <c r="H44" s="89">
        <f t="shared" si="1"/>
        <v>4538331.2351999991</v>
      </c>
      <c r="I44" s="89">
        <f>SUM(I31:I42)</f>
        <v>6018049.6215000004</v>
      </c>
      <c r="J44" s="89">
        <f t="shared" si="1"/>
        <v>7679429.7887999993</v>
      </c>
      <c r="K44" s="89">
        <f>SUM(K31:K42)</f>
        <v>10064014.031399999</v>
      </c>
      <c r="L44" s="89">
        <f t="shared" si="1"/>
        <v>1371254.304</v>
      </c>
      <c r="M44" s="89">
        <f t="shared" si="1"/>
        <v>11277423.4881</v>
      </c>
      <c r="N44" s="89">
        <f t="shared" si="1"/>
        <v>1807857.2189999998</v>
      </c>
      <c r="O44" s="89">
        <f t="shared" si="1"/>
        <v>73110523.168200001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9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DATE(2026,7,1)</f>
        <v>46204</v>
      </c>
      <c r="C9" s="203">
        <v>12590346</v>
      </c>
      <c r="D9" s="203">
        <v>2198034.5</v>
      </c>
      <c r="E9" s="203">
        <v>2471172.5</v>
      </c>
      <c r="F9" s="131">
        <f>(+D9-E9)/E9</f>
        <v>-0.11052971818033747</v>
      </c>
      <c r="G9" s="214">
        <f>D9/C9</f>
        <v>0.17458094479691028</v>
      </c>
      <c r="H9" s="122"/>
    </row>
    <row r="10" spans="1:8" ht="15.75" x14ac:dyDescent="0.25">
      <c r="A10" s="129"/>
      <c r="B10" s="130">
        <f>DATE(2026,8,1)</f>
        <v>46235</v>
      </c>
      <c r="C10" s="203">
        <v>12257645</v>
      </c>
      <c r="D10" s="203">
        <v>1972563</v>
      </c>
      <c r="E10" s="203">
        <v>2783309</v>
      </c>
      <c r="F10" s="131">
        <f>(+D10-E10)/E10</f>
        <v>-0.2912885346183266</v>
      </c>
      <c r="G10" s="214">
        <f>D10/C10</f>
        <v>0.16092512060840397</v>
      </c>
      <c r="H10" s="122"/>
    </row>
    <row r="11" spans="1:8" ht="15.75" thickBot="1" x14ac:dyDescent="0.25">
      <c r="A11" s="132"/>
      <c r="B11" s="133"/>
      <c r="C11" s="203"/>
      <c r="D11" s="203"/>
      <c r="E11" s="203"/>
      <c r="F11" s="131"/>
      <c r="G11" s="214"/>
      <c r="H11" s="122"/>
    </row>
    <row r="12" spans="1:8" ht="17.25" thickTop="1" thickBot="1" x14ac:dyDescent="0.3">
      <c r="A12" s="134" t="s">
        <v>14</v>
      </c>
      <c r="B12" s="135"/>
      <c r="C12" s="200">
        <f>SUM(C9:C11)</f>
        <v>24847991</v>
      </c>
      <c r="D12" s="200">
        <f>SUM(D9:D11)</f>
        <v>4170597.5</v>
      </c>
      <c r="E12" s="200">
        <f>SUM(E9:E11)</f>
        <v>5254481.5</v>
      </c>
      <c r="F12" s="136">
        <f>(+D12-E12)/E12</f>
        <v>-0.20627801239760765</v>
      </c>
      <c r="G12" s="211">
        <f>D12/C12</f>
        <v>0.16784445470863218</v>
      </c>
      <c r="H12" s="122"/>
    </row>
    <row r="13" spans="1:8" ht="15.75" customHeight="1" thickTop="1" x14ac:dyDescent="0.25">
      <c r="A13" s="137"/>
      <c r="B13" s="138"/>
      <c r="C13" s="204"/>
      <c r="D13" s="204"/>
      <c r="E13" s="204"/>
      <c r="F13" s="139"/>
      <c r="G13" s="215"/>
      <c r="H13" s="122"/>
    </row>
    <row r="14" spans="1:8" ht="15.75" x14ac:dyDescent="0.25">
      <c r="A14" s="19" t="s">
        <v>15</v>
      </c>
      <c r="B14" s="130">
        <f>DATE(2026,7,1)</f>
        <v>46204</v>
      </c>
      <c r="C14" s="203">
        <v>2788592</v>
      </c>
      <c r="D14" s="203">
        <v>769610.5</v>
      </c>
      <c r="E14" s="203">
        <v>660688.5</v>
      </c>
      <c r="F14" s="131">
        <f>(+D14-E14)/E14</f>
        <v>0.1648613529673969</v>
      </c>
      <c r="G14" s="214">
        <f>D14/C14</f>
        <v>0.27598533596883301</v>
      </c>
      <c r="H14" s="122"/>
    </row>
    <row r="15" spans="1:8" ht="15.75" x14ac:dyDescent="0.25">
      <c r="A15" s="19"/>
      <c r="B15" s="130">
        <f>DATE(2026,8,1)</f>
        <v>46235</v>
      </c>
      <c r="C15" s="203">
        <v>2898901</v>
      </c>
      <c r="D15" s="203">
        <v>590083</v>
      </c>
      <c r="E15" s="203">
        <v>701335</v>
      </c>
      <c r="F15" s="131">
        <f>(+D15-E15)/E15</f>
        <v>-0.15862890059671911</v>
      </c>
      <c r="G15" s="214">
        <f>D15/C15</f>
        <v>0.20355403651245765</v>
      </c>
      <c r="H15" s="122"/>
    </row>
    <row r="16" spans="1:8" ht="15.75" thickBot="1" x14ac:dyDescent="0.25">
      <c r="A16" s="132"/>
      <c r="B16" s="130"/>
      <c r="C16" s="203"/>
      <c r="D16" s="203"/>
      <c r="E16" s="203"/>
      <c r="F16" s="131"/>
      <c r="G16" s="214"/>
      <c r="H16" s="122"/>
    </row>
    <row r="17" spans="1:8" ht="17.25" thickTop="1" thickBot="1" x14ac:dyDescent="0.3">
      <c r="A17" s="134" t="s">
        <v>14</v>
      </c>
      <c r="B17" s="135"/>
      <c r="C17" s="200">
        <f>SUM(C14:C16)</f>
        <v>5687493</v>
      </c>
      <c r="D17" s="200">
        <f>SUM(D14:D16)</f>
        <v>1359693.5</v>
      </c>
      <c r="E17" s="200">
        <f>SUM(E14:E16)</f>
        <v>1362023.5</v>
      </c>
      <c r="F17" s="136">
        <f>(+D17-E17)/E17</f>
        <v>-1.7106900137919794E-3</v>
      </c>
      <c r="G17" s="211">
        <f>D17/C17</f>
        <v>0.23906728324764531</v>
      </c>
      <c r="H17" s="122"/>
    </row>
    <row r="18" spans="1:8" ht="15.75" customHeight="1" thickTop="1" x14ac:dyDescent="0.25">
      <c r="A18" s="254"/>
      <c r="B18" s="138"/>
      <c r="C18" s="204"/>
      <c r="D18" s="204"/>
      <c r="E18" s="204"/>
      <c r="F18" s="139"/>
      <c r="G18" s="218"/>
      <c r="H18" s="122"/>
    </row>
    <row r="19" spans="1:8" ht="15.75" x14ac:dyDescent="0.25">
      <c r="A19" s="19" t="s">
        <v>62</v>
      </c>
      <c r="B19" s="130">
        <f>DATE(2026,7,1)</f>
        <v>46204</v>
      </c>
      <c r="C19" s="203">
        <v>1354098</v>
      </c>
      <c r="D19" s="203">
        <v>316248.5</v>
      </c>
      <c r="E19" s="203">
        <v>348272</v>
      </c>
      <c r="F19" s="131">
        <f>(+D19-E19)/E19</f>
        <v>-9.1949683006385813E-2</v>
      </c>
      <c r="G19" s="214">
        <f>D19/C19</f>
        <v>0.23354919658695308</v>
      </c>
      <c r="H19" s="122"/>
    </row>
    <row r="20" spans="1:8" ht="15.75" x14ac:dyDescent="0.25">
      <c r="A20" s="19"/>
      <c r="B20" s="130">
        <f>DATE(2026,8,1)</f>
        <v>46235</v>
      </c>
      <c r="C20" s="203">
        <v>1365513</v>
      </c>
      <c r="D20" s="203">
        <v>306058.5</v>
      </c>
      <c r="E20" s="203">
        <v>338220.5</v>
      </c>
      <c r="F20" s="131">
        <f>(+D20-E20)/E20</f>
        <v>-9.5091811407055457E-2</v>
      </c>
      <c r="G20" s="214">
        <f>D20/C20</f>
        <v>0.22413444617517372</v>
      </c>
      <c r="H20" s="122"/>
    </row>
    <row r="21" spans="1:8" ht="15.75" thickBot="1" x14ac:dyDescent="0.25">
      <c r="A21" s="132"/>
      <c r="B21" s="130"/>
      <c r="C21" s="203"/>
      <c r="D21" s="203"/>
      <c r="E21" s="203"/>
      <c r="F21" s="131"/>
      <c r="G21" s="214"/>
      <c r="H21" s="122"/>
    </row>
    <row r="22" spans="1:8" ht="17.25" thickTop="1" thickBot="1" x14ac:dyDescent="0.3">
      <c r="A22" s="140" t="s">
        <v>14</v>
      </c>
      <c r="B22" s="141"/>
      <c r="C22" s="205">
        <f>SUM(C19:C21)</f>
        <v>2719611</v>
      </c>
      <c r="D22" s="205">
        <f>SUM(D19:D21)</f>
        <v>622307</v>
      </c>
      <c r="E22" s="205">
        <f>SUM(E19:E21)</f>
        <v>686492.5</v>
      </c>
      <c r="F22" s="142">
        <f>(+D22-E22)/E22</f>
        <v>-9.3497743966612895E-2</v>
      </c>
      <c r="G22" s="216">
        <f>D22/C22</f>
        <v>0.22882206315535566</v>
      </c>
      <c r="H22" s="122"/>
    </row>
    <row r="23" spans="1:8" ht="15.75" thickTop="1" x14ac:dyDescent="0.2">
      <c r="A23" s="132"/>
      <c r="B23" s="133"/>
      <c r="C23" s="203"/>
      <c r="D23" s="203"/>
      <c r="E23" s="203"/>
      <c r="F23" s="131"/>
      <c r="G23" s="217"/>
      <c r="H23" s="122"/>
    </row>
    <row r="24" spans="1:8" ht="15.75" x14ac:dyDescent="0.25">
      <c r="A24" s="176" t="s">
        <v>58</v>
      </c>
      <c r="B24" s="130">
        <f>DATE(2026,7,1)</f>
        <v>46204</v>
      </c>
      <c r="C24" s="203">
        <v>14698810</v>
      </c>
      <c r="D24" s="203">
        <v>3300017.5</v>
      </c>
      <c r="E24" s="203">
        <v>2993259</v>
      </c>
      <c r="F24" s="131">
        <f>(+D24-E24)/E24</f>
        <v>0.10248311288799265</v>
      </c>
      <c r="G24" s="214">
        <f>D24/C24</f>
        <v>0.22450916094568199</v>
      </c>
      <c r="H24" s="122"/>
    </row>
    <row r="25" spans="1:8" ht="15.75" x14ac:dyDescent="0.25">
      <c r="A25" s="176"/>
      <c r="B25" s="130">
        <f>DATE(2026,8,1)</f>
        <v>46235</v>
      </c>
      <c r="C25" s="203">
        <v>16700073.1</v>
      </c>
      <c r="D25" s="203">
        <v>2942065.18</v>
      </c>
      <c r="E25" s="203">
        <v>4103671.65</v>
      </c>
      <c r="F25" s="131">
        <f>(+D25-E25)/E25</f>
        <v>-0.28306515946518279</v>
      </c>
      <c r="G25" s="214">
        <f>D25/C25</f>
        <v>0.17617079652184278</v>
      </c>
      <c r="H25" s="122"/>
    </row>
    <row r="26" spans="1:8" ht="15.75" customHeight="1" thickBot="1" x14ac:dyDescent="0.25">
      <c r="A26" s="132"/>
      <c r="B26" s="133"/>
      <c r="C26" s="203"/>
      <c r="D26" s="203"/>
      <c r="E26" s="203"/>
      <c r="F26" s="131"/>
      <c r="G26" s="214"/>
      <c r="H26" s="122"/>
    </row>
    <row r="27" spans="1:8" ht="17.25" customHeight="1" thickTop="1" thickBot="1" x14ac:dyDescent="0.3">
      <c r="A27" s="140" t="s">
        <v>14</v>
      </c>
      <c r="B27" s="141"/>
      <c r="C27" s="205">
        <f>SUM(C24:C26)</f>
        <v>31398883.100000001</v>
      </c>
      <c r="D27" s="205">
        <f>SUM(D24:D26)</f>
        <v>6242082.6799999997</v>
      </c>
      <c r="E27" s="205">
        <f>SUM(E24:E26)</f>
        <v>7096930.6500000004</v>
      </c>
      <c r="F27" s="142">
        <f>(+D27-E27)/E27</f>
        <v>-0.12045319479062412</v>
      </c>
      <c r="G27" s="216">
        <f>D27/C27</f>
        <v>0.19879951334956877</v>
      </c>
      <c r="H27" s="122"/>
    </row>
    <row r="28" spans="1:8" ht="15.75" customHeight="1" thickTop="1" x14ac:dyDescent="0.2">
      <c r="A28" s="132"/>
      <c r="B28" s="133"/>
      <c r="C28" s="203"/>
      <c r="D28" s="203"/>
      <c r="E28" s="203"/>
      <c r="F28" s="131"/>
      <c r="G28" s="217"/>
      <c r="H28" s="122"/>
    </row>
    <row r="29" spans="1:8" ht="15" customHeight="1" x14ac:dyDescent="0.25">
      <c r="A29" s="129" t="s">
        <v>60</v>
      </c>
      <c r="B29" s="130">
        <f>DATE(2026,7,1)</f>
        <v>46204</v>
      </c>
      <c r="C29" s="203">
        <v>14502332</v>
      </c>
      <c r="D29" s="203">
        <v>3714715.5</v>
      </c>
      <c r="E29" s="203">
        <v>3222320.5</v>
      </c>
      <c r="F29" s="131">
        <f>(+D29-E29)/E29</f>
        <v>0.15280758074809753</v>
      </c>
      <c r="G29" s="214">
        <f>D29/C29</f>
        <v>0.25614608050622478</v>
      </c>
      <c r="H29" s="122"/>
    </row>
    <row r="30" spans="1:8" ht="15" customHeight="1" x14ac:dyDescent="0.25">
      <c r="A30" s="129"/>
      <c r="B30" s="130">
        <f>DATE(2026,8,1)</f>
        <v>46235</v>
      </c>
      <c r="C30" s="203">
        <v>13014766</v>
      </c>
      <c r="D30" s="203">
        <v>2715228</v>
      </c>
      <c r="E30" s="203">
        <v>3938155</v>
      </c>
      <c r="F30" s="131">
        <f>(+D30-E30)/E30</f>
        <v>-0.31053297800619833</v>
      </c>
      <c r="G30" s="214">
        <f>D30/C30</f>
        <v>0.20862672444514177</v>
      </c>
      <c r="H30" s="122"/>
    </row>
    <row r="31" spans="1:8" ht="15.75" thickBot="1" x14ac:dyDescent="0.25">
      <c r="A31" s="132"/>
      <c r="B31" s="130"/>
      <c r="C31" s="203"/>
      <c r="D31" s="203"/>
      <c r="E31" s="203"/>
      <c r="F31" s="131"/>
      <c r="G31" s="214"/>
      <c r="H31" s="122"/>
    </row>
    <row r="32" spans="1:8" ht="17.25" customHeight="1" thickTop="1" thickBot="1" x14ac:dyDescent="0.3">
      <c r="A32" s="140" t="s">
        <v>14</v>
      </c>
      <c r="B32" s="141"/>
      <c r="C32" s="206">
        <f>SUM(C29:C31)</f>
        <v>27517098</v>
      </c>
      <c r="D32" s="260">
        <f>SUM(D29:D31)</f>
        <v>6429943.5</v>
      </c>
      <c r="E32" s="205">
        <f>SUM(E29:E31)</f>
        <v>7160475.5</v>
      </c>
      <c r="F32" s="267">
        <f>(+D32-E32)/E32</f>
        <v>-0.10202283353947654</v>
      </c>
      <c r="G32" s="266">
        <f>D32/C32</f>
        <v>0.23367084348792885</v>
      </c>
      <c r="H32" s="122"/>
    </row>
    <row r="33" spans="1:8" ht="15.75" customHeight="1" thickTop="1" x14ac:dyDescent="0.25">
      <c r="A33" s="129"/>
      <c r="B33" s="133"/>
      <c r="C33" s="203"/>
      <c r="D33" s="203"/>
      <c r="E33" s="203"/>
      <c r="F33" s="131"/>
      <c r="G33" s="217"/>
      <c r="H33" s="122"/>
    </row>
    <row r="34" spans="1:8" ht="15.75" x14ac:dyDescent="0.25">
      <c r="A34" s="129" t="s">
        <v>64</v>
      </c>
      <c r="B34" s="130">
        <f>DATE(2026,7,1)</f>
        <v>46204</v>
      </c>
      <c r="C34" s="203">
        <v>2886005.5</v>
      </c>
      <c r="D34" s="203">
        <v>660744</v>
      </c>
      <c r="E34" s="203">
        <v>734009.5</v>
      </c>
      <c r="F34" s="131">
        <f>(+D34-E34)/E34</f>
        <v>-9.9815465603646819E-2</v>
      </c>
      <c r="G34" s="214">
        <f>D34/C34</f>
        <v>0.22894758863072159</v>
      </c>
      <c r="H34" s="122"/>
    </row>
    <row r="35" spans="1:8" ht="15.75" x14ac:dyDescent="0.25">
      <c r="A35" s="129"/>
      <c r="B35" s="130">
        <f>DATE(2026,8,1)</f>
        <v>46235</v>
      </c>
      <c r="C35" s="203">
        <v>2735381</v>
      </c>
      <c r="D35" s="203">
        <v>742926.5</v>
      </c>
      <c r="E35" s="203">
        <v>626879.5</v>
      </c>
      <c r="F35" s="131">
        <f>(+D35-E35)/E35</f>
        <v>0.18511851161188075</v>
      </c>
      <c r="G35" s="214">
        <f>D35/C35</f>
        <v>0.27159891071847031</v>
      </c>
      <c r="H35" s="122"/>
    </row>
    <row r="36" spans="1:8" ht="15.75" customHeight="1" thickBot="1" x14ac:dyDescent="0.3">
      <c r="A36" s="129"/>
      <c r="B36" s="130"/>
      <c r="C36" s="203"/>
      <c r="D36" s="203"/>
      <c r="E36" s="203"/>
      <c r="F36" s="131"/>
      <c r="G36" s="214"/>
      <c r="H36" s="122"/>
    </row>
    <row r="37" spans="1:8" ht="17.25" thickTop="1" thickBot="1" x14ac:dyDescent="0.3">
      <c r="A37" s="140" t="s">
        <v>14</v>
      </c>
      <c r="B37" s="141"/>
      <c r="C37" s="206">
        <f>SUM(C34:C36)</f>
        <v>5621386.5</v>
      </c>
      <c r="D37" s="260">
        <f>SUM(D34:D36)</f>
        <v>1403670.5</v>
      </c>
      <c r="E37" s="206">
        <f>SUM(E34:E36)</f>
        <v>1360889</v>
      </c>
      <c r="F37" s="267">
        <f>(+D37-E37)/E37</f>
        <v>3.1436436035562051E-2</v>
      </c>
      <c r="G37" s="266">
        <f>D37/C37</f>
        <v>0.24970183067824994</v>
      </c>
      <c r="H37" s="122"/>
    </row>
    <row r="38" spans="1:8" ht="15.75" customHeight="1" thickTop="1" x14ac:dyDescent="0.25">
      <c r="A38" s="129"/>
      <c r="B38" s="133"/>
      <c r="C38" s="203"/>
      <c r="D38" s="203"/>
      <c r="E38" s="203"/>
      <c r="F38" s="131"/>
      <c r="G38" s="217"/>
      <c r="H38" s="122"/>
    </row>
    <row r="39" spans="1:8" ht="15.75" x14ac:dyDescent="0.25">
      <c r="A39" s="129" t="s">
        <v>67</v>
      </c>
      <c r="B39" s="130">
        <f>DATE(2026,7,1)</f>
        <v>46204</v>
      </c>
      <c r="C39" s="203">
        <v>3901922</v>
      </c>
      <c r="D39" s="203">
        <v>732344.5</v>
      </c>
      <c r="E39" s="203">
        <v>651030.5</v>
      </c>
      <c r="F39" s="131">
        <f>(+D39-E39)/E39</f>
        <v>0.12490044629245481</v>
      </c>
      <c r="G39" s="214">
        <f>D39/C39</f>
        <v>0.18768814445803889</v>
      </c>
      <c r="H39" s="122"/>
    </row>
    <row r="40" spans="1:8" ht="15.75" x14ac:dyDescent="0.25">
      <c r="A40" s="129"/>
      <c r="B40" s="130">
        <f>DATE(2026,8,1)</f>
        <v>46235</v>
      </c>
      <c r="C40" s="203">
        <v>3825290</v>
      </c>
      <c r="D40" s="203">
        <v>731712</v>
      </c>
      <c r="E40" s="203">
        <v>722686</v>
      </c>
      <c r="F40" s="131">
        <f>(+D40-E40)/E40</f>
        <v>1.2489518269345194E-2</v>
      </c>
      <c r="G40" s="214">
        <f>D40/C40</f>
        <v>0.19128275241877085</v>
      </c>
      <c r="H40" s="122"/>
    </row>
    <row r="41" spans="1:8" ht="15.75" customHeight="1" thickBot="1" x14ac:dyDescent="0.3">
      <c r="A41" s="129"/>
      <c r="B41" s="130"/>
      <c r="C41" s="203"/>
      <c r="D41" s="203"/>
      <c r="E41" s="203"/>
      <c r="F41" s="131"/>
      <c r="G41" s="214"/>
      <c r="H41" s="122"/>
    </row>
    <row r="42" spans="1:8" ht="17.25" thickTop="1" thickBot="1" x14ac:dyDescent="0.3">
      <c r="A42" s="140" t="s">
        <v>14</v>
      </c>
      <c r="B42" s="141"/>
      <c r="C42" s="206">
        <f>SUM(C39:C41)</f>
        <v>7727212</v>
      </c>
      <c r="D42" s="260">
        <f>SUM(D39:D41)</f>
        <v>1464056.5</v>
      </c>
      <c r="E42" s="206">
        <f>SUM(E39:E41)</f>
        <v>1373716.5</v>
      </c>
      <c r="F42" s="268">
        <f>(+D42-E42)/E42</f>
        <v>6.5763205144584058E-2</v>
      </c>
      <c r="G42" s="266">
        <f>D42/C42</f>
        <v>0.18946762428674147</v>
      </c>
      <c r="H42" s="122"/>
    </row>
    <row r="43" spans="1:8" ht="15.75" customHeight="1" thickTop="1" x14ac:dyDescent="0.25">
      <c r="A43" s="129"/>
      <c r="B43" s="138"/>
      <c r="C43" s="204"/>
      <c r="D43" s="204"/>
      <c r="E43" s="204"/>
      <c r="F43" s="139"/>
      <c r="G43" s="215"/>
      <c r="H43" s="122"/>
    </row>
    <row r="44" spans="1:8" ht="15.75" x14ac:dyDescent="0.25">
      <c r="A44" s="129" t="s">
        <v>69</v>
      </c>
      <c r="B44" s="130">
        <f>DATE(2026,7,1)</f>
        <v>46204</v>
      </c>
      <c r="C44" s="203">
        <v>8895447</v>
      </c>
      <c r="D44" s="203">
        <v>2022393.59</v>
      </c>
      <c r="E44" s="203">
        <v>1689752.84</v>
      </c>
      <c r="F44" s="131">
        <f>(+D44-E44)/E44</f>
        <v>0.19685763629194433</v>
      </c>
      <c r="G44" s="214">
        <f>D44/C44</f>
        <v>0.22735154174939157</v>
      </c>
      <c r="H44" s="122"/>
    </row>
    <row r="45" spans="1:8" ht="15.75" x14ac:dyDescent="0.25">
      <c r="A45" s="129"/>
      <c r="B45" s="130">
        <f>DATE(2026,8,1)</f>
        <v>46235</v>
      </c>
      <c r="C45" s="203">
        <v>8337593</v>
      </c>
      <c r="D45" s="203">
        <v>1935304.28</v>
      </c>
      <c r="E45" s="203">
        <v>2210201.46</v>
      </c>
      <c r="F45" s="131">
        <f>(+D45-E45)/E45</f>
        <v>-0.12437652629186116</v>
      </c>
      <c r="G45" s="214">
        <f>D45/C45</f>
        <v>0.2321178642325189</v>
      </c>
      <c r="H45" s="122"/>
    </row>
    <row r="46" spans="1:8" ht="15.75" customHeight="1" thickBot="1" x14ac:dyDescent="0.3">
      <c r="A46" s="129"/>
      <c r="B46" s="130"/>
      <c r="C46" s="203"/>
      <c r="D46" s="203"/>
      <c r="E46" s="203"/>
      <c r="F46" s="131"/>
      <c r="G46" s="214"/>
      <c r="H46" s="122"/>
    </row>
    <row r="47" spans="1:8" ht="17.25" thickTop="1" thickBot="1" x14ac:dyDescent="0.3">
      <c r="A47" s="140" t="s">
        <v>14</v>
      </c>
      <c r="B47" s="141"/>
      <c r="C47" s="205">
        <f>SUM(C44:C46)</f>
        <v>17233040</v>
      </c>
      <c r="D47" s="205">
        <f>SUM(D44:D46)</f>
        <v>3957697.87</v>
      </c>
      <c r="E47" s="205">
        <f>SUM(E44:E46)</f>
        <v>3899954.3</v>
      </c>
      <c r="F47" s="142">
        <f>(+D47-E47)/E47</f>
        <v>1.4806217088236213E-2</v>
      </c>
      <c r="G47" s="216">
        <f>D47/C47</f>
        <v>0.22965755722727971</v>
      </c>
      <c r="H47" s="122"/>
    </row>
    <row r="48" spans="1:8" ht="15.75" customHeight="1" thickTop="1" x14ac:dyDescent="0.25">
      <c r="A48" s="137"/>
      <c r="B48" s="138"/>
      <c r="C48" s="204"/>
      <c r="D48" s="204"/>
      <c r="E48" s="204"/>
      <c r="F48" s="139"/>
      <c r="G48" s="215"/>
      <c r="H48" s="122"/>
    </row>
    <row r="49" spans="1:8" ht="15.75" x14ac:dyDescent="0.25">
      <c r="A49" s="129" t="s">
        <v>16</v>
      </c>
      <c r="B49" s="130">
        <f>DATE(2026,7,1)</f>
        <v>46204</v>
      </c>
      <c r="C49" s="203">
        <v>15770087</v>
      </c>
      <c r="D49" s="203">
        <v>2566570.5</v>
      </c>
      <c r="E49" s="203">
        <v>2213338.5</v>
      </c>
      <c r="F49" s="131">
        <f>(+D49-E49)/E49</f>
        <v>0.15959239854184076</v>
      </c>
      <c r="G49" s="214">
        <f>D49/C49</f>
        <v>0.16274929237866601</v>
      </c>
      <c r="H49" s="122"/>
    </row>
    <row r="50" spans="1:8" ht="15.75" x14ac:dyDescent="0.25">
      <c r="A50" s="129"/>
      <c r="B50" s="130">
        <f>DATE(2026,8,1)</f>
        <v>46235</v>
      </c>
      <c r="C50" s="203">
        <v>17442050</v>
      </c>
      <c r="D50" s="203">
        <v>2510751.5</v>
      </c>
      <c r="E50" s="203">
        <v>1935718.5</v>
      </c>
      <c r="F50" s="131">
        <f>(+D50-E50)/E50</f>
        <v>0.29706437170487343</v>
      </c>
      <c r="G50" s="214">
        <f>D50/C50</f>
        <v>0.14394818842968574</v>
      </c>
      <c r="H50" s="122"/>
    </row>
    <row r="51" spans="1:8" ht="15.75" customHeight="1" thickBot="1" x14ac:dyDescent="0.3">
      <c r="A51" s="129"/>
      <c r="B51" s="130"/>
      <c r="C51" s="203"/>
      <c r="D51" s="203"/>
      <c r="E51" s="203"/>
      <c r="F51" s="131"/>
      <c r="G51" s="214"/>
      <c r="H51" s="122"/>
    </row>
    <row r="52" spans="1:8" ht="17.25" thickTop="1" thickBot="1" x14ac:dyDescent="0.3">
      <c r="A52" s="140" t="s">
        <v>14</v>
      </c>
      <c r="B52" s="141"/>
      <c r="C52" s="205">
        <f>SUM(C49:C51)</f>
        <v>33212137</v>
      </c>
      <c r="D52" s="205">
        <f>SUM(D49:D51)</f>
        <v>5077322</v>
      </c>
      <c r="E52" s="205">
        <f>SUM(E49:E51)</f>
        <v>4149057</v>
      </c>
      <c r="F52" s="142">
        <f>(+D52-E52)/E52</f>
        <v>0.22372915098539259</v>
      </c>
      <c r="G52" s="216">
        <f>D52/C52</f>
        <v>0.15287549849622745</v>
      </c>
      <c r="H52" s="122"/>
    </row>
    <row r="53" spans="1:8" ht="15.75" customHeight="1" thickTop="1" x14ac:dyDescent="0.25">
      <c r="A53" s="137"/>
      <c r="B53" s="138"/>
      <c r="C53" s="204"/>
      <c r="D53" s="204"/>
      <c r="E53" s="204"/>
      <c r="F53" s="139"/>
      <c r="G53" s="215"/>
      <c r="H53" s="122"/>
    </row>
    <row r="54" spans="1:8" ht="15.75" x14ac:dyDescent="0.25">
      <c r="A54" s="129" t="s">
        <v>53</v>
      </c>
      <c r="B54" s="130">
        <f>DATE(2026,7,1)</f>
        <v>46204</v>
      </c>
      <c r="C54" s="203">
        <v>12823721</v>
      </c>
      <c r="D54" s="203">
        <v>2541151.8199999998</v>
      </c>
      <c r="E54" s="203">
        <v>2238507.35</v>
      </c>
      <c r="F54" s="131">
        <f>(+D54-E54)/E54</f>
        <v>0.13519922996902364</v>
      </c>
      <c r="G54" s="214">
        <f>D54/C54</f>
        <v>0.19816025473417581</v>
      </c>
      <c r="H54" s="122"/>
    </row>
    <row r="55" spans="1:8" ht="15.75" x14ac:dyDescent="0.25">
      <c r="A55" s="129"/>
      <c r="B55" s="130">
        <f>DATE(2026,8,1)</f>
        <v>46235</v>
      </c>
      <c r="C55" s="203">
        <v>13104055</v>
      </c>
      <c r="D55" s="203">
        <v>2827382.34</v>
      </c>
      <c r="E55" s="203">
        <v>3124514.38</v>
      </c>
      <c r="F55" s="131">
        <f>(+D55-E55)/E55</f>
        <v>-9.5097030726419646E-2</v>
      </c>
      <c r="G55" s="214">
        <f>D55/C55</f>
        <v>0.21576392498352609</v>
      </c>
      <c r="H55" s="122"/>
    </row>
    <row r="56" spans="1:8" ht="15.75" thickBot="1" x14ac:dyDescent="0.25">
      <c r="A56" s="132"/>
      <c r="B56" s="130"/>
      <c r="C56" s="203"/>
      <c r="D56" s="203"/>
      <c r="E56" s="203"/>
      <c r="F56" s="131"/>
      <c r="G56" s="214"/>
      <c r="H56" s="122"/>
    </row>
    <row r="57" spans="1:8" ht="17.25" thickTop="1" thickBot="1" x14ac:dyDescent="0.3">
      <c r="A57" s="140" t="s">
        <v>14</v>
      </c>
      <c r="B57" s="141"/>
      <c r="C57" s="206">
        <f>SUM(C54:C56)</f>
        <v>25927776</v>
      </c>
      <c r="D57" s="206">
        <f>SUM(D54:D56)</f>
        <v>5368534.16</v>
      </c>
      <c r="E57" s="206">
        <f>SUM(E54:E56)</f>
        <v>5363021.7300000004</v>
      </c>
      <c r="F57" s="142">
        <f>(+D57-E57)/E57</f>
        <v>1.0278589715875907E-3</v>
      </c>
      <c r="G57" s="266">
        <f>D57/C57</f>
        <v>0.20705725627990615</v>
      </c>
      <c r="H57" s="122"/>
    </row>
    <row r="58" spans="1:8" ht="15.75" customHeight="1" thickTop="1" x14ac:dyDescent="0.25">
      <c r="A58" s="137"/>
      <c r="B58" s="138"/>
      <c r="C58" s="204"/>
      <c r="D58" s="204"/>
      <c r="E58" s="204"/>
      <c r="F58" s="139"/>
      <c r="G58" s="218"/>
      <c r="H58" s="122"/>
    </row>
    <row r="59" spans="1:8" ht="15.75" x14ac:dyDescent="0.25">
      <c r="A59" s="129" t="s">
        <v>54</v>
      </c>
      <c r="B59" s="130">
        <f>DATE(2026,7,1)</f>
        <v>46204</v>
      </c>
      <c r="C59" s="203">
        <v>0</v>
      </c>
      <c r="D59" s="203">
        <v>0</v>
      </c>
      <c r="E59" s="203">
        <v>0</v>
      </c>
      <c r="F59" s="131">
        <v>0</v>
      </c>
      <c r="G59" s="214">
        <v>0</v>
      </c>
      <c r="H59" s="122"/>
    </row>
    <row r="60" spans="1:8" ht="15.75" x14ac:dyDescent="0.25">
      <c r="A60" s="129"/>
      <c r="B60" s="130">
        <f>DATE(2026,8,1)</f>
        <v>46235</v>
      </c>
      <c r="C60" s="203">
        <v>0</v>
      </c>
      <c r="D60" s="203">
        <v>0</v>
      </c>
      <c r="E60" s="203">
        <v>0</v>
      </c>
      <c r="F60" s="131">
        <v>0</v>
      </c>
      <c r="G60" s="214">
        <v>0</v>
      </c>
      <c r="H60" s="122"/>
    </row>
    <row r="61" spans="1:8" ht="15.75" thickBot="1" x14ac:dyDescent="0.25">
      <c r="A61" s="132"/>
      <c r="B61" s="133"/>
      <c r="C61" s="203"/>
      <c r="D61" s="203"/>
      <c r="E61" s="203"/>
      <c r="F61" s="131"/>
      <c r="G61" s="214"/>
      <c r="H61" s="122"/>
    </row>
    <row r="62" spans="1:8" ht="17.25" thickTop="1" thickBot="1" x14ac:dyDescent="0.3">
      <c r="A62" s="143" t="s">
        <v>14</v>
      </c>
      <c r="B62" s="144"/>
      <c r="C62" s="206">
        <f>SUM(C59:C61)</f>
        <v>0</v>
      </c>
      <c r="D62" s="206">
        <f>SUM(D59:D61)</f>
        <v>0</v>
      </c>
      <c r="E62" s="206">
        <f>SUM(E59:E61)</f>
        <v>0</v>
      </c>
      <c r="F62" s="142">
        <v>0</v>
      </c>
      <c r="G62" s="216">
        <v>0</v>
      </c>
      <c r="H62" s="122"/>
    </row>
    <row r="63" spans="1:8" ht="15.75" customHeight="1" thickTop="1" x14ac:dyDescent="0.25">
      <c r="A63" s="129"/>
      <c r="B63" s="133"/>
      <c r="C63" s="203"/>
      <c r="D63" s="203"/>
      <c r="E63" s="203"/>
      <c r="F63" s="131"/>
      <c r="G63" s="217"/>
      <c r="H63" s="122"/>
    </row>
    <row r="64" spans="1:8" ht="15.75" x14ac:dyDescent="0.25">
      <c r="A64" s="129" t="s">
        <v>37</v>
      </c>
      <c r="B64" s="130">
        <f>DATE(2026,7,1)</f>
        <v>46204</v>
      </c>
      <c r="C64" s="203">
        <v>24388199</v>
      </c>
      <c r="D64" s="203">
        <v>4318431.5</v>
      </c>
      <c r="E64" s="203">
        <v>4388523.87</v>
      </c>
      <c r="F64" s="131">
        <f>(+D64-E64)/E64</f>
        <v>-1.5971741769288842E-2</v>
      </c>
      <c r="G64" s="214">
        <f>D64/C64</f>
        <v>0.17707053727091532</v>
      </c>
      <c r="H64" s="122"/>
    </row>
    <row r="65" spans="1:8" ht="15.75" x14ac:dyDescent="0.25">
      <c r="A65" s="129"/>
      <c r="B65" s="130">
        <f>DATE(2026,8,1)</f>
        <v>46235</v>
      </c>
      <c r="C65" s="203">
        <v>27411625</v>
      </c>
      <c r="D65" s="203">
        <v>3751130</v>
      </c>
      <c r="E65" s="203">
        <v>4972073.57</v>
      </c>
      <c r="F65" s="131">
        <f>(+D65-E65)/E65</f>
        <v>-0.24556023816035374</v>
      </c>
      <c r="G65" s="214">
        <f>D65/C65</f>
        <v>0.13684449572033763</v>
      </c>
      <c r="H65" s="122"/>
    </row>
    <row r="66" spans="1:8" ht="15.75" thickBot="1" x14ac:dyDescent="0.25">
      <c r="A66" s="132"/>
      <c r="B66" s="133"/>
      <c r="C66" s="203"/>
      <c r="D66" s="203"/>
      <c r="E66" s="203"/>
      <c r="F66" s="131"/>
      <c r="G66" s="214"/>
      <c r="H66" s="122"/>
    </row>
    <row r="67" spans="1:8" ht="17.25" thickTop="1" thickBot="1" x14ac:dyDescent="0.3">
      <c r="A67" s="140" t="s">
        <v>14</v>
      </c>
      <c r="B67" s="141"/>
      <c r="C67" s="205">
        <f>SUM(C64:C66)</f>
        <v>51799824</v>
      </c>
      <c r="D67" s="206">
        <f>SUM(D64:D66)</f>
        <v>8069561.5</v>
      </c>
      <c r="E67" s="205">
        <f>SUM(E64:E66)</f>
        <v>9360597.4400000013</v>
      </c>
      <c r="F67" s="142">
        <f>(+D67-E67)/E67</f>
        <v>-0.13792238671466692</v>
      </c>
      <c r="G67" s="216">
        <f>D67/C67</f>
        <v>0.15578356984378944</v>
      </c>
      <c r="H67" s="122"/>
    </row>
    <row r="68" spans="1:8" ht="15.75" customHeight="1" thickTop="1" x14ac:dyDescent="0.25">
      <c r="A68" s="129"/>
      <c r="B68" s="133"/>
      <c r="C68" s="203"/>
      <c r="D68" s="203"/>
      <c r="E68" s="203"/>
      <c r="F68" s="131"/>
      <c r="G68" s="217"/>
      <c r="H68" s="122"/>
    </row>
    <row r="69" spans="1:8" ht="15.75" x14ac:dyDescent="0.25">
      <c r="A69" s="129" t="s">
        <v>57</v>
      </c>
      <c r="B69" s="130">
        <f>DATE(2026,7,1)</f>
        <v>46204</v>
      </c>
      <c r="C69" s="203">
        <v>345933</v>
      </c>
      <c r="D69" s="203">
        <v>97342.5</v>
      </c>
      <c r="E69" s="203">
        <v>176713.5</v>
      </c>
      <c r="F69" s="131">
        <f>(+D69-E69)/E69</f>
        <v>-0.44915074400088278</v>
      </c>
      <c r="G69" s="214">
        <f>D69/C69</f>
        <v>0.28139119424859727</v>
      </c>
      <c r="H69" s="122"/>
    </row>
    <row r="70" spans="1:8" ht="15.75" x14ac:dyDescent="0.25">
      <c r="A70" s="129"/>
      <c r="B70" s="130">
        <f>DATE(2026,8,1)</f>
        <v>46235</v>
      </c>
      <c r="C70" s="203">
        <v>406697</v>
      </c>
      <c r="D70" s="203">
        <v>115887</v>
      </c>
      <c r="E70" s="203">
        <v>225401</v>
      </c>
      <c r="F70" s="131">
        <f>(+D70-E70)/E70</f>
        <v>-0.48586297310127285</v>
      </c>
      <c r="G70" s="214">
        <f>D70/C70</f>
        <v>0.28494677855995987</v>
      </c>
      <c r="H70" s="122"/>
    </row>
    <row r="71" spans="1:8" ht="15.75" thickBot="1" x14ac:dyDescent="0.25">
      <c r="A71" s="132"/>
      <c r="B71" s="133"/>
      <c r="C71" s="203"/>
      <c r="D71" s="203"/>
      <c r="E71" s="203"/>
      <c r="F71" s="131"/>
      <c r="G71" s="214"/>
      <c r="H71" s="122"/>
    </row>
    <row r="72" spans="1:8" ht="17.25" thickTop="1" thickBot="1" x14ac:dyDescent="0.3">
      <c r="A72" s="134" t="s">
        <v>14</v>
      </c>
      <c r="B72" s="135"/>
      <c r="C72" s="200">
        <f>SUM(C69:C71)</f>
        <v>752630</v>
      </c>
      <c r="D72" s="206">
        <f>SUM(D69:D71)</f>
        <v>213229.5</v>
      </c>
      <c r="E72" s="206">
        <f>SUM(E69:E71)</f>
        <v>402114.5</v>
      </c>
      <c r="F72" s="142">
        <f>(+D72-E72)/E72</f>
        <v>-0.46972939299627348</v>
      </c>
      <c r="G72" s="216">
        <f>D72/C72</f>
        <v>0.28331251743884778</v>
      </c>
      <c r="H72" s="122"/>
    </row>
    <row r="73" spans="1:8" ht="16.5" thickTop="1" thickBot="1" x14ac:dyDescent="0.25">
      <c r="A73" s="145"/>
      <c r="B73" s="138"/>
      <c r="C73" s="204"/>
      <c r="D73" s="204"/>
      <c r="E73" s="204"/>
      <c r="F73" s="139"/>
      <c r="G73" s="215"/>
      <c r="H73" s="122"/>
    </row>
    <row r="74" spans="1:8" ht="17.25" thickTop="1" thickBot="1" x14ac:dyDescent="0.3">
      <c r="A74" s="146" t="s">
        <v>38</v>
      </c>
      <c r="B74" s="120"/>
      <c r="C74" s="200">
        <f>C72+C67+C52+C42+C32+C22+C12+C27+C62+C17+C47+C57+C37</f>
        <v>234445081.59999999</v>
      </c>
      <c r="D74" s="200">
        <f>D72+D67+D52+D42+D32+D22+D12+D27+D62+D17+D47+D57+D37</f>
        <v>44378696.209999993</v>
      </c>
      <c r="E74" s="200">
        <f>E72+E67+E52+E42+E32+E22+E12+E27+E62+E17+E47+E57+E37</f>
        <v>47469754.120000005</v>
      </c>
      <c r="F74" s="136">
        <f>(+D74-E74)/E74</f>
        <v>-6.5116366564403241E-2</v>
      </c>
      <c r="G74" s="211">
        <f>D74/C74</f>
        <v>0.18929250256448968</v>
      </c>
      <c r="H74" s="122"/>
    </row>
    <row r="75" spans="1:8" ht="17.25" thickTop="1" thickBot="1" x14ac:dyDescent="0.3">
      <c r="A75" s="146"/>
      <c r="B75" s="120"/>
      <c r="C75" s="200"/>
      <c r="D75" s="200"/>
      <c r="E75" s="200"/>
      <c r="F75" s="136"/>
      <c r="G75" s="211"/>
      <c r="H75" s="122"/>
    </row>
    <row r="76" spans="1:8" ht="17.25" thickTop="1" thickBot="1" x14ac:dyDescent="0.3">
      <c r="A76" s="264" t="s">
        <v>39</v>
      </c>
      <c r="B76" s="265"/>
      <c r="C76" s="205">
        <f>+C10+C15+C20+C25+C30+C35+C40+C45+C50+C55+C60+C65+C70</f>
        <v>119499589.09999999</v>
      </c>
      <c r="D76" s="205">
        <f>+D10+D15+D20+D25+D30+D35+D40+D45+D50+D55+D60+D65+D70</f>
        <v>21141091.299999997</v>
      </c>
      <c r="E76" s="205">
        <f>+E10+E15+E20+E25+E30+E35+E40+E45+E50+E55+E60+E65+E70</f>
        <v>25682165.559999999</v>
      </c>
      <c r="F76" s="267">
        <f>(+D76-E76)/E76</f>
        <v>-0.17681819897122422</v>
      </c>
      <c r="G76" s="216">
        <f>D76/C76</f>
        <v>0.17691350622393059</v>
      </c>
      <c r="H76" s="122"/>
    </row>
    <row r="77" spans="1:8" ht="16.5" thickTop="1" x14ac:dyDescent="0.25">
      <c r="A77" s="255"/>
      <c r="B77" s="257"/>
      <c r="C77" s="258"/>
      <c r="D77" s="258"/>
      <c r="E77" s="258"/>
      <c r="F77" s="259"/>
      <c r="G77" s="256"/>
      <c r="H77" s="256"/>
    </row>
    <row r="78" spans="1:8" ht="18.75" x14ac:dyDescent="0.3">
      <c r="A78" s="262" t="s">
        <v>40</v>
      </c>
      <c r="B78" s="116"/>
      <c r="C78" s="207"/>
      <c r="D78" s="207"/>
      <c r="E78" s="207"/>
      <c r="F78" s="147"/>
      <c r="G78" s="219"/>
    </row>
    <row r="79" spans="1:8" ht="15.75" x14ac:dyDescent="0.25">
      <c r="A79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5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DATE(26,7,1)</f>
        <v>9679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DATE(26,8,1)</f>
        <v>9710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thickBot="1" x14ac:dyDescent="0.25">
      <c r="A12" s="166"/>
      <c r="B12" s="167"/>
      <c r="C12" s="225"/>
      <c r="D12" s="225"/>
      <c r="E12" s="225"/>
      <c r="F12" s="165"/>
      <c r="G12" s="240"/>
      <c r="H12" s="241"/>
    </row>
    <row r="13" spans="1:8" ht="17.25" thickTop="1" thickBot="1" x14ac:dyDescent="0.3">
      <c r="A13" s="168" t="s">
        <v>14</v>
      </c>
      <c r="B13" s="154"/>
      <c r="C13" s="222">
        <f>SUM(C10:C12)</f>
        <v>0</v>
      </c>
      <c r="D13" s="222">
        <f>SUM(D10:D12)</f>
        <v>0</v>
      </c>
      <c r="E13" s="222">
        <f>SUM(E10:E12)</f>
        <v>0</v>
      </c>
      <c r="F13" s="175">
        <v>0</v>
      </c>
      <c r="G13" s="244">
        <v>0</v>
      </c>
      <c r="H13" s="245">
        <v>0</v>
      </c>
    </row>
    <row r="14" spans="1:8" ht="15.75" thickTop="1" x14ac:dyDescent="0.2">
      <c r="A14" s="170"/>
      <c r="B14" s="171"/>
      <c r="C14" s="226"/>
      <c r="D14" s="226"/>
      <c r="E14" s="226"/>
      <c r="F14" s="172"/>
      <c r="G14" s="242"/>
      <c r="H14" s="243"/>
    </row>
    <row r="15" spans="1:8" ht="15.75" x14ac:dyDescent="0.25">
      <c r="A15" s="19" t="s">
        <v>48</v>
      </c>
      <c r="B15" s="164">
        <f>DATE(26,7,1)</f>
        <v>9679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41">
        <v>0</v>
      </c>
    </row>
    <row r="16" spans="1:8" ht="15.75" x14ac:dyDescent="0.25">
      <c r="A16" s="19"/>
      <c r="B16" s="164">
        <f>DATE(26,8,1)</f>
        <v>9710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thickBot="1" x14ac:dyDescent="0.25">
      <c r="A17" s="166"/>
      <c r="B17" s="164"/>
      <c r="C17" s="225"/>
      <c r="D17" s="225"/>
      <c r="E17" s="225"/>
      <c r="F17" s="165"/>
      <c r="G17" s="240"/>
      <c r="H17" s="241"/>
    </row>
    <row r="18" spans="1:8" ht="17.25" thickTop="1" thickBot="1" x14ac:dyDescent="0.3">
      <c r="A18" s="168" t="s">
        <v>14</v>
      </c>
      <c r="B18" s="154"/>
      <c r="C18" s="222">
        <f>SUM(C15:C17)</f>
        <v>0</v>
      </c>
      <c r="D18" s="222">
        <f>SUM(D15:D17)</f>
        <v>0</v>
      </c>
      <c r="E18" s="222">
        <f>SUM(E15:E17)</f>
        <v>0</v>
      </c>
      <c r="F18" s="169">
        <v>0</v>
      </c>
      <c r="G18" s="235">
        <v>0</v>
      </c>
      <c r="H18" s="236">
        <v>0</v>
      </c>
    </row>
    <row r="19" spans="1:8" ht="15.75" thickTop="1" x14ac:dyDescent="0.2">
      <c r="A19" s="170"/>
      <c r="B19" s="171"/>
      <c r="C19" s="226"/>
      <c r="D19" s="226"/>
      <c r="E19" s="226"/>
      <c r="F19" s="172"/>
      <c r="G19" s="242"/>
      <c r="H19" s="243"/>
    </row>
    <row r="20" spans="1:8" ht="15.75" x14ac:dyDescent="0.25">
      <c r="A20" s="19" t="s">
        <v>62</v>
      </c>
      <c r="B20" s="164">
        <f>DATE(26,7,1)</f>
        <v>9679</v>
      </c>
      <c r="C20" s="225">
        <v>0</v>
      </c>
      <c r="D20" s="225">
        <v>0</v>
      </c>
      <c r="E20" s="225">
        <v>0</v>
      </c>
      <c r="F20" s="165">
        <v>0</v>
      </c>
      <c r="G20" s="240">
        <v>0</v>
      </c>
      <c r="H20" s="241">
        <v>0</v>
      </c>
    </row>
    <row r="21" spans="1:8" ht="15.75" x14ac:dyDescent="0.25">
      <c r="A21" s="19"/>
      <c r="B21" s="164">
        <f>DATE(26,8,1)</f>
        <v>9710</v>
      </c>
      <c r="C21" s="225">
        <v>0</v>
      </c>
      <c r="D21" s="225">
        <v>0</v>
      </c>
      <c r="E21" s="225">
        <v>0</v>
      </c>
      <c r="F21" s="165">
        <v>0</v>
      </c>
      <c r="G21" s="240">
        <v>0</v>
      </c>
      <c r="H21" s="288">
        <v>0</v>
      </c>
    </row>
    <row r="22" spans="1:8" ht="15.75" thickBot="1" x14ac:dyDescent="0.25">
      <c r="A22" s="166"/>
      <c r="B22" s="164"/>
      <c r="C22" s="225"/>
      <c r="D22" s="225"/>
      <c r="E22" s="225"/>
      <c r="F22" s="165"/>
      <c r="G22" s="240"/>
      <c r="H22" s="241"/>
    </row>
    <row r="23" spans="1:8" ht="17.25" thickTop="1" thickBot="1" x14ac:dyDescent="0.3">
      <c r="A23" s="173" t="s">
        <v>14</v>
      </c>
      <c r="B23" s="174"/>
      <c r="C23" s="227">
        <f>SUM(C20:C22)</f>
        <v>0</v>
      </c>
      <c r="D23" s="227">
        <f>SUM(D20:D22)</f>
        <v>0</v>
      </c>
      <c r="E23" s="227">
        <f>SUM(E20:E22)</f>
        <v>0</v>
      </c>
      <c r="F23" s="175">
        <v>0</v>
      </c>
      <c r="G23" s="244">
        <v>0</v>
      </c>
      <c r="H23" s="245">
        <v>0</v>
      </c>
    </row>
    <row r="24" spans="1:8" ht="15.75" thickTop="1" x14ac:dyDescent="0.2">
      <c r="A24" s="166"/>
      <c r="B24" s="167"/>
      <c r="C24" s="225"/>
      <c r="D24" s="225"/>
      <c r="E24" s="225"/>
      <c r="F24" s="165"/>
      <c r="G24" s="240"/>
      <c r="H24" s="241"/>
    </row>
    <row r="25" spans="1:8" ht="15.75" x14ac:dyDescent="0.25">
      <c r="A25" s="176" t="s">
        <v>58</v>
      </c>
      <c r="B25" s="164">
        <f>DATE(26,7,1)</f>
        <v>9679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76"/>
      <c r="B26" s="164">
        <f>DATE(26,8,1)</f>
        <v>9710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thickBot="1" x14ac:dyDescent="0.25">
      <c r="A27" s="166"/>
      <c r="B27" s="167"/>
      <c r="C27" s="225"/>
      <c r="D27" s="225"/>
      <c r="E27" s="225"/>
      <c r="F27" s="165"/>
      <c r="G27" s="240"/>
      <c r="H27" s="241"/>
    </row>
    <row r="28" spans="1:8" ht="17.25" thickTop="1" thickBot="1" x14ac:dyDescent="0.3">
      <c r="A28" s="173" t="s">
        <v>14</v>
      </c>
      <c r="B28" s="177"/>
      <c r="C28" s="227">
        <f>SUM(C25:C27)</f>
        <v>0</v>
      </c>
      <c r="D28" s="227">
        <f>SUM(D25:D27)</f>
        <v>0</v>
      </c>
      <c r="E28" s="227">
        <f>SUM(E25:E27)</f>
        <v>0</v>
      </c>
      <c r="F28" s="175">
        <v>0</v>
      </c>
      <c r="G28" s="244">
        <v>0</v>
      </c>
      <c r="H28" s="245">
        <v>0</v>
      </c>
    </row>
    <row r="29" spans="1:8" ht="15.75" thickTop="1" x14ac:dyDescent="0.2">
      <c r="A29" s="166"/>
      <c r="B29" s="167"/>
      <c r="C29" s="225"/>
      <c r="D29" s="225"/>
      <c r="E29" s="225"/>
      <c r="F29" s="165"/>
      <c r="G29" s="240"/>
      <c r="H29" s="241"/>
    </row>
    <row r="30" spans="1:8" ht="15.75" x14ac:dyDescent="0.25">
      <c r="A30" s="163" t="s">
        <v>60</v>
      </c>
      <c r="B30" s="164">
        <f>DATE(26,7,1)</f>
        <v>9679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41">
        <v>0</v>
      </c>
    </row>
    <row r="31" spans="1:8" ht="15.75" x14ac:dyDescent="0.25">
      <c r="A31" s="163"/>
      <c r="B31" s="164">
        <f>DATE(26,8,1)</f>
        <v>9710</v>
      </c>
      <c r="C31" s="225">
        <v>0</v>
      </c>
      <c r="D31" s="225">
        <v>0</v>
      </c>
      <c r="E31" s="225">
        <v>0</v>
      </c>
      <c r="F31" s="165">
        <v>0</v>
      </c>
      <c r="G31" s="240">
        <v>0</v>
      </c>
      <c r="H31" s="288">
        <v>0</v>
      </c>
    </row>
    <row r="32" spans="1:8" ht="15.75" thickBot="1" x14ac:dyDescent="0.25">
      <c r="A32" s="166"/>
      <c r="B32" s="164"/>
      <c r="C32" s="225"/>
      <c r="D32" s="225"/>
      <c r="E32" s="225"/>
      <c r="F32" s="165"/>
      <c r="G32" s="240"/>
      <c r="H32" s="241"/>
    </row>
    <row r="33" spans="1:8" ht="17.25" thickTop="1" thickBot="1" x14ac:dyDescent="0.3">
      <c r="A33" s="173" t="s">
        <v>14</v>
      </c>
      <c r="B33" s="174"/>
      <c r="C33" s="227">
        <f>SUM(C30:C32)</f>
        <v>0</v>
      </c>
      <c r="D33" s="229">
        <f>SUM(D30:D32)</f>
        <v>0</v>
      </c>
      <c r="E33" s="270">
        <f>SUM(E30:E32)</f>
        <v>0</v>
      </c>
      <c r="F33" s="175">
        <v>0</v>
      </c>
      <c r="G33" s="244">
        <v>0</v>
      </c>
      <c r="H33" s="245">
        <v>0</v>
      </c>
    </row>
    <row r="34" spans="1:8" ht="15.75" thickTop="1" x14ac:dyDescent="0.2">
      <c r="A34" s="166"/>
      <c r="B34" s="167"/>
      <c r="C34" s="225"/>
      <c r="D34" s="225"/>
      <c r="E34" s="225"/>
      <c r="F34" s="165"/>
      <c r="G34" s="240"/>
      <c r="H34" s="241"/>
    </row>
    <row r="35" spans="1:8" ht="15.75" x14ac:dyDescent="0.25">
      <c r="A35" s="163" t="s">
        <v>64</v>
      </c>
      <c r="B35" s="164">
        <f>DATE(26,7,1)</f>
        <v>9679</v>
      </c>
      <c r="C35" s="225">
        <v>0</v>
      </c>
      <c r="D35" s="225">
        <v>0</v>
      </c>
      <c r="E35" s="225">
        <v>0</v>
      </c>
      <c r="F35" s="165">
        <v>0</v>
      </c>
      <c r="G35" s="240">
        <v>0</v>
      </c>
      <c r="H35" s="241">
        <v>0</v>
      </c>
    </row>
    <row r="36" spans="1:8" ht="15.75" x14ac:dyDescent="0.25">
      <c r="A36" s="163"/>
      <c r="B36" s="164">
        <f>DATE(26,8,1)</f>
        <v>9710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88">
        <v>0</v>
      </c>
    </row>
    <row r="37" spans="1:8" ht="15.75" thickBot="1" x14ac:dyDescent="0.25">
      <c r="A37" s="166"/>
      <c r="B37" s="164"/>
      <c r="C37" s="225"/>
      <c r="D37" s="225"/>
      <c r="E37" s="225"/>
      <c r="F37" s="165"/>
      <c r="G37" s="240"/>
      <c r="H37" s="241"/>
    </row>
    <row r="38" spans="1:8" ht="17.25" thickTop="1" thickBot="1" x14ac:dyDescent="0.3">
      <c r="A38" s="173" t="s">
        <v>14</v>
      </c>
      <c r="B38" s="174"/>
      <c r="C38" s="227">
        <f>SUM(C35:C37)</f>
        <v>0</v>
      </c>
      <c r="D38" s="229">
        <f>SUM(D35:D37)</f>
        <v>0</v>
      </c>
      <c r="E38" s="270">
        <f>SUM(E35:E37)</f>
        <v>0</v>
      </c>
      <c r="F38" s="175">
        <v>0</v>
      </c>
      <c r="G38" s="244">
        <v>0</v>
      </c>
      <c r="H38" s="245">
        <v>0</v>
      </c>
    </row>
    <row r="39" spans="1:8" ht="15.75" thickTop="1" x14ac:dyDescent="0.2">
      <c r="A39" s="166"/>
      <c r="B39" s="167"/>
      <c r="C39" s="225"/>
      <c r="D39" s="225"/>
      <c r="E39" s="225"/>
      <c r="F39" s="165"/>
      <c r="G39" s="240"/>
      <c r="H39" s="241"/>
    </row>
    <row r="40" spans="1:8" ht="15.75" x14ac:dyDescent="0.25">
      <c r="A40" s="163" t="s">
        <v>67</v>
      </c>
      <c r="B40" s="164">
        <f>DATE(26,7,1)</f>
        <v>9679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41">
        <v>0</v>
      </c>
    </row>
    <row r="41" spans="1:8" ht="15.75" x14ac:dyDescent="0.25">
      <c r="A41" s="163"/>
      <c r="B41" s="164">
        <f>DATE(26,8,1)</f>
        <v>9710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thickBot="1" x14ac:dyDescent="0.25">
      <c r="A42" s="166"/>
      <c r="B42" s="164"/>
      <c r="C42" s="225"/>
      <c r="D42" s="225"/>
      <c r="E42" s="225"/>
      <c r="F42" s="165"/>
      <c r="G42" s="240"/>
      <c r="H42" s="241"/>
    </row>
    <row r="43" spans="1:8" ht="17.25" thickTop="1" thickBot="1" x14ac:dyDescent="0.3">
      <c r="A43" s="173" t="s">
        <v>14</v>
      </c>
      <c r="B43" s="174"/>
      <c r="C43" s="227">
        <f>SUM(C40:C42)</f>
        <v>0</v>
      </c>
      <c r="D43" s="229">
        <f>SUM(D40:D42)</f>
        <v>0</v>
      </c>
      <c r="E43" s="270">
        <f>SUM(E40:E42)</f>
        <v>0</v>
      </c>
      <c r="F43" s="175">
        <v>0</v>
      </c>
      <c r="G43" s="244">
        <v>0</v>
      </c>
      <c r="H43" s="245">
        <v>0</v>
      </c>
    </row>
    <row r="44" spans="1:8" ht="15.75" thickTop="1" x14ac:dyDescent="0.2">
      <c r="A44" s="166"/>
      <c r="B44" s="167"/>
      <c r="C44" s="225"/>
      <c r="D44" s="225"/>
      <c r="E44" s="225"/>
      <c r="F44" s="165"/>
      <c r="G44" s="240"/>
      <c r="H44" s="241"/>
    </row>
    <row r="45" spans="1:8" ht="15.75" x14ac:dyDescent="0.25">
      <c r="A45" s="163" t="s">
        <v>69</v>
      </c>
      <c r="B45" s="164">
        <f>DATE(26,7,1)</f>
        <v>9679</v>
      </c>
      <c r="C45" s="225">
        <v>0</v>
      </c>
      <c r="D45" s="225">
        <v>0</v>
      </c>
      <c r="E45" s="225">
        <v>0</v>
      </c>
      <c r="F45" s="165">
        <v>0</v>
      </c>
      <c r="G45" s="240">
        <v>0</v>
      </c>
      <c r="H45" s="241">
        <v>0</v>
      </c>
    </row>
    <row r="46" spans="1:8" ht="15.75" x14ac:dyDescent="0.25">
      <c r="A46" s="163"/>
      <c r="B46" s="164">
        <f>DATE(26,8,1)</f>
        <v>9710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thickBot="1" x14ac:dyDescent="0.25">
      <c r="A47" s="166"/>
      <c r="B47" s="164"/>
      <c r="C47" s="225"/>
      <c r="D47" s="225"/>
      <c r="E47" s="225"/>
      <c r="F47" s="165"/>
      <c r="G47" s="240"/>
      <c r="H47" s="241"/>
    </row>
    <row r="48" spans="1:8" ht="17.25" thickTop="1" thickBot="1" x14ac:dyDescent="0.3">
      <c r="A48" s="173" t="s">
        <v>14</v>
      </c>
      <c r="B48" s="174"/>
      <c r="C48" s="227">
        <f>SUM(C45:C47)</f>
        <v>0</v>
      </c>
      <c r="D48" s="229">
        <f>SUM(D45:D47)</f>
        <v>0</v>
      </c>
      <c r="E48" s="270">
        <f>SUM(E45:E47)</f>
        <v>0</v>
      </c>
      <c r="F48" s="175">
        <v>0</v>
      </c>
      <c r="G48" s="248">
        <v>0</v>
      </c>
      <c r="H48" s="269">
        <v>0</v>
      </c>
    </row>
    <row r="49" spans="1:8" ht="15.75" thickTop="1" x14ac:dyDescent="0.2">
      <c r="A49" s="166"/>
      <c r="B49" s="178"/>
      <c r="C49" s="228"/>
      <c r="D49" s="228"/>
      <c r="E49" s="228"/>
      <c r="F49" s="179"/>
      <c r="G49" s="246"/>
      <c r="H49" s="247"/>
    </row>
    <row r="50" spans="1:8" ht="15.75" x14ac:dyDescent="0.25">
      <c r="A50" s="163" t="s">
        <v>16</v>
      </c>
      <c r="B50" s="164">
        <f>DATE(26,7,1)</f>
        <v>9679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41">
        <v>0</v>
      </c>
    </row>
    <row r="51" spans="1:8" ht="15.75" x14ac:dyDescent="0.25">
      <c r="A51" s="163"/>
      <c r="B51" s="164">
        <f>DATE(26,8,1)</f>
        <v>9710</v>
      </c>
      <c r="C51" s="225">
        <v>0</v>
      </c>
      <c r="D51" s="225">
        <v>0</v>
      </c>
      <c r="E51" s="225">
        <v>0</v>
      </c>
      <c r="F51" s="165">
        <v>0</v>
      </c>
      <c r="G51" s="240">
        <v>0</v>
      </c>
      <c r="H51" s="288">
        <v>0</v>
      </c>
    </row>
    <row r="52" spans="1:8" ht="16.5" thickBot="1" x14ac:dyDescent="0.3">
      <c r="A52" s="163"/>
      <c r="B52" s="164"/>
      <c r="C52" s="225"/>
      <c r="D52" s="225"/>
      <c r="E52" s="225"/>
      <c r="F52" s="165"/>
      <c r="G52" s="240"/>
      <c r="H52" s="241"/>
    </row>
    <row r="53" spans="1:8" ht="17.25" thickTop="1" thickBot="1" x14ac:dyDescent="0.3">
      <c r="A53" s="173" t="s">
        <v>14</v>
      </c>
      <c r="B53" s="180"/>
      <c r="C53" s="227">
        <f>SUM(C50:C52)</f>
        <v>0</v>
      </c>
      <c r="D53" s="227">
        <f>SUM(D50:D52)</f>
        <v>0</v>
      </c>
      <c r="E53" s="227">
        <f>SUM(E50:E52)</f>
        <v>0</v>
      </c>
      <c r="F53" s="175">
        <v>0</v>
      </c>
      <c r="G53" s="244">
        <v>0</v>
      </c>
      <c r="H53" s="245">
        <v>0</v>
      </c>
    </row>
    <row r="54" spans="1:8" ht="15.75" thickTop="1" x14ac:dyDescent="0.2">
      <c r="A54" s="170"/>
      <c r="B54" s="171"/>
      <c r="C54" s="226"/>
      <c r="D54" s="226"/>
      <c r="E54" s="226"/>
      <c r="F54" s="172"/>
      <c r="G54" s="242"/>
      <c r="H54" s="243"/>
    </row>
    <row r="55" spans="1:8" ht="15.75" x14ac:dyDescent="0.25">
      <c r="A55" s="163" t="s">
        <v>53</v>
      </c>
      <c r="B55" s="164">
        <f>DATE(26,7,1)</f>
        <v>9679</v>
      </c>
      <c r="C55" s="225">
        <v>0</v>
      </c>
      <c r="D55" s="225">
        <v>0</v>
      </c>
      <c r="E55" s="225">
        <v>0</v>
      </c>
      <c r="F55" s="165">
        <v>0</v>
      </c>
      <c r="G55" s="240">
        <v>0</v>
      </c>
      <c r="H55" s="288">
        <v>0</v>
      </c>
    </row>
    <row r="56" spans="1:8" ht="15.75" x14ac:dyDescent="0.25">
      <c r="A56" s="163"/>
      <c r="B56" s="164">
        <f>DATE(26,8,1)</f>
        <v>9710</v>
      </c>
      <c r="C56" s="225">
        <v>0</v>
      </c>
      <c r="D56" s="225">
        <v>0</v>
      </c>
      <c r="E56" s="225">
        <v>0</v>
      </c>
      <c r="F56" s="165">
        <v>0</v>
      </c>
      <c r="G56" s="240">
        <v>0</v>
      </c>
      <c r="H56" s="288">
        <v>0</v>
      </c>
    </row>
    <row r="57" spans="1:8" ht="15.75" thickBot="1" x14ac:dyDescent="0.25">
      <c r="A57" s="166"/>
      <c r="B57" s="167"/>
      <c r="C57" s="225"/>
      <c r="D57" s="225"/>
      <c r="E57" s="225"/>
      <c r="F57" s="165"/>
      <c r="G57" s="240"/>
      <c r="H57" s="241"/>
    </row>
    <row r="58" spans="1:8" ht="17.25" thickTop="1" thickBot="1" x14ac:dyDescent="0.3">
      <c r="A58" s="173" t="s">
        <v>14</v>
      </c>
      <c r="B58" s="174"/>
      <c r="C58" s="227">
        <f>SUM(C55:C57)</f>
        <v>0</v>
      </c>
      <c r="D58" s="227">
        <f>SUM(D55:D57)</f>
        <v>0</v>
      </c>
      <c r="E58" s="227">
        <f>SUM(E55:E57)</f>
        <v>0</v>
      </c>
      <c r="F58" s="175">
        <v>0</v>
      </c>
      <c r="G58" s="290">
        <v>0</v>
      </c>
      <c r="H58" s="291">
        <v>0</v>
      </c>
    </row>
    <row r="59" spans="1:8" ht="15.75" thickTop="1" x14ac:dyDescent="0.2">
      <c r="A59" s="166"/>
      <c r="B59" s="167"/>
      <c r="C59" s="225"/>
      <c r="D59" s="225"/>
      <c r="E59" s="225"/>
      <c r="F59" s="165"/>
      <c r="G59" s="240"/>
      <c r="H59" s="241"/>
    </row>
    <row r="60" spans="1:8" ht="15.75" x14ac:dyDescent="0.25">
      <c r="A60" s="163" t="s">
        <v>54</v>
      </c>
      <c r="B60" s="164">
        <f>DATE(26,7,1)</f>
        <v>9679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41">
        <v>0</v>
      </c>
    </row>
    <row r="61" spans="1:8" ht="15.75" x14ac:dyDescent="0.25">
      <c r="A61" s="163"/>
      <c r="B61" s="164">
        <f>DATE(26,8,1)</f>
        <v>9710</v>
      </c>
      <c r="C61" s="225">
        <v>0</v>
      </c>
      <c r="D61" s="225">
        <v>0</v>
      </c>
      <c r="E61" s="225">
        <v>0</v>
      </c>
      <c r="F61" s="165">
        <v>0</v>
      </c>
      <c r="G61" s="240">
        <v>0</v>
      </c>
      <c r="H61" s="288">
        <v>0</v>
      </c>
    </row>
    <row r="62" spans="1:8" ht="15.75" thickBot="1" x14ac:dyDescent="0.25">
      <c r="A62" s="166"/>
      <c r="B62" s="167"/>
      <c r="C62" s="225"/>
      <c r="D62" s="225"/>
      <c r="E62" s="225"/>
      <c r="F62" s="165"/>
      <c r="G62" s="240"/>
      <c r="H62" s="241"/>
    </row>
    <row r="63" spans="1:8" ht="17.25" thickTop="1" thickBot="1" x14ac:dyDescent="0.3">
      <c r="A63" s="181" t="s">
        <v>14</v>
      </c>
      <c r="B63" s="182"/>
      <c r="C63" s="229">
        <f>SUM(C60:C62)</f>
        <v>0</v>
      </c>
      <c r="D63" s="229">
        <f>SUM(D60:D62)</f>
        <v>0</v>
      </c>
      <c r="E63" s="229">
        <f>SUM(E60:E62)</f>
        <v>0</v>
      </c>
      <c r="F63" s="175">
        <v>0</v>
      </c>
      <c r="G63" s="244">
        <v>0</v>
      </c>
      <c r="H63" s="245">
        <v>0</v>
      </c>
    </row>
    <row r="64" spans="1:8" ht="15.75" thickTop="1" x14ac:dyDescent="0.2">
      <c r="A64" s="166"/>
      <c r="B64" s="167"/>
      <c r="C64" s="225"/>
      <c r="D64" s="225"/>
      <c r="E64" s="225"/>
      <c r="F64" s="165"/>
      <c r="G64" s="240"/>
      <c r="H64" s="241"/>
    </row>
    <row r="65" spans="1:8" ht="15.75" x14ac:dyDescent="0.25">
      <c r="A65" s="163" t="s">
        <v>37</v>
      </c>
      <c r="B65" s="164">
        <f>DATE(26,7,1)</f>
        <v>9679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88">
        <v>0</v>
      </c>
    </row>
    <row r="66" spans="1:8" ht="15.75" x14ac:dyDescent="0.25">
      <c r="A66" s="163"/>
      <c r="B66" s="164">
        <f>DATE(26,8,1)</f>
        <v>9710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thickBot="1" x14ac:dyDescent="0.25">
      <c r="A67" s="166"/>
      <c r="B67" s="167"/>
      <c r="C67" s="225"/>
      <c r="D67" s="225"/>
      <c r="E67" s="225"/>
      <c r="F67" s="165"/>
      <c r="G67" s="240"/>
      <c r="H67" s="241"/>
    </row>
    <row r="68" spans="1:8" ht="17.25" thickTop="1" thickBot="1" x14ac:dyDescent="0.3">
      <c r="A68" s="173" t="s">
        <v>14</v>
      </c>
      <c r="B68" s="174"/>
      <c r="C68" s="227">
        <f>SUM(C65:C67)</f>
        <v>0</v>
      </c>
      <c r="D68" s="227">
        <f>SUM(D65:D67)</f>
        <v>0</v>
      </c>
      <c r="E68" s="227">
        <f>SUM(E65:E67)</f>
        <v>0</v>
      </c>
      <c r="F68" s="175">
        <v>0</v>
      </c>
      <c r="G68" s="244">
        <v>0</v>
      </c>
      <c r="H68" s="245">
        <v>0</v>
      </c>
    </row>
    <row r="69" spans="1:8" ht="15.75" thickTop="1" x14ac:dyDescent="0.2">
      <c r="A69" s="166"/>
      <c r="B69" s="167"/>
      <c r="C69" s="225"/>
      <c r="D69" s="225"/>
      <c r="E69" s="225"/>
      <c r="F69" s="165"/>
      <c r="G69" s="240"/>
      <c r="H69" s="288"/>
    </row>
    <row r="70" spans="1:8" ht="15.75" x14ac:dyDescent="0.25">
      <c r="A70" s="163" t="s">
        <v>57</v>
      </c>
      <c r="B70" s="164">
        <f>DATE(26,7,1)</f>
        <v>9679</v>
      </c>
      <c r="C70" s="225">
        <v>4120.5</v>
      </c>
      <c r="D70" s="225">
        <v>553.4</v>
      </c>
      <c r="E70" s="225">
        <v>40772.980000000003</v>
      </c>
      <c r="F70" s="165">
        <f>+(D70-E70)/E70</f>
        <v>-0.98642728591336715</v>
      </c>
      <c r="G70" s="240">
        <f>+D70/C70</f>
        <v>0.13430408930954982</v>
      </c>
      <c r="H70" s="288">
        <f>1-G70</f>
        <v>0.86569591069045015</v>
      </c>
    </row>
    <row r="71" spans="1:8" ht="15.75" x14ac:dyDescent="0.25">
      <c r="A71" s="163"/>
      <c r="B71" s="164">
        <f>DATE(26,8,1)</f>
        <v>9710</v>
      </c>
      <c r="C71" s="225">
        <v>0</v>
      </c>
      <c r="D71" s="225">
        <v>0</v>
      </c>
      <c r="E71" s="225">
        <v>30682.93</v>
      </c>
      <c r="F71" s="165">
        <f>+(D71-E71)/E71</f>
        <v>-1</v>
      </c>
      <c r="G71" s="240">
        <v>0</v>
      </c>
      <c r="H71" s="288">
        <v>0</v>
      </c>
    </row>
    <row r="72" spans="1:8" ht="15.75" thickBot="1" x14ac:dyDescent="0.25">
      <c r="A72" s="166"/>
      <c r="B72" s="167"/>
      <c r="C72" s="225"/>
      <c r="D72" s="225"/>
      <c r="E72" s="225"/>
      <c r="F72" s="165"/>
      <c r="G72" s="240"/>
      <c r="H72" s="241"/>
    </row>
    <row r="73" spans="1:8" ht="17.25" thickTop="1" thickBot="1" x14ac:dyDescent="0.3">
      <c r="A73" s="168" t="s">
        <v>14</v>
      </c>
      <c r="B73" s="154"/>
      <c r="C73" s="222">
        <f>SUM(C70:C72)</f>
        <v>4120.5</v>
      </c>
      <c r="D73" s="222">
        <f>SUM(D70:D72)</f>
        <v>553.4</v>
      </c>
      <c r="E73" s="222">
        <f>SUM(E70:E72)</f>
        <v>71455.91</v>
      </c>
      <c r="F73" s="175">
        <f>+(D73-E73)/E73</f>
        <v>-0.99225536418191307</v>
      </c>
      <c r="G73" s="244">
        <f>+D73/C73</f>
        <v>0.13430408930954982</v>
      </c>
      <c r="H73" s="245">
        <f>1-G73</f>
        <v>0.86569591069045015</v>
      </c>
    </row>
    <row r="74" spans="1:8" ht="16.5" thickTop="1" thickBot="1" x14ac:dyDescent="0.25">
      <c r="A74" s="170"/>
      <c r="B74" s="171"/>
      <c r="C74" s="226"/>
      <c r="D74" s="226"/>
      <c r="E74" s="226"/>
      <c r="F74" s="172"/>
      <c r="G74" s="242"/>
      <c r="H74" s="243"/>
    </row>
    <row r="75" spans="1:8" ht="17.25" thickTop="1" thickBot="1" x14ac:dyDescent="0.3">
      <c r="A75" s="183" t="s">
        <v>38</v>
      </c>
      <c r="B75" s="154"/>
      <c r="C75" s="222">
        <f>C73+C68+C53+C43+C33+C23+C13+C28+C63+C18+C48+C58+C38</f>
        <v>4120.5</v>
      </c>
      <c r="D75" s="222">
        <f>D73+D68+D53+D43+D33+D23+D13+D28+D63+D18+D48+D58+D38</f>
        <v>553.4</v>
      </c>
      <c r="E75" s="222">
        <f>E73+E68+E53+E43+E33+E23+E13+E28+E63+E18+E48+E58+E38</f>
        <v>71455.91</v>
      </c>
      <c r="F75" s="175">
        <f>+(D75-E75)/E75</f>
        <v>-0.99225536418191307</v>
      </c>
      <c r="G75" s="235">
        <f>D75/C75</f>
        <v>0.13430408930954982</v>
      </c>
      <c r="H75" s="236">
        <f>1-G75</f>
        <v>0.86569591069045015</v>
      </c>
    </row>
    <row r="76" spans="1:8" ht="17.25" thickTop="1" thickBot="1" x14ac:dyDescent="0.3">
      <c r="A76" s="183"/>
      <c r="B76" s="154"/>
      <c r="C76" s="222"/>
      <c r="D76" s="222"/>
      <c r="E76" s="222"/>
      <c r="F76" s="169"/>
      <c r="G76" s="235"/>
      <c r="H76" s="236"/>
    </row>
    <row r="77" spans="1:8" ht="17.25" thickTop="1" thickBot="1" x14ac:dyDescent="0.3">
      <c r="A77" s="183" t="s">
        <v>39</v>
      </c>
      <c r="B77" s="154"/>
      <c r="C77" s="222">
        <f>+C11+C16+C21+C26+C31+C36+C41+C46+C51+C56+C61+C66+C71</f>
        <v>0</v>
      </c>
      <c r="D77" s="222">
        <f>+D11+D16+D21+D26+D31+D36+D41+D46+D51+D56+D61+D66+D71</f>
        <v>0</v>
      </c>
      <c r="E77" s="222">
        <f>+E11+E16+E21+E26+E31+E36+E41+E46+E51+E56+E61+E66+E71</f>
        <v>30682.93</v>
      </c>
      <c r="F77" s="175">
        <f>+(D77-E77)/E77</f>
        <v>-1</v>
      </c>
      <c r="G77" s="235">
        <v>0</v>
      </c>
      <c r="H77" s="245">
        <v>0</v>
      </c>
    </row>
    <row r="78" spans="1:8" ht="16.5" thickTop="1" x14ac:dyDescent="0.25">
      <c r="A78" s="184"/>
      <c r="B78" s="185"/>
      <c r="C78" s="230"/>
      <c r="D78" s="230"/>
      <c r="E78" s="230"/>
      <c r="F78" s="186"/>
      <c r="G78" s="249"/>
      <c r="H78" s="249"/>
    </row>
    <row r="79" spans="1:8" ht="18.75" x14ac:dyDescent="0.3">
      <c r="A79" s="187" t="s">
        <v>49</v>
      </c>
      <c r="B79" s="188"/>
      <c r="C79" s="231"/>
      <c r="D79" s="231"/>
      <c r="E79" s="231"/>
      <c r="F79" s="189"/>
      <c r="G79" s="250"/>
      <c r="H79" s="250"/>
    </row>
    <row r="80" spans="1:8" ht="15.75" x14ac:dyDescent="0.25">
      <c r="A80" s="190"/>
      <c r="B80" s="188"/>
      <c r="C80" s="231"/>
      <c r="D80" s="231"/>
      <c r="E80" s="231"/>
      <c r="F80" s="189"/>
      <c r="G80" s="256"/>
      <c r="H80" s="256"/>
    </row>
  </sheetData>
  <printOptions horizontalCentered="1"/>
  <pageMargins left="0.7" right="0.45" top="0.25" bottom="0.25" header="0.3" footer="0.3"/>
  <pageSetup scale="65" orientation="landscape" r:id="rId1"/>
  <rowBreaks count="1" manualBreakCount="1"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81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DATE(26,7,1)</f>
        <v>9679</v>
      </c>
      <c r="C10" s="225">
        <v>126747538.66</v>
      </c>
      <c r="D10" s="225">
        <v>12327695.300000001</v>
      </c>
      <c r="E10" s="225">
        <v>11189124.52</v>
      </c>
      <c r="F10" s="165">
        <f>(+D10-E10)/E10</f>
        <v>0.10175691386442817</v>
      </c>
      <c r="G10" s="240">
        <f>D10/C10</f>
        <v>9.7261812184527049E-2</v>
      </c>
      <c r="H10" s="241">
        <f>1-G10</f>
        <v>0.90273818781547299</v>
      </c>
      <c r="I10" s="156"/>
    </row>
    <row r="11" spans="1:9" ht="15.75" x14ac:dyDescent="0.25">
      <c r="A11" s="163"/>
      <c r="B11" s="164">
        <f>DATE(26,8,1)</f>
        <v>9710</v>
      </c>
      <c r="C11" s="225">
        <v>129172350.08</v>
      </c>
      <c r="D11" s="225">
        <v>12362717.699999999</v>
      </c>
      <c r="E11" s="225">
        <v>12025915.57</v>
      </c>
      <c r="F11" s="165">
        <f>(+D11-E11)/E11</f>
        <v>2.8006360766425948E-2</v>
      </c>
      <c r="G11" s="240">
        <f>D11/C11</f>
        <v>9.5707151664759738E-2</v>
      </c>
      <c r="H11" s="241">
        <f>1-G11</f>
        <v>0.90429284833524026</v>
      </c>
      <c r="I11" s="156"/>
    </row>
    <row r="12" spans="1:9" ht="15.75" thickBot="1" x14ac:dyDescent="0.25">
      <c r="A12" s="166"/>
      <c r="B12" s="167"/>
      <c r="C12" s="225"/>
      <c r="D12" s="225"/>
      <c r="E12" s="225"/>
      <c r="F12" s="165"/>
      <c r="G12" s="240"/>
      <c r="H12" s="241"/>
      <c r="I12" s="156"/>
    </row>
    <row r="13" spans="1:9" ht="17.25" thickTop="1" thickBot="1" x14ac:dyDescent="0.3">
      <c r="A13" s="168" t="s">
        <v>14</v>
      </c>
      <c r="B13" s="154"/>
      <c r="C13" s="222">
        <f>SUM(C10:C12)</f>
        <v>255919888.74000001</v>
      </c>
      <c r="D13" s="222">
        <f>SUM(D10:D12)</f>
        <v>24690413</v>
      </c>
      <c r="E13" s="222">
        <f>SUM(E10:E12)</f>
        <v>23215040.09</v>
      </c>
      <c r="F13" s="169">
        <f>(+D13-E13)/E13</f>
        <v>6.3552460141368644E-2</v>
      </c>
      <c r="G13" s="235">
        <f>D13/C13</f>
        <v>9.647711681011259E-2</v>
      </c>
      <c r="H13" s="236">
        <f>1-G13</f>
        <v>0.90352288318988738</v>
      </c>
      <c r="I13" s="156"/>
    </row>
    <row r="14" spans="1:9" ht="15.75" thickTop="1" x14ac:dyDescent="0.2">
      <c r="A14" s="170"/>
      <c r="B14" s="171"/>
      <c r="C14" s="226"/>
      <c r="D14" s="226"/>
      <c r="E14" s="226"/>
      <c r="F14" s="172"/>
      <c r="G14" s="242"/>
      <c r="H14" s="243"/>
      <c r="I14" s="156"/>
    </row>
    <row r="15" spans="1:9" ht="15.75" x14ac:dyDescent="0.25">
      <c r="A15" s="19" t="s">
        <v>48</v>
      </c>
      <c r="B15" s="164">
        <f>DATE(26,7,1)</f>
        <v>9679</v>
      </c>
      <c r="C15" s="225">
        <v>81874310.099999994</v>
      </c>
      <c r="D15" s="225">
        <v>7666522.1299999999</v>
      </c>
      <c r="E15" s="225">
        <v>7699908.8200000003</v>
      </c>
      <c r="F15" s="165">
        <f>(+D15-E15)/E15</f>
        <v>-4.3359851110549132E-3</v>
      </c>
      <c r="G15" s="240">
        <f>D15/C15</f>
        <v>9.3637700527017947E-2</v>
      </c>
      <c r="H15" s="241">
        <f>1-G15</f>
        <v>0.90636229947298208</v>
      </c>
      <c r="I15" s="156"/>
    </row>
    <row r="16" spans="1:9" ht="15.75" x14ac:dyDescent="0.25">
      <c r="A16" s="19"/>
      <c r="B16" s="164">
        <f>DATE(26,8,1)</f>
        <v>9710</v>
      </c>
      <c r="C16" s="225">
        <v>79881530.549999997</v>
      </c>
      <c r="D16" s="225">
        <v>7851953.8600000003</v>
      </c>
      <c r="E16" s="225">
        <v>7656381.6799999997</v>
      </c>
      <c r="F16" s="165">
        <f>(+D16-E16)/E16</f>
        <v>2.5543682143077361E-2</v>
      </c>
      <c r="G16" s="240">
        <f>D16/C16</f>
        <v>9.8294985160371356E-2</v>
      </c>
      <c r="H16" s="241">
        <f>1-G16</f>
        <v>0.90170501483962862</v>
      </c>
      <c r="I16" s="156"/>
    </row>
    <row r="17" spans="1:9" ht="15.75" thickBot="1" x14ac:dyDescent="0.25">
      <c r="A17" s="166"/>
      <c r="B17" s="164"/>
      <c r="C17" s="225"/>
      <c r="D17" s="225"/>
      <c r="E17" s="225"/>
      <c r="F17" s="165"/>
      <c r="G17" s="240"/>
      <c r="H17" s="241"/>
      <c r="I17" s="156"/>
    </row>
    <row r="18" spans="1:9" ht="17.25" thickTop="1" thickBot="1" x14ac:dyDescent="0.3">
      <c r="A18" s="168" t="s">
        <v>14</v>
      </c>
      <c r="B18" s="154"/>
      <c r="C18" s="222">
        <f>SUM(C15:C17)</f>
        <v>161755840.64999998</v>
      </c>
      <c r="D18" s="222">
        <f>SUM(D15:D17)</f>
        <v>15518475.99</v>
      </c>
      <c r="E18" s="222">
        <f>SUM(E15:E17)</f>
        <v>15356290.5</v>
      </c>
      <c r="F18" s="169">
        <f>(+D18-E18)/E18</f>
        <v>1.0561501815819401E-2</v>
      </c>
      <c r="G18" s="235">
        <f>D18/C18</f>
        <v>9.5937654724803298E-2</v>
      </c>
      <c r="H18" s="236">
        <f>1-G18</f>
        <v>0.90406234527519669</v>
      </c>
      <c r="I18" s="156"/>
    </row>
    <row r="19" spans="1:9" ht="15.75" thickTop="1" x14ac:dyDescent="0.2">
      <c r="A19" s="170"/>
      <c r="B19" s="171"/>
      <c r="C19" s="226"/>
      <c r="D19" s="226"/>
      <c r="E19" s="226"/>
      <c r="F19" s="172"/>
      <c r="G19" s="242"/>
      <c r="H19" s="243"/>
      <c r="I19" s="156"/>
    </row>
    <row r="20" spans="1:9" ht="15.75" x14ac:dyDescent="0.25">
      <c r="A20" s="19" t="s">
        <v>62</v>
      </c>
      <c r="B20" s="164">
        <f>DATE(26,7,1)</f>
        <v>9679</v>
      </c>
      <c r="C20" s="225">
        <v>48510227.170000002</v>
      </c>
      <c r="D20" s="225">
        <v>5053483.66</v>
      </c>
      <c r="E20" s="225">
        <v>4754649.79</v>
      </c>
      <c r="F20" s="165">
        <f>(+D20-E20)/E20</f>
        <v>6.2850868770294874E-2</v>
      </c>
      <c r="G20" s="240">
        <f>D20/C20</f>
        <v>0.10417357235393875</v>
      </c>
      <c r="H20" s="241">
        <f>1-G20</f>
        <v>0.89582642764606124</v>
      </c>
      <c r="I20" s="156"/>
    </row>
    <row r="21" spans="1:9" ht="15.75" x14ac:dyDescent="0.25">
      <c r="A21" s="19"/>
      <c r="B21" s="164">
        <f>DATE(26,8,1)</f>
        <v>9710</v>
      </c>
      <c r="C21" s="225">
        <v>46989591.520000003</v>
      </c>
      <c r="D21" s="225">
        <v>4867932.34</v>
      </c>
      <c r="E21" s="225">
        <v>5030748.01</v>
      </c>
      <c r="F21" s="165">
        <f>(+D21-E21)/E21</f>
        <v>-3.2364107619057614E-2</v>
      </c>
      <c r="G21" s="240">
        <f>D21/C21</f>
        <v>0.10359597056569603</v>
      </c>
      <c r="H21" s="241">
        <f>1-G21</f>
        <v>0.89640402943430397</v>
      </c>
      <c r="I21" s="156"/>
    </row>
    <row r="22" spans="1:9" ht="15.75" thickBot="1" x14ac:dyDescent="0.25">
      <c r="A22" s="166"/>
      <c r="B22" s="164"/>
      <c r="C22" s="225"/>
      <c r="D22" s="225"/>
      <c r="E22" s="225"/>
      <c r="F22" s="165"/>
      <c r="G22" s="240"/>
      <c r="H22" s="241"/>
      <c r="I22" s="156"/>
    </row>
    <row r="23" spans="1:9" ht="17.25" thickTop="1" thickBot="1" x14ac:dyDescent="0.3">
      <c r="A23" s="173" t="s">
        <v>14</v>
      </c>
      <c r="B23" s="174"/>
      <c r="C23" s="227">
        <f>SUM(C20:C22)</f>
        <v>95499818.689999998</v>
      </c>
      <c r="D23" s="227">
        <f>SUM(D20:D22)</f>
        <v>9921416</v>
      </c>
      <c r="E23" s="227">
        <f>SUM(E20:E22)</f>
        <v>9785397.8000000007</v>
      </c>
      <c r="F23" s="175">
        <f>(+D23-E23)/E23</f>
        <v>1.3900119625182662E-2</v>
      </c>
      <c r="G23" s="244">
        <f>D23/C23</f>
        <v>0.10388937001237358</v>
      </c>
      <c r="H23" s="245">
        <f>1-G23</f>
        <v>0.89611062998762647</v>
      </c>
      <c r="I23" s="156"/>
    </row>
    <row r="24" spans="1:9" ht="15.75" thickTop="1" x14ac:dyDescent="0.2">
      <c r="A24" s="166"/>
      <c r="B24" s="167"/>
      <c r="C24" s="225"/>
      <c r="D24" s="225"/>
      <c r="E24" s="225"/>
      <c r="F24" s="165"/>
      <c r="G24" s="240"/>
      <c r="H24" s="241"/>
      <c r="I24" s="156"/>
    </row>
    <row r="25" spans="1:9" ht="15.75" x14ac:dyDescent="0.25">
      <c r="A25" s="176" t="s">
        <v>58</v>
      </c>
      <c r="B25" s="164">
        <f>DATE(26,7,1)</f>
        <v>9679</v>
      </c>
      <c r="C25" s="225">
        <v>208389139.09</v>
      </c>
      <c r="D25" s="225">
        <v>19954918.82</v>
      </c>
      <c r="E25" s="225">
        <v>19065951.129999999</v>
      </c>
      <c r="F25" s="165">
        <f>(+D25-E25)/E25</f>
        <v>4.6625929330177687E-2</v>
      </c>
      <c r="G25" s="240">
        <f>D25/C25</f>
        <v>9.5757959878042323E-2</v>
      </c>
      <c r="H25" s="241">
        <f>1-G25</f>
        <v>0.90424204012195764</v>
      </c>
      <c r="I25" s="156"/>
    </row>
    <row r="26" spans="1:9" ht="15.75" x14ac:dyDescent="0.25">
      <c r="A26" s="176"/>
      <c r="B26" s="164">
        <f>DATE(26,8,1)</f>
        <v>9710</v>
      </c>
      <c r="C26" s="225">
        <v>204941976.13</v>
      </c>
      <c r="D26" s="225">
        <v>19240198.559999999</v>
      </c>
      <c r="E26" s="225">
        <v>19625709.969999999</v>
      </c>
      <c r="F26" s="165">
        <f>(+D26-E26)/E26</f>
        <v>-1.96431828753862E-2</v>
      </c>
      <c r="G26" s="240">
        <f>D26/C26</f>
        <v>9.3881199563506906E-2</v>
      </c>
      <c r="H26" s="241">
        <f>1-G26</f>
        <v>0.90611880043649307</v>
      </c>
      <c r="I26" s="156"/>
    </row>
    <row r="27" spans="1:9" ht="15.75" thickBot="1" x14ac:dyDescent="0.25">
      <c r="A27" s="166"/>
      <c r="B27" s="167"/>
      <c r="C27" s="225"/>
      <c r="D27" s="225"/>
      <c r="E27" s="225"/>
      <c r="F27" s="165"/>
      <c r="G27" s="240"/>
      <c r="H27" s="241"/>
      <c r="I27" s="156"/>
    </row>
    <row r="28" spans="1:9" ht="17.25" thickTop="1" thickBot="1" x14ac:dyDescent="0.3">
      <c r="A28" s="173" t="s">
        <v>14</v>
      </c>
      <c r="B28" s="177"/>
      <c r="C28" s="227">
        <f>SUM(C25:C27)</f>
        <v>413331115.22000003</v>
      </c>
      <c r="D28" s="227">
        <f>SUM(D25:D27)</f>
        <v>39195117.379999995</v>
      </c>
      <c r="E28" s="227">
        <f>SUM(E25:E27)</f>
        <v>38691661.099999994</v>
      </c>
      <c r="F28" s="175">
        <f>(+D28-E28)/E28</f>
        <v>1.3012009970282751E-2</v>
      </c>
      <c r="G28" s="244">
        <f>D28/C28</f>
        <v>9.4827405769192977E-2</v>
      </c>
      <c r="H28" s="245">
        <f>1-G28</f>
        <v>0.90517259423080698</v>
      </c>
      <c r="I28" s="156"/>
    </row>
    <row r="29" spans="1:9" ht="15.75" thickTop="1" x14ac:dyDescent="0.2">
      <c r="A29" s="166"/>
      <c r="B29" s="167"/>
      <c r="C29" s="225"/>
      <c r="D29" s="225"/>
      <c r="E29" s="225"/>
      <c r="F29" s="165"/>
      <c r="G29" s="240"/>
      <c r="H29" s="241"/>
      <c r="I29" s="156"/>
    </row>
    <row r="30" spans="1:9" ht="15.75" x14ac:dyDescent="0.25">
      <c r="A30" s="163" t="s">
        <v>60</v>
      </c>
      <c r="B30" s="164">
        <f>DATE(26,7,1)</f>
        <v>9679</v>
      </c>
      <c r="C30" s="225">
        <v>126170259.16</v>
      </c>
      <c r="D30" s="225">
        <v>11876190.279999999</v>
      </c>
      <c r="E30" s="225">
        <v>11284269.119999999</v>
      </c>
      <c r="F30" s="165">
        <f>(+D30-E30)/E30</f>
        <v>5.2455427436668596E-2</v>
      </c>
      <c r="G30" s="240">
        <f>D30/C30</f>
        <v>9.4128286325697988E-2</v>
      </c>
      <c r="H30" s="241">
        <f>1-G30</f>
        <v>0.90587171367430197</v>
      </c>
      <c r="I30" s="156"/>
    </row>
    <row r="31" spans="1:9" ht="15.75" x14ac:dyDescent="0.25">
      <c r="A31" s="163"/>
      <c r="B31" s="164">
        <f>DATE(26,8,1)</f>
        <v>9710</v>
      </c>
      <c r="C31" s="225">
        <v>125039039.13</v>
      </c>
      <c r="D31" s="225">
        <v>12231402.720000001</v>
      </c>
      <c r="E31" s="225">
        <v>12207537.15</v>
      </c>
      <c r="F31" s="165">
        <f>(+D31-E31)/E31</f>
        <v>1.9549864732543777E-3</v>
      </c>
      <c r="G31" s="240">
        <f>D31/C31</f>
        <v>9.7820671088837408E-2</v>
      </c>
      <c r="H31" s="241">
        <f>1-G31</f>
        <v>0.90217932891116259</v>
      </c>
      <c r="I31" s="156"/>
    </row>
    <row r="32" spans="1:9" ht="15.75" thickBot="1" x14ac:dyDescent="0.25">
      <c r="A32" s="166"/>
      <c r="B32" s="164"/>
      <c r="C32" s="225"/>
      <c r="D32" s="225"/>
      <c r="E32" s="225"/>
      <c r="F32" s="165"/>
      <c r="G32" s="240"/>
      <c r="H32" s="241"/>
      <c r="I32" s="156"/>
    </row>
    <row r="33" spans="1:9" ht="17.25" thickTop="1" thickBot="1" x14ac:dyDescent="0.3">
      <c r="A33" s="173" t="s">
        <v>14</v>
      </c>
      <c r="B33" s="174"/>
      <c r="C33" s="227">
        <f>SUM(C30:C32)</f>
        <v>251209298.28999999</v>
      </c>
      <c r="D33" s="229">
        <f>SUM(D30:D32)</f>
        <v>24107593</v>
      </c>
      <c r="E33" s="270">
        <f>SUM(E30:E32)</f>
        <v>23491806.27</v>
      </c>
      <c r="F33" s="271">
        <f>(+D33-E33)/E33</f>
        <v>2.6212830249089249E-2</v>
      </c>
      <c r="G33" s="248">
        <f>D33/C33</f>
        <v>9.5966165122478117E-2</v>
      </c>
      <c r="H33" s="269">
        <f>1-G33</f>
        <v>0.90403383487752187</v>
      </c>
      <c r="I33" s="156"/>
    </row>
    <row r="34" spans="1:9" ht="15.75" thickTop="1" x14ac:dyDescent="0.2">
      <c r="A34" s="166"/>
      <c r="B34" s="167"/>
      <c r="C34" s="225"/>
      <c r="D34" s="225"/>
      <c r="E34" s="225"/>
      <c r="F34" s="165"/>
      <c r="G34" s="240"/>
      <c r="H34" s="241"/>
      <c r="I34" s="156"/>
    </row>
    <row r="35" spans="1:9" ht="15.75" x14ac:dyDescent="0.25">
      <c r="A35" s="163" t="s">
        <v>64</v>
      </c>
      <c r="B35" s="164">
        <f>DATE(26,7,1)</f>
        <v>9679</v>
      </c>
      <c r="C35" s="225">
        <v>51652558.200000003</v>
      </c>
      <c r="D35" s="225">
        <v>5543165.6399999997</v>
      </c>
      <c r="E35" s="225">
        <v>5133575.21</v>
      </c>
      <c r="F35" s="165">
        <f>(+D35-E35)/E35</f>
        <v>7.9786584055909784E-2</v>
      </c>
      <c r="G35" s="240">
        <f>D35/C35</f>
        <v>0.10731638147595174</v>
      </c>
      <c r="H35" s="241">
        <f>1-G35</f>
        <v>0.89268361852404832</v>
      </c>
      <c r="I35" s="156"/>
    </row>
    <row r="36" spans="1:9" ht="15.75" x14ac:dyDescent="0.25">
      <c r="A36" s="163"/>
      <c r="B36" s="164">
        <f>DATE(26,8,1)</f>
        <v>9710</v>
      </c>
      <c r="C36" s="225">
        <v>51909932.270000003</v>
      </c>
      <c r="D36" s="225">
        <v>5339159.93</v>
      </c>
      <c r="E36" s="225">
        <v>5461912.4800000004</v>
      </c>
      <c r="F36" s="165">
        <f>(+D36-E36)/E36</f>
        <v>-2.2474279924749131E-2</v>
      </c>
      <c r="G36" s="240">
        <f>D36/C36</f>
        <v>0.10285430353153492</v>
      </c>
      <c r="H36" s="241">
        <f>1-G36</f>
        <v>0.89714569646846509</v>
      </c>
      <c r="I36" s="156"/>
    </row>
    <row r="37" spans="1:9" ht="15.75" thickBot="1" x14ac:dyDescent="0.25">
      <c r="A37" s="166"/>
      <c r="B37" s="164"/>
      <c r="C37" s="225"/>
      <c r="D37" s="225"/>
      <c r="E37" s="225"/>
      <c r="F37" s="165"/>
      <c r="G37" s="240"/>
      <c r="H37" s="241"/>
      <c r="I37" s="156"/>
    </row>
    <row r="38" spans="1:9" ht="17.25" thickTop="1" thickBot="1" x14ac:dyDescent="0.3">
      <c r="A38" s="173" t="s">
        <v>14</v>
      </c>
      <c r="B38" s="174"/>
      <c r="C38" s="227">
        <f>SUM(C35:C37)</f>
        <v>103562490.47</v>
      </c>
      <c r="D38" s="229">
        <f>SUM(D35:D37)</f>
        <v>10882325.57</v>
      </c>
      <c r="E38" s="270">
        <f>SUM(E35:E37)</f>
        <v>10595487.690000001</v>
      </c>
      <c r="F38" s="271">
        <f>(+D38-E38)/E38</f>
        <v>2.7071701500886641E-2</v>
      </c>
      <c r="G38" s="248">
        <f>D38/C38</f>
        <v>0.10507979791343849</v>
      </c>
      <c r="H38" s="269">
        <f>1-G38</f>
        <v>0.89492020208656153</v>
      </c>
      <c r="I38" s="156"/>
    </row>
    <row r="39" spans="1:9" ht="15.75" thickTop="1" x14ac:dyDescent="0.2">
      <c r="A39" s="166"/>
      <c r="B39" s="167"/>
      <c r="C39" s="225"/>
      <c r="D39" s="225"/>
      <c r="E39" s="225"/>
      <c r="F39" s="165"/>
      <c r="G39" s="240"/>
      <c r="H39" s="241"/>
      <c r="I39" s="156"/>
    </row>
    <row r="40" spans="1:9" ht="15.75" x14ac:dyDescent="0.25">
      <c r="A40" s="289" t="s">
        <v>67</v>
      </c>
      <c r="B40" s="164">
        <f>DATE(26,7,1)</f>
        <v>9679</v>
      </c>
      <c r="C40" s="225">
        <v>94201777.560000002</v>
      </c>
      <c r="D40" s="225">
        <v>10182956.67</v>
      </c>
      <c r="E40" s="225">
        <v>10415438.859999999</v>
      </c>
      <c r="F40" s="165">
        <f>(+D40-E40)/E40</f>
        <v>-2.2320921194481428E-2</v>
      </c>
      <c r="G40" s="240">
        <f>D40/C40</f>
        <v>0.10809728790429843</v>
      </c>
      <c r="H40" s="241">
        <f>1-G40</f>
        <v>0.8919027120957016</v>
      </c>
      <c r="I40" s="156"/>
    </row>
    <row r="41" spans="1:9" ht="15.75" x14ac:dyDescent="0.25">
      <c r="A41" s="289"/>
      <c r="B41" s="164">
        <f>DATE(26,8,1)</f>
        <v>9710</v>
      </c>
      <c r="C41" s="225">
        <v>94036541.760000005</v>
      </c>
      <c r="D41" s="225">
        <v>9964087.9499999993</v>
      </c>
      <c r="E41" s="225">
        <v>10567774.789999999</v>
      </c>
      <c r="F41" s="165">
        <f>(+D41-E41)/E41</f>
        <v>-5.7125255978321229E-2</v>
      </c>
      <c r="G41" s="240">
        <f>D41/C41</f>
        <v>0.10595974462172734</v>
      </c>
      <c r="H41" s="241">
        <f>1-G41</f>
        <v>0.8940402553782727</v>
      </c>
      <c r="I41" s="156"/>
    </row>
    <row r="42" spans="1:9" ht="15.75" thickBot="1" x14ac:dyDescent="0.25">
      <c r="A42" s="166"/>
      <c r="B42" s="164"/>
      <c r="C42" s="225"/>
      <c r="D42" s="225"/>
      <c r="E42" s="225"/>
      <c r="F42" s="165"/>
      <c r="G42" s="240"/>
      <c r="H42" s="241"/>
      <c r="I42" s="156"/>
    </row>
    <row r="43" spans="1:9" ht="17.25" thickTop="1" thickBot="1" x14ac:dyDescent="0.3">
      <c r="A43" s="173" t="s">
        <v>14</v>
      </c>
      <c r="B43" s="174"/>
      <c r="C43" s="227">
        <f>SUM(C40:C42)</f>
        <v>188238319.31999999</v>
      </c>
      <c r="D43" s="229">
        <f>SUM(D40:D42)</f>
        <v>20147044.619999997</v>
      </c>
      <c r="E43" s="270">
        <f>SUM(E40:E42)</f>
        <v>20983213.649999999</v>
      </c>
      <c r="F43" s="271">
        <f>(+D43-E43)/E43</f>
        <v>-3.9849426496212662E-2</v>
      </c>
      <c r="G43" s="248">
        <f>D43/C43</f>
        <v>0.1070294544319139</v>
      </c>
      <c r="H43" s="269">
        <f>1-G43</f>
        <v>0.89297054556808608</v>
      </c>
      <c r="I43" s="156"/>
    </row>
    <row r="44" spans="1:9" ht="15.75" thickTop="1" x14ac:dyDescent="0.2">
      <c r="A44" s="166"/>
      <c r="B44" s="167"/>
      <c r="C44" s="225"/>
      <c r="D44" s="225"/>
      <c r="E44" s="225"/>
      <c r="F44" s="165"/>
      <c r="G44" s="240"/>
      <c r="H44" s="241"/>
      <c r="I44" s="156"/>
    </row>
    <row r="45" spans="1:9" ht="15.75" x14ac:dyDescent="0.25">
      <c r="A45" s="163" t="s">
        <v>69</v>
      </c>
      <c r="B45" s="164">
        <f>DATE(26,7,1)</f>
        <v>9679</v>
      </c>
      <c r="C45" s="225">
        <v>121807482.31</v>
      </c>
      <c r="D45" s="225">
        <v>12599157.34</v>
      </c>
      <c r="E45" s="225">
        <v>12769442.74</v>
      </c>
      <c r="F45" s="165">
        <f>(+D45-E45)/E45</f>
        <v>-1.3335382245505912E-2</v>
      </c>
      <c r="G45" s="240">
        <f>D45/C45</f>
        <v>0.10343500334351505</v>
      </c>
      <c r="H45" s="241">
        <f>1-G45</f>
        <v>0.89656499665648492</v>
      </c>
      <c r="I45" s="156"/>
    </row>
    <row r="46" spans="1:9" ht="15.75" x14ac:dyDescent="0.25">
      <c r="A46" s="163"/>
      <c r="B46" s="164">
        <f>DATE(26,8,1)</f>
        <v>9710</v>
      </c>
      <c r="C46" s="225">
        <v>117597380.97</v>
      </c>
      <c r="D46" s="225">
        <v>12100523.939999999</v>
      </c>
      <c r="E46" s="225">
        <v>13134764.029999999</v>
      </c>
      <c r="F46" s="165">
        <f>(+D46-E46)/E46</f>
        <v>-7.8740667714911353E-2</v>
      </c>
      <c r="G46" s="240">
        <f>D46/C46</f>
        <v>0.10289790333924985</v>
      </c>
      <c r="H46" s="241">
        <f>1-G46</f>
        <v>0.89710209666075014</v>
      </c>
      <c r="I46" s="156"/>
    </row>
    <row r="47" spans="1:9" ht="15.75" thickBot="1" x14ac:dyDescent="0.25">
      <c r="A47" s="166"/>
      <c r="B47" s="164"/>
      <c r="C47" s="225"/>
      <c r="D47" s="225"/>
      <c r="E47" s="225"/>
      <c r="F47" s="165"/>
      <c r="G47" s="240"/>
      <c r="H47" s="241"/>
      <c r="I47" s="156"/>
    </row>
    <row r="48" spans="1:9" ht="17.25" thickTop="1" thickBot="1" x14ac:dyDescent="0.3">
      <c r="A48" s="173" t="s">
        <v>14</v>
      </c>
      <c r="B48" s="174"/>
      <c r="C48" s="227">
        <f>SUM(C45:C47)</f>
        <v>239404863.28</v>
      </c>
      <c r="D48" s="229">
        <f>SUM(D45:D47)</f>
        <v>24699681.280000001</v>
      </c>
      <c r="E48" s="270">
        <f>SUM(E45:E47)</f>
        <v>25904206.77</v>
      </c>
      <c r="F48" s="175">
        <f>(+D48-E48)/E48</f>
        <v>-4.6499223106687637E-2</v>
      </c>
      <c r="G48" s="248">
        <f>D48/C48</f>
        <v>0.10317117598029775</v>
      </c>
      <c r="H48" s="269">
        <f>1-G48</f>
        <v>0.89682882401970221</v>
      </c>
      <c r="I48" s="156"/>
    </row>
    <row r="49" spans="1:9" ht="15.75" thickTop="1" x14ac:dyDescent="0.2">
      <c r="A49" s="166"/>
      <c r="B49" s="178"/>
      <c r="C49" s="228"/>
      <c r="D49" s="228"/>
      <c r="E49" s="228"/>
      <c r="F49" s="179"/>
      <c r="G49" s="246"/>
      <c r="H49" s="247"/>
      <c r="I49" s="156"/>
    </row>
    <row r="50" spans="1:9" ht="15.75" x14ac:dyDescent="0.25">
      <c r="A50" s="163" t="s">
        <v>16</v>
      </c>
      <c r="B50" s="164">
        <f>DATE(26,7,1)</f>
        <v>9679</v>
      </c>
      <c r="C50" s="225">
        <v>169448765.65000001</v>
      </c>
      <c r="D50" s="225">
        <v>16127802.050000001</v>
      </c>
      <c r="E50" s="225">
        <v>15262289.550000001</v>
      </c>
      <c r="F50" s="165">
        <f>(+D50-E50)/E50</f>
        <v>5.670921765469978E-2</v>
      </c>
      <c r="G50" s="240">
        <f>D50/C50</f>
        <v>9.5178043865555895E-2</v>
      </c>
      <c r="H50" s="241">
        <f>1-G50</f>
        <v>0.90482195613444416</v>
      </c>
      <c r="I50" s="156"/>
    </row>
    <row r="51" spans="1:9" ht="15.75" x14ac:dyDescent="0.25">
      <c r="A51" s="163"/>
      <c r="B51" s="164">
        <f>DATE(26,8,1)</f>
        <v>9710</v>
      </c>
      <c r="C51" s="225">
        <v>163988079.69999999</v>
      </c>
      <c r="D51" s="225">
        <v>15363589.23</v>
      </c>
      <c r="E51" s="225">
        <v>15853868.039999999</v>
      </c>
      <c r="F51" s="165">
        <f>(+D51-E51)/E51</f>
        <v>-3.0924870117690136E-2</v>
      </c>
      <c r="G51" s="240">
        <f>D51/C51</f>
        <v>9.3687231767736842E-2</v>
      </c>
      <c r="H51" s="241">
        <f>1-G51</f>
        <v>0.90631276823226314</v>
      </c>
      <c r="I51" s="156"/>
    </row>
    <row r="52" spans="1:9" ht="15.75" customHeight="1" thickBot="1" x14ac:dyDescent="0.3">
      <c r="A52" s="163"/>
      <c r="B52" s="164"/>
      <c r="C52" s="225"/>
      <c r="D52" s="225"/>
      <c r="E52" s="225"/>
      <c r="F52" s="165"/>
      <c r="G52" s="240"/>
      <c r="H52" s="241"/>
      <c r="I52" s="156"/>
    </row>
    <row r="53" spans="1:9" ht="17.25" thickTop="1" thickBot="1" x14ac:dyDescent="0.3">
      <c r="A53" s="173" t="s">
        <v>14</v>
      </c>
      <c r="B53" s="180"/>
      <c r="C53" s="227">
        <f>SUM(C50:C52)</f>
        <v>333436845.35000002</v>
      </c>
      <c r="D53" s="227">
        <f>SUM(D50:D52)</f>
        <v>31491391.280000001</v>
      </c>
      <c r="E53" s="227">
        <f>SUM(E50:E52)</f>
        <v>31116157.59</v>
      </c>
      <c r="F53" s="175">
        <f>(+D53-E53)/E53</f>
        <v>1.2059126803001943E-2</v>
      </c>
      <c r="G53" s="244">
        <f>D53/C53</f>
        <v>9.444484531079432E-2</v>
      </c>
      <c r="H53" s="245">
        <f>1-G53</f>
        <v>0.90555515468920567</v>
      </c>
      <c r="I53" s="156"/>
    </row>
    <row r="54" spans="1:9" ht="15.75" thickTop="1" x14ac:dyDescent="0.2">
      <c r="A54" s="170"/>
      <c r="B54" s="171"/>
      <c r="C54" s="226"/>
      <c r="D54" s="226"/>
      <c r="E54" s="226"/>
      <c r="F54" s="172"/>
      <c r="G54" s="242"/>
      <c r="H54" s="243"/>
      <c r="I54" s="156"/>
    </row>
    <row r="55" spans="1:9" ht="15.75" x14ac:dyDescent="0.25">
      <c r="A55" s="163" t="s">
        <v>53</v>
      </c>
      <c r="B55" s="164">
        <f>DATE(26,7,1)</f>
        <v>9679</v>
      </c>
      <c r="C55" s="225">
        <v>218038827.03999999</v>
      </c>
      <c r="D55" s="225">
        <v>21849754.18</v>
      </c>
      <c r="E55" s="225">
        <v>20027858.210000001</v>
      </c>
      <c r="F55" s="165">
        <f>(+D55-E55)/E55</f>
        <v>9.0968088094927582E-2</v>
      </c>
      <c r="G55" s="240">
        <f>D55/C55</f>
        <v>0.10021038214442231</v>
      </c>
      <c r="H55" s="241">
        <f>1-G55</f>
        <v>0.89978961785557765</v>
      </c>
      <c r="I55" s="156"/>
    </row>
    <row r="56" spans="1:9" ht="15.75" x14ac:dyDescent="0.25">
      <c r="A56" s="163"/>
      <c r="B56" s="164">
        <f>DATE(26,8,1)</f>
        <v>9710</v>
      </c>
      <c r="C56" s="225">
        <v>211249181.41999999</v>
      </c>
      <c r="D56" s="225">
        <v>20705588</v>
      </c>
      <c r="E56" s="225">
        <v>20920695.829999998</v>
      </c>
      <c r="F56" s="165">
        <f>(+D56-E56)/E56</f>
        <v>-1.0282059055202956E-2</v>
      </c>
      <c r="G56" s="240">
        <f>D56/C56</f>
        <v>9.8014997553215147E-2</v>
      </c>
      <c r="H56" s="241">
        <f>1-G56</f>
        <v>0.90198500244678481</v>
      </c>
      <c r="I56" s="156"/>
    </row>
    <row r="57" spans="1:9" ht="15.75" thickBot="1" x14ac:dyDescent="0.25">
      <c r="A57" s="166"/>
      <c r="B57" s="167"/>
      <c r="C57" s="225"/>
      <c r="D57" s="225"/>
      <c r="E57" s="225"/>
      <c r="F57" s="165"/>
      <c r="G57" s="240"/>
      <c r="H57" s="241"/>
      <c r="I57" s="156"/>
    </row>
    <row r="58" spans="1:9" ht="17.25" thickTop="1" thickBot="1" x14ac:dyDescent="0.3">
      <c r="A58" s="173" t="s">
        <v>14</v>
      </c>
      <c r="B58" s="174"/>
      <c r="C58" s="227">
        <f>SUM(C55:C57)</f>
        <v>429288008.45999998</v>
      </c>
      <c r="D58" s="227">
        <f>SUM(D55:D57)</f>
        <v>42555342.18</v>
      </c>
      <c r="E58" s="227">
        <f>SUM(E55:E57)</f>
        <v>40948554.039999999</v>
      </c>
      <c r="F58" s="175">
        <f>(+D58-E58)/E58</f>
        <v>3.9239191167298189E-2</v>
      </c>
      <c r="G58" s="248">
        <f>D58/C58</f>
        <v>9.9130051017870924E-2</v>
      </c>
      <c r="H58" s="269">
        <f>1-G58</f>
        <v>0.90086994898212902</v>
      </c>
      <c r="I58" s="156"/>
    </row>
    <row r="59" spans="1:9" ht="15.75" thickTop="1" x14ac:dyDescent="0.2">
      <c r="A59" s="166"/>
      <c r="B59" s="167"/>
      <c r="C59" s="225"/>
      <c r="D59" s="225"/>
      <c r="E59" s="225"/>
      <c r="F59" s="165"/>
      <c r="G59" s="240"/>
      <c r="H59" s="241"/>
      <c r="I59" s="156"/>
    </row>
    <row r="60" spans="1:9" ht="15.75" x14ac:dyDescent="0.25">
      <c r="A60" s="163" t="s">
        <v>54</v>
      </c>
      <c r="B60" s="164">
        <f>DATE(26,7,1)</f>
        <v>9679</v>
      </c>
      <c r="C60" s="225">
        <v>29555903.57</v>
      </c>
      <c r="D60" s="225">
        <v>3311970.17</v>
      </c>
      <c r="E60" s="225">
        <v>2945968.77</v>
      </c>
      <c r="F60" s="165">
        <f>(+D60-E60)/E60</f>
        <v>0.12423804479095001</v>
      </c>
      <c r="G60" s="240">
        <f>D60/C60</f>
        <v>0.11205782161780141</v>
      </c>
      <c r="H60" s="241">
        <f>1-G60</f>
        <v>0.88794217838219858</v>
      </c>
      <c r="I60" s="156"/>
    </row>
    <row r="61" spans="1:9" ht="15.75" x14ac:dyDescent="0.25">
      <c r="A61" s="163"/>
      <c r="B61" s="164">
        <f>DATE(26,8,1)</f>
        <v>9710</v>
      </c>
      <c r="C61" s="225">
        <v>30054892.16</v>
      </c>
      <c r="D61" s="225">
        <v>3217812.23</v>
      </c>
      <c r="E61" s="225">
        <v>3020485.7</v>
      </c>
      <c r="F61" s="165">
        <f>(+D61-E61)/E61</f>
        <v>6.5329403810784392E-2</v>
      </c>
      <c r="G61" s="240">
        <f>D61/C61</f>
        <v>0.10706450759728828</v>
      </c>
      <c r="H61" s="241">
        <f>1-G61</f>
        <v>0.89293549240271175</v>
      </c>
      <c r="I61" s="156"/>
    </row>
    <row r="62" spans="1:9" ht="15.75" thickBot="1" x14ac:dyDescent="0.25">
      <c r="A62" s="166"/>
      <c r="B62" s="167"/>
      <c r="C62" s="225"/>
      <c r="D62" s="225"/>
      <c r="E62" s="225"/>
      <c r="F62" s="165"/>
      <c r="G62" s="240"/>
      <c r="H62" s="241"/>
      <c r="I62" s="156"/>
    </row>
    <row r="63" spans="1:9" ht="17.25" thickTop="1" thickBot="1" x14ac:dyDescent="0.3">
      <c r="A63" s="181" t="s">
        <v>14</v>
      </c>
      <c r="B63" s="182"/>
      <c r="C63" s="229">
        <f>SUM(C60:C62)</f>
        <v>59610795.730000004</v>
      </c>
      <c r="D63" s="229">
        <f>SUM(D60:D62)</f>
        <v>6529782.4000000004</v>
      </c>
      <c r="E63" s="229">
        <f>SUM(E60:E62)</f>
        <v>5966454.4700000007</v>
      </c>
      <c r="F63" s="175">
        <f>(+D63-E63)/E63</f>
        <v>9.4415860010744312E-2</v>
      </c>
      <c r="G63" s="248">
        <f>D63/C63</f>
        <v>0.10954026565214582</v>
      </c>
      <c r="H63" s="245">
        <f>1-G63</f>
        <v>0.89045973434785419</v>
      </c>
      <c r="I63" s="156"/>
    </row>
    <row r="64" spans="1:9" ht="15.75" thickTop="1" x14ac:dyDescent="0.2">
      <c r="A64" s="166"/>
      <c r="B64" s="167"/>
      <c r="C64" s="225"/>
      <c r="D64" s="225"/>
      <c r="E64" s="225"/>
      <c r="F64" s="165"/>
      <c r="G64" s="240"/>
      <c r="H64" s="241"/>
      <c r="I64" s="156"/>
    </row>
    <row r="65" spans="1:9" ht="15.75" x14ac:dyDescent="0.25">
      <c r="A65" s="163" t="s">
        <v>37</v>
      </c>
      <c r="B65" s="164">
        <f>DATE(26,7,1)</f>
        <v>9679</v>
      </c>
      <c r="C65" s="225">
        <v>253302948.61000001</v>
      </c>
      <c r="D65" s="225">
        <v>22788424.289999999</v>
      </c>
      <c r="E65" s="225">
        <v>21223682.460000001</v>
      </c>
      <c r="F65" s="165">
        <f>(+D65-E65)/E65</f>
        <v>7.372621753783995E-2</v>
      </c>
      <c r="G65" s="240">
        <f>D65/C65</f>
        <v>8.9965096794377961E-2</v>
      </c>
      <c r="H65" s="241">
        <f>1-G65</f>
        <v>0.91003490320562208</v>
      </c>
      <c r="I65" s="156"/>
    </row>
    <row r="66" spans="1:9" ht="15.75" x14ac:dyDescent="0.25">
      <c r="A66" s="163"/>
      <c r="B66" s="164">
        <f>DATE(26,8,1)</f>
        <v>9710</v>
      </c>
      <c r="C66" s="225">
        <v>248285659.09</v>
      </c>
      <c r="D66" s="225">
        <v>22844030.82</v>
      </c>
      <c r="E66" s="225">
        <v>22321398.02</v>
      </c>
      <c r="F66" s="165">
        <f>(+D66-E66)/E66</f>
        <v>2.3413981486810152E-2</v>
      </c>
      <c r="G66" s="240">
        <f>D66/C66</f>
        <v>9.2007049072936456E-2</v>
      </c>
      <c r="H66" s="241">
        <f>1-G66</f>
        <v>0.90799295092706356</v>
      </c>
      <c r="I66" s="156"/>
    </row>
    <row r="67" spans="1:9" ht="15.75" thickBot="1" x14ac:dyDescent="0.25">
      <c r="A67" s="166"/>
      <c r="B67" s="167"/>
      <c r="C67" s="225"/>
      <c r="D67" s="225"/>
      <c r="E67" s="225"/>
      <c r="F67" s="165"/>
      <c r="G67" s="240"/>
      <c r="H67" s="241"/>
      <c r="I67" s="156"/>
    </row>
    <row r="68" spans="1:9" ht="17.25" thickTop="1" thickBot="1" x14ac:dyDescent="0.3">
      <c r="A68" s="173" t="s">
        <v>14</v>
      </c>
      <c r="B68" s="174"/>
      <c r="C68" s="227">
        <f>SUM(C65:C67)</f>
        <v>501588607.70000005</v>
      </c>
      <c r="D68" s="227">
        <f>SUM(D65:D67)</f>
        <v>45632455.109999999</v>
      </c>
      <c r="E68" s="227">
        <f>SUM(E65:E67)</f>
        <v>43545080.480000004</v>
      </c>
      <c r="F68" s="175">
        <f>(+D68-E68)/E68</f>
        <v>4.7935946081411288E-2</v>
      </c>
      <c r="G68" s="244">
        <f>D68/C68</f>
        <v>9.0975860315577084E-2</v>
      </c>
      <c r="H68" s="245">
        <f>1-G68</f>
        <v>0.90902413968442297</v>
      </c>
      <c r="I68" s="156"/>
    </row>
    <row r="69" spans="1:9" ht="15.75" thickTop="1" x14ac:dyDescent="0.2">
      <c r="A69" s="166"/>
      <c r="B69" s="167"/>
      <c r="C69" s="225"/>
      <c r="D69" s="225"/>
      <c r="E69" s="225"/>
      <c r="F69" s="165"/>
      <c r="G69" s="240"/>
      <c r="H69" s="241"/>
      <c r="I69" s="156"/>
    </row>
    <row r="70" spans="1:9" ht="15.75" x14ac:dyDescent="0.25">
      <c r="A70" s="163" t="s">
        <v>57</v>
      </c>
      <c r="B70" s="164">
        <f>DATE(26,7,1)</f>
        <v>9679</v>
      </c>
      <c r="C70" s="225">
        <v>39714812.289999999</v>
      </c>
      <c r="D70" s="225">
        <v>4267481.49</v>
      </c>
      <c r="E70" s="225">
        <v>4106639.16</v>
      </c>
      <c r="F70" s="165">
        <f>(+D70-E70)/E70</f>
        <v>3.9166414124390724E-2</v>
      </c>
      <c r="G70" s="240">
        <f>D70/C70</f>
        <v>0.10745314516001205</v>
      </c>
      <c r="H70" s="241">
        <f>1-G70</f>
        <v>0.89254685483998797</v>
      </c>
      <c r="I70" s="156"/>
    </row>
    <row r="71" spans="1:9" ht="15.75" x14ac:dyDescent="0.25">
      <c r="A71" s="163"/>
      <c r="B71" s="164">
        <f>DATE(26,8,1)</f>
        <v>9710</v>
      </c>
      <c r="C71" s="225">
        <v>39565759.420000002</v>
      </c>
      <c r="D71" s="225">
        <v>4127579.51</v>
      </c>
      <c r="E71" s="225">
        <v>3943183.1</v>
      </c>
      <c r="F71" s="165">
        <f>(+D71-E71)/E71</f>
        <v>4.6763339495951808E-2</v>
      </c>
      <c r="G71" s="240">
        <f>D71/C71</f>
        <v>0.10432200899228941</v>
      </c>
      <c r="H71" s="241">
        <f>1-G71</f>
        <v>0.89567799100771062</v>
      </c>
      <c r="I71" s="156"/>
    </row>
    <row r="72" spans="1:9" ht="15.75" thickBot="1" x14ac:dyDescent="0.25">
      <c r="A72" s="166"/>
      <c r="B72" s="167"/>
      <c r="C72" s="225"/>
      <c r="D72" s="225"/>
      <c r="E72" s="225"/>
      <c r="F72" s="165"/>
      <c r="G72" s="240"/>
      <c r="H72" s="241"/>
      <c r="I72" s="156"/>
    </row>
    <row r="73" spans="1:9" ht="17.25" thickTop="1" thickBot="1" x14ac:dyDescent="0.3">
      <c r="A73" s="168" t="s">
        <v>14</v>
      </c>
      <c r="B73" s="154"/>
      <c r="C73" s="222">
        <f>SUM(C70:C72)</f>
        <v>79280571.710000008</v>
      </c>
      <c r="D73" s="222">
        <f>SUM(D70:D72)</f>
        <v>8395061</v>
      </c>
      <c r="E73" s="222">
        <f>SUM(E70:E72)</f>
        <v>8049822.2599999998</v>
      </c>
      <c r="F73" s="175">
        <f>(+D73-E73)/E73</f>
        <v>4.2887746940141788E-2</v>
      </c>
      <c r="G73" s="244">
        <f>D73/C73</f>
        <v>0.1058905204506881</v>
      </c>
      <c r="H73" s="245">
        <f>1-G73</f>
        <v>0.89410947954931186</v>
      </c>
      <c r="I73" s="156"/>
    </row>
    <row r="74" spans="1:9" ht="16.5" thickTop="1" thickBot="1" x14ac:dyDescent="0.25">
      <c r="A74" s="170"/>
      <c r="B74" s="171"/>
      <c r="C74" s="226"/>
      <c r="D74" s="226"/>
      <c r="E74" s="226"/>
      <c r="F74" s="172"/>
      <c r="G74" s="242"/>
      <c r="H74" s="243"/>
      <c r="I74" s="156"/>
    </row>
    <row r="75" spans="1:9" ht="17.25" thickTop="1" thickBot="1" x14ac:dyDescent="0.3">
      <c r="A75" s="183" t="s">
        <v>38</v>
      </c>
      <c r="B75" s="154"/>
      <c r="C75" s="222">
        <f>C73+C68+C53+C43+C33+C23+C13+C28+C63+C18+C48+C58+C38</f>
        <v>3112126463.6100001</v>
      </c>
      <c r="D75" s="222">
        <f>D73+D68+D53+D43+D33+D23+D13+D28+D63+D18+D48+D58+D38</f>
        <v>303766098.81</v>
      </c>
      <c r="E75" s="222">
        <f>E73+E68+E53+E43+E33+E23+E13+E28+E63+E18+E48+E58+E38</f>
        <v>297649172.70999998</v>
      </c>
      <c r="F75" s="169">
        <f>(+D75-E75)/E75</f>
        <v>2.0550791538600222E-2</v>
      </c>
      <c r="G75" s="235">
        <f>D75/C75</f>
        <v>9.7607247765130287E-2</v>
      </c>
      <c r="H75" s="236">
        <f>1-G75</f>
        <v>0.9023927522348697</v>
      </c>
      <c r="I75" s="156"/>
    </row>
    <row r="76" spans="1:9" ht="17.25" thickTop="1" thickBot="1" x14ac:dyDescent="0.3">
      <c r="A76" s="183"/>
      <c r="B76" s="154"/>
      <c r="C76" s="222"/>
      <c r="D76" s="222"/>
      <c r="E76" s="222"/>
      <c r="F76" s="169"/>
      <c r="G76" s="235"/>
      <c r="H76" s="236"/>
      <c r="I76" s="156"/>
    </row>
    <row r="77" spans="1:9" ht="17.25" thickTop="1" thickBot="1" x14ac:dyDescent="0.3">
      <c r="A77" s="183" t="s">
        <v>39</v>
      </c>
      <c r="B77" s="154"/>
      <c r="C77" s="222">
        <f>+C11+C16+C21+C26+C31+C36+C41+C46+C51+C56+C61+C66+C71</f>
        <v>1542711914.2</v>
      </c>
      <c r="D77" s="222">
        <f>+D11+D16+D21+D26+D31+D36+D41+D46+D51+D56+D61+D66+D71</f>
        <v>150216576.78999999</v>
      </c>
      <c r="E77" s="222">
        <f>+E11+E16+E21+E26+E31+E36+E41+E46+E51+E56+E61+E66+E71</f>
        <v>151770374.37</v>
      </c>
      <c r="F77" s="169">
        <f>(+D77-E77)/E77</f>
        <v>-1.0237818720879083E-2</v>
      </c>
      <c r="G77" s="235">
        <f>D77/C77</f>
        <v>9.7371761640861768E-2</v>
      </c>
      <c r="H77" s="245">
        <f>1-G77</f>
        <v>0.90262823835913819</v>
      </c>
      <c r="I77" s="156"/>
    </row>
    <row r="78" spans="1:9" ht="16.5" thickTop="1" x14ac:dyDescent="0.25">
      <c r="A78" s="184"/>
      <c r="B78" s="185"/>
      <c r="C78" s="230"/>
      <c r="D78" s="230"/>
      <c r="E78" s="230"/>
      <c r="F78" s="186"/>
      <c r="G78" s="249"/>
      <c r="H78" s="249"/>
      <c r="I78" s="150"/>
    </row>
    <row r="79" spans="1:9" ht="16.5" customHeight="1" x14ac:dyDescent="0.3">
      <c r="A79" s="187" t="s">
        <v>49</v>
      </c>
      <c r="B79" s="188"/>
      <c r="C79" s="231"/>
      <c r="D79" s="231"/>
      <c r="E79" s="231"/>
      <c r="F79" s="189"/>
      <c r="G79" s="250"/>
      <c r="H79" s="250"/>
      <c r="I79" s="150"/>
    </row>
    <row r="80" spans="1:9" ht="15.75" x14ac:dyDescent="0.25">
      <c r="A80" s="190"/>
      <c r="B80" s="188"/>
      <c r="C80" s="231"/>
      <c r="D80" s="231"/>
      <c r="E80" s="231"/>
      <c r="F80" s="189"/>
      <c r="G80" s="256"/>
      <c r="H80" s="256"/>
      <c r="I80" s="150"/>
    </row>
    <row r="81" spans="1:9" ht="15.75" x14ac:dyDescent="0.25">
      <c r="A81" s="71"/>
      <c r="I81" s="150"/>
    </row>
  </sheetData>
  <phoneticPr fontId="0" type="noConversion"/>
  <printOptions horizontalCentered="1"/>
  <pageMargins left="0.75" right="0.25" top="0.31940000000000002" bottom="0.2" header="0.5" footer="0.5"/>
  <pageSetup scale="65" orientation="landscape" r:id="rId1"/>
  <headerFooter alignWithMargins="0"/>
  <rowBreaks count="1" manualBreakCount="1">
    <brk id="5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2026-09-09T14:24:35Z</cp:lastPrinted>
  <dcterms:created xsi:type="dcterms:W3CDTF">2003-09-09T14:41:43Z</dcterms:created>
  <dcterms:modified xsi:type="dcterms:W3CDTF">2026-09-09T19:56:29Z</dcterms:modified>
</cp:coreProperties>
</file>