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STATS'!$A$1:$M$156</definedName>
    <definedName name="_xlnm.Print_Area" localSheetId="4">'SLOT STATS'!$A$1:$I$157</definedName>
    <definedName name="_xlnm.Print_Area" localSheetId="2">'TABLE STATS'!$A$1:$H$156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/>
</workbook>
</file>

<file path=xl/calcChain.xml><?xml version="1.0" encoding="utf-8"?>
<calcChain xmlns="http://schemas.openxmlformats.org/spreadsheetml/2006/main">
  <c r="E155" i="4" l="1"/>
  <c r="D155" i="4"/>
  <c r="C155" i="4"/>
  <c r="F149" i="4"/>
  <c r="G149" i="4"/>
  <c r="H149" i="4" s="1"/>
  <c r="F138" i="4"/>
  <c r="G138" i="4"/>
  <c r="H138" i="4"/>
  <c r="F127" i="4"/>
  <c r="G127" i="4"/>
  <c r="H127" i="4" s="1"/>
  <c r="F116" i="4"/>
  <c r="G116" i="4"/>
  <c r="H116" i="4"/>
  <c r="F105" i="4"/>
  <c r="G105" i="4"/>
  <c r="H105" i="4" s="1"/>
  <c r="F94" i="4"/>
  <c r="G94" i="4"/>
  <c r="H94" i="4"/>
  <c r="F83" i="4"/>
  <c r="G83" i="4"/>
  <c r="H83" i="4" s="1"/>
  <c r="F72" i="4"/>
  <c r="G72" i="4"/>
  <c r="H72" i="4"/>
  <c r="F61" i="4"/>
  <c r="G61" i="4"/>
  <c r="H61" i="4" s="1"/>
  <c r="F50" i="4"/>
  <c r="G50" i="4"/>
  <c r="H50" i="4"/>
  <c r="F39" i="4"/>
  <c r="G39" i="4"/>
  <c r="H39" i="4" s="1"/>
  <c r="F28" i="4"/>
  <c r="G28" i="4"/>
  <c r="H28" i="4"/>
  <c r="F17" i="4"/>
  <c r="G17" i="4"/>
  <c r="H17" i="4" s="1"/>
  <c r="B149" i="4"/>
  <c r="B138" i="4"/>
  <c r="B127" i="4"/>
  <c r="B116" i="4"/>
  <c r="B105" i="4"/>
  <c r="B94" i="4"/>
  <c r="B83" i="4"/>
  <c r="B72" i="4"/>
  <c r="B61" i="4"/>
  <c r="B50" i="4"/>
  <c r="B39" i="4"/>
  <c r="B28" i="4"/>
  <c r="B17" i="4"/>
  <c r="E155" i="5"/>
  <c r="D155" i="5"/>
  <c r="F155" i="5" s="1"/>
  <c r="C155" i="5"/>
  <c r="G149" i="5"/>
  <c r="H149" i="5" s="1"/>
  <c r="B149" i="5"/>
  <c r="B138" i="5"/>
  <c r="B127" i="5"/>
  <c r="B116" i="5"/>
  <c r="B105" i="5"/>
  <c r="B94" i="5"/>
  <c r="B83" i="5"/>
  <c r="B72" i="5"/>
  <c r="B61" i="5"/>
  <c r="B50" i="5"/>
  <c r="B39" i="5"/>
  <c r="B28" i="5"/>
  <c r="B17" i="5"/>
  <c r="E154" i="3"/>
  <c r="D154" i="3"/>
  <c r="C154" i="3"/>
  <c r="F148" i="3"/>
  <c r="G148" i="3"/>
  <c r="F137" i="3"/>
  <c r="G137" i="3"/>
  <c r="F115" i="3"/>
  <c r="G115" i="3"/>
  <c r="F104" i="3"/>
  <c r="G104" i="3"/>
  <c r="F93" i="3"/>
  <c r="G93" i="3"/>
  <c r="F82" i="3"/>
  <c r="G82" i="3"/>
  <c r="F71" i="3"/>
  <c r="G71" i="3"/>
  <c r="F60" i="3"/>
  <c r="G60" i="3"/>
  <c r="F49" i="3"/>
  <c r="G49" i="3"/>
  <c r="F38" i="3"/>
  <c r="G38" i="3"/>
  <c r="F27" i="3"/>
  <c r="G27" i="3"/>
  <c r="F16" i="3"/>
  <c r="G16" i="3"/>
  <c r="B148" i="3"/>
  <c r="B137" i="3"/>
  <c r="B126" i="3"/>
  <c r="B115" i="3"/>
  <c r="B104" i="3"/>
  <c r="B93" i="3"/>
  <c r="B82" i="3"/>
  <c r="B71" i="3"/>
  <c r="B60" i="3"/>
  <c r="B49" i="3"/>
  <c r="B38" i="3"/>
  <c r="B27" i="3"/>
  <c r="B16" i="3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O17" i="2" s="1"/>
  <c r="A17" i="2"/>
  <c r="F103" i="1"/>
  <c r="F81" i="1"/>
  <c r="J81" i="1" s="1"/>
  <c r="L154" i="1"/>
  <c r="K154" i="1"/>
  <c r="D154" i="1"/>
  <c r="C154" i="1"/>
  <c r="M148" i="1"/>
  <c r="I148" i="1"/>
  <c r="J148" i="1"/>
  <c r="G148" i="1"/>
  <c r="F148" i="1"/>
  <c r="H148" i="1" s="1"/>
  <c r="E148" i="1"/>
  <c r="H137" i="1"/>
  <c r="M137" i="1"/>
  <c r="I137" i="1"/>
  <c r="J137" i="1"/>
  <c r="G137" i="1"/>
  <c r="F137" i="1"/>
  <c r="E137" i="1"/>
  <c r="M126" i="1"/>
  <c r="I126" i="1"/>
  <c r="G126" i="1"/>
  <c r="F126" i="1"/>
  <c r="J126" i="1" s="1"/>
  <c r="E126" i="1"/>
  <c r="M115" i="1"/>
  <c r="I115" i="1"/>
  <c r="J115" i="1"/>
  <c r="G115" i="1"/>
  <c r="F115" i="1"/>
  <c r="H115" i="1" s="1"/>
  <c r="E115" i="1"/>
  <c r="H104" i="1"/>
  <c r="M104" i="1"/>
  <c r="I104" i="1"/>
  <c r="J104" i="1"/>
  <c r="G104" i="1"/>
  <c r="F104" i="1"/>
  <c r="E104" i="1"/>
  <c r="M93" i="1"/>
  <c r="I93" i="1"/>
  <c r="G93" i="1"/>
  <c r="F93" i="1"/>
  <c r="H93" i="1" s="1"/>
  <c r="E93" i="1"/>
  <c r="M82" i="1"/>
  <c r="I82" i="1"/>
  <c r="G82" i="1"/>
  <c r="F82" i="1"/>
  <c r="H82" i="1" s="1"/>
  <c r="E82" i="1"/>
  <c r="H71" i="1"/>
  <c r="M71" i="1"/>
  <c r="I71" i="1"/>
  <c r="J71" i="1"/>
  <c r="G71" i="1"/>
  <c r="F71" i="1"/>
  <c r="E71" i="1"/>
  <c r="M60" i="1"/>
  <c r="I60" i="1"/>
  <c r="G60" i="1"/>
  <c r="F60" i="1"/>
  <c r="H60" i="1" s="1"/>
  <c r="E60" i="1"/>
  <c r="M49" i="1"/>
  <c r="I49" i="1"/>
  <c r="G49" i="1"/>
  <c r="H49" i="1" s="1"/>
  <c r="F49" i="1"/>
  <c r="J49" i="1" s="1"/>
  <c r="E49" i="1"/>
  <c r="M38" i="1"/>
  <c r="I38" i="1"/>
  <c r="J38" i="1"/>
  <c r="G38" i="1"/>
  <c r="F38" i="1"/>
  <c r="H38" i="1" s="1"/>
  <c r="E38" i="1"/>
  <c r="M27" i="1"/>
  <c r="I27" i="1"/>
  <c r="G27" i="1"/>
  <c r="F27" i="1"/>
  <c r="H27" i="1" s="1"/>
  <c r="E27" i="1"/>
  <c r="M16" i="1"/>
  <c r="I16" i="1"/>
  <c r="J16" i="1"/>
  <c r="G16" i="1"/>
  <c r="G154" i="1" s="1"/>
  <c r="F16" i="1"/>
  <c r="F154" i="1" s="1"/>
  <c r="E16" i="1"/>
  <c r="B148" i="1"/>
  <c r="B137" i="1"/>
  <c r="B126" i="1"/>
  <c r="B115" i="1"/>
  <c r="B104" i="1"/>
  <c r="B93" i="1"/>
  <c r="B82" i="1"/>
  <c r="B71" i="1"/>
  <c r="B60" i="1"/>
  <c r="B49" i="1"/>
  <c r="B38" i="1"/>
  <c r="B27" i="1"/>
  <c r="B16" i="1"/>
  <c r="F148" i="4"/>
  <c r="G148" i="4"/>
  <c r="H148" i="4" s="1"/>
  <c r="F137" i="4"/>
  <c r="G137" i="4"/>
  <c r="H137" i="4"/>
  <c r="F126" i="4"/>
  <c r="G126" i="4"/>
  <c r="H126" i="4"/>
  <c r="F115" i="4"/>
  <c r="G115" i="4"/>
  <c r="H115" i="4"/>
  <c r="F104" i="4"/>
  <c r="G104" i="4"/>
  <c r="H104" i="4" s="1"/>
  <c r="F93" i="4"/>
  <c r="G93" i="4"/>
  <c r="H93" i="4"/>
  <c r="F82" i="4"/>
  <c r="G82" i="4"/>
  <c r="H82" i="4"/>
  <c r="F71" i="4"/>
  <c r="G71" i="4"/>
  <c r="H71" i="4"/>
  <c r="F60" i="4"/>
  <c r="G60" i="4"/>
  <c r="H60" i="4" s="1"/>
  <c r="F49" i="4"/>
  <c r="G49" i="4"/>
  <c r="H49" i="4"/>
  <c r="F38" i="4"/>
  <c r="G38" i="4"/>
  <c r="H38" i="4"/>
  <c r="F27" i="4"/>
  <c r="G27" i="4"/>
  <c r="H27" i="4"/>
  <c r="F16" i="4"/>
  <c r="G16" i="4"/>
  <c r="H16" i="4" s="1"/>
  <c r="B148" i="4"/>
  <c r="B137" i="4"/>
  <c r="B126" i="4"/>
  <c r="B115" i="4"/>
  <c r="B104" i="4"/>
  <c r="B93" i="4"/>
  <c r="B82" i="4"/>
  <c r="B71" i="4"/>
  <c r="B60" i="4"/>
  <c r="B49" i="4"/>
  <c r="B38" i="4"/>
  <c r="B27" i="4"/>
  <c r="B16" i="4"/>
  <c r="G148" i="5"/>
  <c r="H148" i="5"/>
  <c r="G115" i="5"/>
  <c r="H115" i="5"/>
  <c r="B148" i="5"/>
  <c r="B137" i="5"/>
  <c r="B126" i="5"/>
  <c r="B115" i="5"/>
  <c r="B104" i="5"/>
  <c r="B93" i="5"/>
  <c r="B82" i="5"/>
  <c r="B71" i="5"/>
  <c r="B60" i="5"/>
  <c r="B49" i="5"/>
  <c r="B38" i="5"/>
  <c r="B27" i="5"/>
  <c r="B16" i="5"/>
  <c r="F147" i="3"/>
  <c r="G147" i="3"/>
  <c r="F136" i="3"/>
  <c r="G136" i="3"/>
  <c r="F114" i="3"/>
  <c r="G114" i="3"/>
  <c r="F103" i="3"/>
  <c r="G103" i="3"/>
  <c r="F92" i="3"/>
  <c r="G92" i="3"/>
  <c r="F81" i="3"/>
  <c r="G81" i="3"/>
  <c r="F70" i="3"/>
  <c r="G70" i="3"/>
  <c r="F59" i="3"/>
  <c r="G59" i="3"/>
  <c r="F48" i="3"/>
  <c r="G48" i="3"/>
  <c r="F37" i="3"/>
  <c r="G37" i="3"/>
  <c r="F26" i="3"/>
  <c r="G26" i="3"/>
  <c r="F15" i="3"/>
  <c r="G15" i="3"/>
  <c r="B147" i="3"/>
  <c r="B136" i="3"/>
  <c r="B125" i="3"/>
  <c r="B114" i="3"/>
  <c r="B103" i="3"/>
  <c r="B92" i="3"/>
  <c r="B81" i="3"/>
  <c r="B70" i="3"/>
  <c r="B59" i="3"/>
  <c r="B48" i="3"/>
  <c r="B37" i="3"/>
  <c r="B26" i="3"/>
  <c r="B15" i="3"/>
  <c r="N37" i="2"/>
  <c r="M37" i="2"/>
  <c r="L37" i="2"/>
  <c r="K37" i="2"/>
  <c r="J37" i="2"/>
  <c r="I37" i="2"/>
  <c r="H37" i="2"/>
  <c r="G37" i="2"/>
  <c r="O37" i="2" s="1"/>
  <c r="F37" i="2"/>
  <c r="E37" i="2"/>
  <c r="D37" i="2"/>
  <c r="C37" i="2"/>
  <c r="B37" i="2"/>
  <c r="A37" i="2"/>
  <c r="N16" i="2"/>
  <c r="M16" i="2"/>
  <c r="L16" i="2"/>
  <c r="K16" i="2"/>
  <c r="J16" i="2"/>
  <c r="I16" i="2"/>
  <c r="O16" i="2" s="1"/>
  <c r="H16" i="2"/>
  <c r="G16" i="2"/>
  <c r="F16" i="2"/>
  <c r="E16" i="2"/>
  <c r="D16" i="2"/>
  <c r="C16" i="2"/>
  <c r="B16" i="2"/>
  <c r="A16" i="2"/>
  <c r="M147" i="1"/>
  <c r="I147" i="1"/>
  <c r="G147" i="1"/>
  <c r="F147" i="1"/>
  <c r="H147" i="1" s="1"/>
  <c r="E147" i="1"/>
  <c r="M136" i="1"/>
  <c r="I136" i="1"/>
  <c r="G136" i="1"/>
  <c r="F136" i="1"/>
  <c r="E136" i="1"/>
  <c r="M125" i="1"/>
  <c r="I125" i="1"/>
  <c r="G125" i="1"/>
  <c r="F125" i="1"/>
  <c r="E125" i="1"/>
  <c r="M114" i="1"/>
  <c r="I114" i="1"/>
  <c r="G114" i="1"/>
  <c r="F114" i="1"/>
  <c r="J114" i="1" s="1"/>
  <c r="E114" i="1"/>
  <c r="M103" i="1"/>
  <c r="I103" i="1"/>
  <c r="G103" i="1"/>
  <c r="E103" i="1"/>
  <c r="M92" i="1"/>
  <c r="I92" i="1"/>
  <c r="G92" i="1"/>
  <c r="H92" i="1" s="1"/>
  <c r="F92" i="1"/>
  <c r="J92" i="1"/>
  <c r="E92" i="1"/>
  <c r="M81" i="1"/>
  <c r="I81" i="1"/>
  <c r="G81" i="1"/>
  <c r="E81" i="1"/>
  <c r="M70" i="1"/>
  <c r="I70" i="1"/>
  <c r="G70" i="1"/>
  <c r="F70" i="1"/>
  <c r="E70" i="1"/>
  <c r="M59" i="1"/>
  <c r="I59" i="1"/>
  <c r="G59" i="1"/>
  <c r="F59" i="1"/>
  <c r="E59" i="1"/>
  <c r="M48" i="1"/>
  <c r="I48" i="1"/>
  <c r="G48" i="1"/>
  <c r="F48" i="1"/>
  <c r="E48" i="1"/>
  <c r="M37" i="1"/>
  <c r="I37" i="1"/>
  <c r="G37" i="1"/>
  <c r="F37" i="1"/>
  <c r="E37" i="1"/>
  <c r="M26" i="1"/>
  <c r="I26" i="1"/>
  <c r="G26" i="1"/>
  <c r="F26" i="1"/>
  <c r="J26" i="1" s="1"/>
  <c r="E26" i="1"/>
  <c r="M15" i="1"/>
  <c r="I15" i="1"/>
  <c r="G15" i="1"/>
  <c r="H15" i="1" s="1"/>
  <c r="F15" i="1"/>
  <c r="E15" i="1"/>
  <c r="B147" i="1"/>
  <c r="B136" i="1"/>
  <c r="B125" i="1"/>
  <c r="B114" i="1"/>
  <c r="B103" i="1"/>
  <c r="B92" i="1"/>
  <c r="B81" i="1"/>
  <c r="B70" i="1"/>
  <c r="B59" i="1"/>
  <c r="B48" i="1"/>
  <c r="B37" i="1"/>
  <c r="B26" i="1"/>
  <c r="B15" i="1"/>
  <c r="F147" i="4"/>
  <c r="G147" i="4"/>
  <c r="H147" i="4"/>
  <c r="F136" i="4"/>
  <c r="G136" i="4"/>
  <c r="H136" i="4"/>
  <c r="F125" i="4"/>
  <c r="G125" i="4"/>
  <c r="H125" i="4"/>
  <c r="F114" i="4"/>
  <c r="G114" i="4"/>
  <c r="H114" i="4"/>
  <c r="F103" i="4"/>
  <c r="G103" i="4"/>
  <c r="H103" i="4"/>
  <c r="F92" i="4"/>
  <c r="G92" i="4"/>
  <c r="H92" i="4"/>
  <c r="F81" i="4"/>
  <c r="G81" i="4"/>
  <c r="H81" i="4"/>
  <c r="F70" i="4"/>
  <c r="G70" i="4"/>
  <c r="H70" i="4"/>
  <c r="F59" i="4"/>
  <c r="G59" i="4"/>
  <c r="H59" i="4"/>
  <c r="F48" i="4"/>
  <c r="G48" i="4"/>
  <c r="H48" i="4"/>
  <c r="F37" i="4"/>
  <c r="G37" i="4"/>
  <c r="H37" i="4"/>
  <c r="F26" i="4"/>
  <c r="G26" i="4"/>
  <c r="H26" i="4"/>
  <c r="F15" i="4"/>
  <c r="G15" i="4"/>
  <c r="H15" i="4"/>
  <c r="B147" i="4"/>
  <c r="B136" i="4"/>
  <c r="B125" i="4"/>
  <c r="B114" i="4"/>
  <c r="B103" i="4"/>
  <c r="B92" i="4"/>
  <c r="B81" i="4"/>
  <c r="B70" i="4"/>
  <c r="B59" i="4"/>
  <c r="B48" i="4"/>
  <c r="B37" i="4"/>
  <c r="B26" i="4"/>
  <c r="B15" i="4"/>
  <c r="G147" i="5"/>
  <c r="H147" i="5" s="1"/>
  <c r="G114" i="5"/>
  <c r="H114" i="5" s="1"/>
  <c r="B147" i="5"/>
  <c r="B136" i="5"/>
  <c r="B125" i="5"/>
  <c r="B114" i="5"/>
  <c r="B103" i="5"/>
  <c r="B92" i="5"/>
  <c r="B81" i="5"/>
  <c r="B70" i="5"/>
  <c r="B59" i="5"/>
  <c r="B48" i="5"/>
  <c r="B37" i="5"/>
  <c r="B26" i="5"/>
  <c r="B15" i="5"/>
  <c r="F146" i="3"/>
  <c r="G146" i="3"/>
  <c r="F135" i="3"/>
  <c r="G135" i="3"/>
  <c r="F113" i="3"/>
  <c r="G113" i="3"/>
  <c r="F102" i="3"/>
  <c r="G102" i="3"/>
  <c r="F91" i="3"/>
  <c r="G91" i="3"/>
  <c r="F80" i="3"/>
  <c r="G80" i="3"/>
  <c r="F69" i="3"/>
  <c r="G69" i="3"/>
  <c r="F58" i="3"/>
  <c r="G58" i="3"/>
  <c r="F47" i="3"/>
  <c r="G47" i="3"/>
  <c r="F36" i="3"/>
  <c r="G36" i="3"/>
  <c r="F25" i="3"/>
  <c r="G25" i="3"/>
  <c r="F14" i="3"/>
  <c r="G14" i="3"/>
  <c r="B146" i="3"/>
  <c r="B135" i="3"/>
  <c r="B124" i="3"/>
  <c r="B113" i="3"/>
  <c r="B102" i="3"/>
  <c r="B91" i="3"/>
  <c r="B80" i="3"/>
  <c r="B69" i="3"/>
  <c r="B58" i="3"/>
  <c r="B47" i="3"/>
  <c r="B36" i="3"/>
  <c r="B25" i="3"/>
  <c r="B14" i="3"/>
  <c r="E34" i="2"/>
  <c r="E33" i="2"/>
  <c r="N36" i="2"/>
  <c r="M36" i="2"/>
  <c r="L36" i="2"/>
  <c r="K36" i="2"/>
  <c r="J36" i="2"/>
  <c r="I36" i="2"/>
  <c r="H36" i="2"/>
  <c r="G36" i="2"/>
  <c r="F36" i="2"/>
  <c r="O36" i="2" s="1"/>
  <c r="E36" i="2"/>
  <c r="D36" i="2"/>
  <c r="C36" i="2"/>
  <c r="B36" i="2"/>
  <c r="N15" i="2"/>
  <c r="M15" i="2"/>
  <c r="L15" i="2"/>
  <c r="K15" i="2"/>
  <c r="J15" i="2"/>
  <c r="I15" i="2"/>
  <c r="H15" i="2"/>
  <c r="G15" i="2"/>
  <c r="O15" i="2" s="1"/>
  <c r="F15" i="2"/>
  <c r="E15" i="2"/>
  <c r="D15" i="2"/>
  <c r="C15" i="2"/>
  <c r="B15" i="2"/>
  <c r="A36" i="2"/>
  <c r="A15" i="2"/>
  <c r="F42" i="1"/>
  <c r="J42" i="1" s="1"/>
  <c r="F79" i="1"/>
  <c r="J79" i="1" s="1"/>
  <c r="F75" i="1"/>
  <c r="H75" i="1" s="1"/>
  <c r="G89" i="1"/>
  <c r="M146" i="1"/>
  <c r="I146" i="1"/>
  <c r="G146" i="1"/>
  <c r="F146" i="1"/>
  <c r="J146" i="1" s="1"/>
  <c r="E146" i="1"/>
  <c r="M135" i="1"/>
  <c r="I135" i="1"/>
  <c r="G135" i="1"/>
  <c r="F135" i="1"/>
  <c r="H135" i="1" s="1"/>
  <c r="E135" i="1"/>
  <c r="M124" i="1"/>
  <c r="I124" i="1"/>
  <c r="G124" i="1"/>
  <c r="F124" i="1"/>
  <c r="J124" i="1" s="1"/>
  <c r="E124" i="1"/>
  <c r="M113" i="1"/>
  <c r="I113" i="1"/>
  <c r="G113" i="1"/>
  <c r="F113" i="1"/>
  <c r="H113" i="1" s="1"/>
  <c r="E113" i="1"/>
  <c r="M102" i="1"/>
  <c r="I102" i="1"/>
  <c r="G102" i="1"/>
  <c r="F102" i="1"/>
  <c r="J102" i="1"/>
  <c r="E102" i="1"/>
  <c r="M91" i="1"/>
  <c r="I91" i="1"/>
  <c r="G91" i="1"/>
  <c r="F91" i="1"/>
  <c r="J91" i="1"/>
  <c r="E91" i="1"/>
  <c r="M80" i="1"/>
  <c r="I80" i="1"/>
  <c r="G80" i="1"/>
  <c r="F80" i="1"/>
  <c r="E80" i="1"/>
  <c r="M69" i="1"/>
  <c r="I69" i="1"/>
  <c r="G69" i="1"/>
  <c r="F69" i="1"/>
  <c r="J69" i="1" s="1"/>
  <c r="E69" i="1"/>
  <c r="M58" i="1"/>
  <c r="I58" i="1"/>
  <c r="G58" i="1"/>
  <c r="F58" i="1"/>
  <c r="E58" i="1"/>
  <c r="M47" i="1"/>
  <c r="I47" i="1"/>
  <c r="G47" i="1"/>
  <c r="F47" i="1"/>
  <c r="J47" i="1"/>
  <c r="E47" i="1"/>
  <c r="M36" i="1"/>
  <c r="I36" i="1"/>
  <c r="G36" i="1"/>
  <c r="F36" i="1"/>
  <c r="J36" i="1" s="1"/>
  <c r="E36" i="1"/>
  <c r="M25" i="1"/>
  <c r="I25" i="1"/>
  <c r="G25" i="1"/>
  <c r="F25" i="1"/>
  <c r="J25" i="1"/>
  <c r="E25" i="1"/>
  <c r="M14" i="1"/>
  <c r="I14" i="1"/>
  <c r="G14" i="1"/>
  <c r="F14" i="1"/>
  <c r="J14" i="1" s="1"/>
  <c r="E14" i="1"/>
  <c r="B146" i="1"/>
  <c r="B135" i="1"/>
  <c r="B124" i="1"/>
  <c r="B113" i="1"/>
  <c r="B102" i="1"/>
  <c r="B91" i="1"/>
  <c r="B80" i="1"/>
  <c r="B69" i="1"/>
  <c r="B58" i="1"/>
  <c r="B47" i="1"/>
  <c r="B36" i="1"/>
  <c r="B25" i="1"/>
  <c r="B14" i="1"/>
  <c r="F146" i="4"/>
  <c r="G146" i="4"/>
  <c r="H146" i="4" s="1"/>
  <c r="F135" i="4"/>
  <c r="G135" i="4"/>
  <c r="H135" i="4"/>
  <c r="F124" i="4"/>
  <c r="G124" i="4"/>
  <c r="H124" i="4"/>
  <c r="F113" i="4"/>
  <c r="G113" i="4"/>
  <c r="H113" i="4"/>
  <c r="F102" i="4"/>
  <c r="G102" i="4"/>
  <c r="H102" i="4" s="1"/>
  <c r="F91" i="4"/>
  <c r="G91" i="4"/>
  <c r="H91" i="4"/>
  <c r="F80" i="4"/>
  <c r="G80" i="4"/>
  <c r="H80" i="4"/>
  <c r="F69" i="4"/>
  <c r="G69" i="4"/>
  <c r="H69" i="4"/>
  <c r="F58" i="4"/>
  <c r="G58" i="4"/>
  <c r="H58" i="4" s="1"/>
  <c r="F47" i="4"/>
  <c r="G47" i="4"/>
  <c r="H47" i="4"/>
  <c r="F36" i="4"/>
  <c r="G36" i="4"/>
  <c r="H36" i="4"/>
  <c r="F25" i="4"/>
  <c r="G25" i="4"/>
  <c r="H25" i="4"/>
  <c r="F14" i="4"/>
  <c r="G14" i="4"/>
  <c r="H14" i="4" s="1"/>
  <c r="B146" i="4"/>
  <c r="B135" i="4"/>
  <c r="B124" i="4"/>
  <c r="B113" i="4"/>
  <c r="B102" i="4"/>
  <c r="B91" i="4"/>
  <c r="B80" i="4"/>
  <c r="B69" i="4"/>
  <c r="B58" i="4"/>
  <c r="B47" i="4"/>
  <c r="B36" i="4"/>
  <c r="B25" i="4"/>
  <c r="B14" i="4"/>
  <c r="G146" i="5"/>
  <c r="H146" i="5"/>
  <c r="F135" i="5"/>
  <c r="G113" i="5"/>
  <c r="H113" i="5"/>
  <c r="B146" i="5"/>
  <c r="B135" i="5"/>
  <c r="B124" i="5"/>
  <c r="B113" i="5"/>
  <c r="B102" i="5"/>
  <c r="B91" i="5"/>
  <c r="B80" i="5"/>
  <c r="B69" i="5"/>
  <c r="B58" i="5"/>
  <c r="B47" i="5"/>
  <c r="B36" i="5"/>
  <c r="B25" i="5"/>
  <c r="B14" i="5"/>
  <c r="F145" i="3"/>
  <c r="G145" i="3"/>
  <c r="F134" i="3"/>
  <c r="G134" i="3"/>
  <c r="F112" i="3"/>
  <c r="G112" i="3"/>
  <c r="F101" i="3"/>
  <c r="G101" i="3"/>
  <c r="F90" i="3"/>
  <c r="G90" i="3"/>
  <c r="F79" i="3"/>
  <c r="G79" i="3"/>
  <c r="F68" i="3"/>
  <c r="G68" i="3"/>
  <c r="F57" i="3"/>
  <c r="G57" i="3"/>
  <c r="F46" i="3"/>
  <c r="G46" i="3"/>
  <c r="F35" i="3"/>
  <c r="G35" i="3"/>
  <c r="F24" i="3"/>
  <c r="G24" i="3"/>
  <c r="F13" i="3"/>
  <c r="G13" i="3"/>
  <c r="B145" i="3"/>
  <c r="B134" i="3"/>
  <c r="B123" i="3"/>
  <c r="B112" i="3"/>
  <c r="B101" i="3"/>
  <c r="B90" i="3"/>
  <c r="B79" i="3"/>
  <c r="B68" i="3"/>
  <c r="B57" i="3"/>
  <c r="B46" i="3"/>
  <c r="B35" i="3"/>
  <c r="B24" i="3"/>
  <c r="B13" i="3"/>
  <c r="N35" i="2"/>
  <c r="M35" i="2"/>
  <c r="L35" i="2"/>
  <c r="K35" i="2"/>
  <c r="J35" i="2"/>
  <c r="I35" i="2"/>
  <c r="H35" i="2"/>
  <c r="H44" i="2" s="1"/>
  <c r="G35" i="2"/>
  <c r="F35" i="2"/>
  <c r="E35" i="2"/>
  <c r="D35" i="2"/>
  <c r="C35" i="2"/>
  <c r="B35" i="2"/>
  <c r="N14" i="2"/>
  <c r="M14" i="2"/>
  <c r="L14" i="2"/>
  <c r="K14" i="2"/>
  <c r="J14" i="2"/>
  <c r="I14" i="2"/>
  <c r="O14" i="2" s="1"/>
  <c r="H14" i="2"/>
  <c r="G14" i="2"/>
  <c r="F14" i="2"/>
  <c r="E14" i="2"/>
  <c r="D14" i="2"/>
  <c r="C14" i="2"/>
  <c r="B14" i="2"/>
  <c r="A35" i="2"/>
  <c r="A14" i="2"/>
  <c r="F111" i="1"/>
  <c r="J111" i="1" s="1"/>
  <c r="M145" i="1"/>
  <c r="I145" i="1"/>
  <c r="G145" i="1"/>
  <c r="F145" i="1"/>
  <c r="J145" i="1" s="1"/>
  <c r="E145" i="1"/>
  <c r="M134" i="1"/>
  <c r="I134" i="1"/>
  <c r="G134" i="1"/>
  <c r="F134" i="1"/>
  <c r="J134" i="1"/>
  <c r="E134" i="1"/>
  <c r="M123" i="1"/>
  <c r="I123" i="1"/>
  <c r="G123" i="1"/>
  <c r="F123" i="1"/>
  <c r="J123" i="1" s="1"/>
  <c r="E123" i="1"/>
  <c r="M112" i="1"/>
  <c r="I112" i="1"/>
  <c r="G112" i="1"/>
  <c r="F112" i="1"/>
  <c r="E112" i="1"/>
  <c r="M101" i="1"/>
  <c r="I101" i="1"/>
  <c r="G101" i="1"/>
  <c r="F101" i="1"/>
  <c r="E101" i="1"/>
  <c r="M90" i="1"/>
  <c r="I90" i="1"/>
  <c r="G90" i="1"/>
  <c r="F90" i="1"/>
  <c r="H90" i="1" s="1"/>
  <c r="E90" i="1"/>
  <c r="M79" i="1"/>
  <c r="I79" i="1"/>
  <c r="G79" i="1"/>
  <c r="E79" i="1"/>
  <c r="M68" i="1"/>
  <c r="I68" i="1"/>
  <c r="G68" i="1"/>
  <c r="F68" i="1"/>
  <c r="E68" i="1"/>
  <c r="M57" i="1"/>
  <c r="I57" i="1"/>
  <c r="G57" i="1"/>
  <c r="F57" i="1"/>
  <c r="E57" i="1"/>
  <c r="M46" i="1"/>
  <c r="I46" i="1"/>
  <c r="G46" i="1"/>
  <c r="F46" i="1"/>
  <c r="J46" i="1" s="1"/>
  <c r="E46" i="1"/>
  <c r="M35" i="1"/>
  <c r="I35" i="1"/>
  <c r="G35" i="1"/>
  <c r="F35" i="1"/>
  <c r="E35" i="1"/>
  <c r="M24" i="1"/>
  <c r="I24" i="1"/>
  <c r="G24" i="1"/>
  <c r="F24" i="1"/>
  <c r="E24" i="1"/>
  <c r="M13" i="1"/>
  <c r="I13" i="1"/>
  <c r="G13" i="1"/>
  <c r="F13" i="1"/>
  <c r="J13" i="1" s="1"/>
  <c r="E13" i="1"/>
  <c r="B145" i="1"/>
  <c r="B134" i="1"/>
  <c r="B123" i="1"/>
  <c r="B112" i="1"/>
  <c r="B101" i="1"/>
  <c r="B90" i="1"/>
  <c r="B79" i="1"/>
  <c r="B68" i="1"/>
  <c r="B57" i="1"/>
  <c r="B46" i="1"/>
  <c r="B35" i="1"/>
  <c r="B24" i="1"/>
  <c r="B13" i="1"/>
  <c r="F145" i="4"/>
  <c r="G145" i="4"/>
  <c r="H145" i="4"/>
  <c r="F134" i="4"/>
  <c r="G134" i="4"/>
  <c r="H134" i="4"/>
  <c r="F123" i="4"/>
  <c r="G123" i="4"/>
  <c r="H123" i="4" s="1"/>
  <c r="F112" i="4"/>
  <c r="G112" i="4"/>
  <c r="H112" i="4" s="1"/>
  <c r="F101" i="4"/>
  <c r="G101" i="4"/>
  <c r="H101" i="4"/>
  <c r="F90" i="4"/>
  <c r="G90" i="4"/>
  <c r="H90" i="4"/>
  <c r="F79" i="4"/>
  <c r="G79" i="4"/>
  <c r="H79" i="4" s="1"/>
  <c r="F68" i="4"/>
  <c r="G68" i="4"/>
  <c r="H68" i="4" s="1"/>
  <c r="F57" i="4"/>
  <c r="G57" i="4"/>
  <c r="H57" i="4"/>
  <c r="F46" i="4"/>
  <c r="G46" i="4"/>
  <c r="H46" i="4"/>
  <c r="F35" i="4"/>
  <c r="G35" i="4"/>
  <c r="H35" i="4" s="1"/>
  <c r="G13" i="4"/>
  <c r="H13" i="4"/>
  <c r="F13" i="4"/>
  <c r="F24" i="4"/>
  <c r="G24" i="4"/>
  <c r="H24" i="4"/>
  <c r="B145" i="4"/>
  <c r="B134" i="4"/>
  <c r="B123" i="4"/>
  <c r="B112" i="4"/>
  <c r="B101" i="4"/>
  <c r="B90" i="4"/>
  <c r="B79" i="4"/>
  <c r="B68" i="4"/>
  <c r="B57" i="4"/>
  <c r="B46" i="4"/>
  <c r="B35" i="4"/>
  <c r="B24" i="4"/>
  <c r="B13" i="4"/>
  <c r="G145" i="5"/>
  <c r="H145" i="5"/>
  <c r="F134" i="5"/>
  <c r="G112" i="5"/>
  <c r="H112" i="5" s="1"/>
  <c r="B145" i="5"/>
  <c r="B134" i="5"/>
  <c r="B123" i="5"/>
  <c r="B112" i="5"/>
  <c r="B101" i="5"/>
  <c r="B90" i="5"/>
  <c r="B79" i="5"/>
  <c r="B68" i="5"/>
  <c r="B57" i="5"/>
  <c r="B46" i="5"/>
  <c r="B35" i="5"/>
  <c r="B24" i="5"/>
  <c r="B13" i="5"/>
  <c r="F144" i="3"/>
  <c r="G144" i="3"/>
  <c r="G133" i="3"/>
  <c r="F133" i="3"/>
  <c r="F111" i="3"/>
  <c r="G111" i="3"/>
  <c r="F100" i="3"/>
  <c r="G100" i="3"/>
  <c r="F89" i="3"/>
  <c r="G89" i="3"/>
  <c r="F78" i="3"/>
  <c r="G78" i="3"/>
  <c r="F67" i="3"/>
  <c r="G67" i="3"/>
  <c r="F56" i="3"/>
  <c r="G56" i="3"/>
  <c r="F45" i="3"/>
  <c r="G45" i="3"/>
  <c r="F34" i="3"/>
  <c r="G34" i="3"/>
  <c r="G12" i="3"/>
  <c r="F12" i="3"/>
  <c r="F23" i="3"/>
  <c r="G23" i="3"/>
  <c r="B144" i="3"/>
  <c r="B133" i="3"/>
  <c r="B122" i="3"/>
  <c r="B111" i="3"/>
  <c r="B100" i="3"/>
  <c r="B89" i="3"/>
  <c r="B78" i="3"/>
  <c r="B67" i="3"/>
  <c r="B56" i="3"/>
  <c r="B45" i="3"/>
  <c r="B34" i="3"/>
  <c r="B23" i="3"/>
  <c r="B12" i="3"/>
  <c r="N34" i="2"/>
  <c r="M34" i="2"/>
  <c r="O34" i="2" s="1"/>
  <c r="L34" i="2"/>
  <c r="K34" i="2"/>
  <c r="J34" i="2"/>
  <c r="I34" i="2"/>
  <c r="H34" i="2"/>
  <c r="G34" i="2"/>
  <c r="F34" i="2"/>
  <c r="D34" i="2"/>
  <c r="C34" i="2"/>
  <c r="B34" i="2"/>
  <c r="A3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O13" i="2" s="1"/>
  <c r="A13" i="2"/>
  <c r="F11" i="1"/>
  <c r="J11" i="1"/>
  <c r="F43" i="1"/>
  <c r="J43" i="1"/>
  <c r="M144" i="1"/>
  <c r="I144" i="1"/>
  <c r="G144" i="1"/>
  <c r="F144" i="1"/>
  <c r="E144" i="1"/>
  <c r="M133" i="1"/>
  <c r="I133" i="1"/>
  <c r="G133" i="1"/>
  <c r="F133" i="1"/>
  <c r="J133" i="1"/>
  <c r="E133" i="1"/>
  <c r="M122" i="1"/>
  <c r="I122" i="1"/>
  <c r="G122" i="1"/>
  <c r="F122" i="1"/>
  <c r="J122" i="1" s="1"/>
  <c r="E122" i="1"/>
  <c r="M111" i="1"/>
  <c r="I111" i="1"/>
  <c r="G111" i="1"/>
  <c r="E111" i="1"/>
  <c r="M100" i="1"/>
  <c r="I100" i="1"/>
  <c r="G100" i="1"/>
  <c r="F100" i="1"/>
  <c r="J100" i="1" s="1"/>
  <c r="E100" i="1"/>
  <c r="M89" i="1"/>
  <c r="I89" i="1"/>
  <c r="F89" i="1"/>
  <c r="J89" i="1"/>
  <c r="E89" i="1"/>
  <c r="M78" i="1"/>
  <c r="I78" i="1"/>
  <c r="G78" i="1"/>
  <c r="F78" i="1"/>
  <c r="J78" i="1"/>
  <c r="E78" i="1"/>
  <c r="M67" i="1"/>
  <c r="I67" i="1"/>
  <c r="G67" i="1"/>
  <c r="F67" i="1"/>
  <c r="E67" i="1"/>
  <c r="M56" i="1"/>
  <c r="I56" i="1"/>
  <c r="G56" i="1"/>
  <c r="F56" i="1"/>
  <c r="J56" i="1"/>
  <c r="E56" i="1"/>
  <c r="M45" i="1"/>
  <c r="I45" i="1"/>
  <c r="G45" i="1"/>
  <c r="F45" i="1"/>
  <c r="E45" i="1"/>
  <c r="M34" i="1"/>
  <c r="I34" i="1"/>
  <c r="G34" i="1"/>
  <c r="F34" i="1"/>
  <c r="J34" i="1" s="1"/>
  <c r="E34" i="1"/>
  <c r="M23" i="1"/>
  <c r="I23" i="1"/>
  <c r="G23" i="1"/>
  <c r="F23" i="1"/>
  <c r="E23" i="1"/>
  <c r="M12" i="1"/>
  <c r="I12" i="1"/>
  <c r="E12" i="1"/>
  <c r="G12" i="1"/>
  <c r="F12" i="1"/>
  <c r="J12" i="1" s="1"/>
  <c r="B144" i="1"/>
  <c r="B133" i="1"/>
  <c r="B122" i="1"/>
  <c r="B111" i="1"/>
  <c r="B100" i="1"/>
  <c r="B89" i="1"/>
  <c r="B78" i="1"/>
  <c r="B67" i="1"/>
  <c r="B56" i="1"/>
  <c r="B45" i="1"/>
  <c r="B34" i="1"/>
  <c r="B23" i="1"/>
  <c r="B12" i="1"/>
  <c r="B11" i="1"/>
  <c r="G144" i="4"/>
  <c r="H144" i="4" s="1"/>
  <c r="F144" i="4"/>
  <c r="G133" i="4"/>
  <c r="H133" i="4" s="1"/>
  <c r="F133" i="4"/>
  <c r="G122" i="4"/>
  <c r="H122" i="4"/>
  <c r="F122" i="4"/>
  <c r="G111" i="4"/>
  <c r="H111" i="4"/>
  <c r="F111" i="4"/>
  <c r="G100" i="4"/>
  <c r="H100" i="4" s="1"/>
  <c r="F100" i="4"/>
  <c r="G89" i="4"/>
  <c r="H89" i="4" s="1"/>
  <c r="F89" i="4"/>
  <c r="G78" i="4"/>
  <c r="H78" i="4"/>
  <c r="F78" i="4"/>
  <c r="G67" i="4"/>
  <c r="H67" i="4"/>
  <c r="F67" i="4"/>
  <c r="G56" i="4"/>
  <c r="H56" i="4" s="1"/>
  <c r="F56" i="4"/>
  <c r="G45" i="4"/>
  <c r="H45" i="4" s="1"/>
  <c r="F45" i="4"/>
  <c r="G34" i="4"/>
  <c r="H34" i="4"/>
  <c r="F34" i="4"/>
  <c r="G23" i="4"/>
  <c r="H23" i="4"/>
  <c r="F23" i="4"/>
  <c r="G12" i="4"/>
  <c r="H12" i="4" s="1"/>
  <c r="F12" i="4"/>
  <c r="M44" i="1"/>
  <c r="B144" i="4"/>
  <c r="B133" i="4"/>
  <c r="B122" i="4"/>
  <c r="B111" i="4"/>
  <c r="B100" i="4"/>
  <c r="B89" i="4"/>
  <c r="B78" i="4"/>
  <c r="B67" i="4"/>
  <c r="B56" i="4"/>
  <c r="B45" i="4"/>
  <c r="B34" i="4"/>
  <c r="B23" i="4"/>
  <c r="B12" i="4"/>
  <c r="F133" i="5"/>
  <c r="G111" i="5"/>
  <c r="H111" i="5"/>
  <c r="B144" i="5"/>
  <c r="B133" i="5"/>
  <c r="B122" i="5"/>
  <c r="B111" i="5"/>
  <c r="B100" i="5"/>
  <c r="B89" i="5"/>
  <c r="B78" i="5"/>
  <c r="B67" i="5"/>
  <c r="B56" i="5"/>
  <c r="B45" i="5"/>
  <c r="B34" i="5"/>
  <c r="B23" i="5"/>
  <c r="B12" i="5"/>
  <c r="G143" i="3"/>
  <c r="F143" i="3"/>
  <c r="G132" i="3"/>
  <c r="F132" i="3"/>
  <c r="G110" i="3"/>
  <c r="F110" i="3"/>
  <c r="G99" i="3"/>
  <c r="F99" i="3"/>
  <c r="G88" i="3"/>
  <c r="F88" i="3"/>
  <c r="G77" i="3"/>
  <c r="F77" i="3"/>
  <c r="G66" i="3"/>
  <c r="F66" i="3"/>
  <c r="G55" i="3"/>
  <c r="F55" i="3"/>
  <c r="G44" i="3"/>
  <c r="F44" i="3"/>
  <c r="G33" i="3"/>
  <c r="F33" i="3"/>
  <c r="G22" i="3"/>
  <c r="F22" i="3"/>
  <c r="G11" i="3"/>
  <c r="F11" i="3"/>
  <c r="B143" i="3"/>
  <c r="B132" i="3"/>
  <c r="B121" i="3"/>
  <c r="B110" i="3"/>
  <c r="B99" i="3"/>
  <c r="B88" i="3"/>
  <c r="B77" i="3"/>
  <c r="B66" i="3"/>
  <c r="B55" i="3"/>
  <c r="B44" i="3"/>
  <c r="B33" i="3"/>
  <c r="B22" i="3"/>
  <c r="B11" i="3"/>
  <c r="N33" i="2"/>
  <c r="M33" i="2"/>
  <c r="L33" i="2"/>
  <c r="K33" i="2"/>
  <c r="J33" i="2"/>
  <c r="I33" i="2"/>
  <c r="H33" i="2"/>
  <c r="G33" i="2"/>
  <c r="F33" i="2"/>
  <c r="D33" i="2"/>
  <c r="C33" i="2"/>
  <c r="O33" i="2" s="1"/>
  <c r="B3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33" i="2"/>
  <c r="A12" i="2"/>
  <c r="M143" i="1"/>
  <c r="I143" i="1"/>
  <c r="E143" i="1"/>
  <c r="G143" i="1"/>
  <c r="F143" i="1"/>
  <c r="H143" i="1" s="1"/>
  <c r="M132" i="1"/>
  <c r="I132" i="1"/>
  <c r="E132" i="1"/>
  <c r="G132" i="1"/>
  <c r="F132" i="1"/>
  <c r="J132" i="1"/>
  <c r="M121" i="1"/>
  <c r="I121" i="1"/>
  <c r="E121" i="1"/>
  <c r="G121" i="1"/>
  <c r="H121" i="1" s="1"/>
  <c r="F121" i="1"/>
  <c r="M110" i="1"/>
  <c r="I110" i="1"/>
  <c r="E110" i="1"/>
  <c r="G110" i="1"/>
  <c r="F110" i="1"/>
  <c r="M99" i="1"/>
  <c r="I99" i="1"/>
  <c r="E99" i="1"/>
  <c r="G99" i="1"/>
  <c r="F99" i="1"/>
  <c r="M88" i="1"/>
  <c r="I88" i="1"/>
  <c r="E88" i="1"/>
  <c r="G88" i="1"/>
  <c r="F88" i="1"/>
  <c r="M77" i="1"/>
  <c r="I77" i="1"/>
  <c r="E77" i="1"/>
  <c r="G77" i="1"/>
  <c r="H77" i="1" s="1"/>
  <c r="F77" i="1"/>
  <c r="M66" i="1"/>
  <c r="I66" i="1"/>
  <c r="E66" i="1"/>
  <c r="G66" i="1"/>
  <c r="F66" i="1"/>
  <c r="H66" i="1" s="1"/>
  <c r="M55" i="1"/>
  <c r="I55" i="1"/>
  <c r="E55" i="1"/>
  <c r="G55" i="1"/>
  <c r="F55" i="1"/>
  <c r="H55" i="1" s="1"/>
  <c r="E44" i="1"/>
  <c r="G44" i="1"/>
  <c r="F44" i="1"/>
  <c r="J44" i="1" s="1"/>
  <c r="M33" i="1"/>
  <c r="I33" i="1"/>
  <c r="E33" i="1"/>
  <c r="G33" i="1"/>
  <c r="F33" i="1"/>
  <c r="J33" i="1" s="1"/>
  <c r="M22" i="1"/>
  <c r="I22" i="1"/>
  <c r="E22" i="1"/>
  <c r="G22" i="1"/>
  <c r="F22" i="1"/>
  <c r="J22" i="1"/>
  <c r="M11" i="1"/>
  <c r="I11" i="1"/>
  <c r="E11" i="1"/>
  <c r="G11" i="1"/>
  <c r="B143" i="1"/>
  <c r="B132" i="1"/>
  <c r="B121" i="1"/>
  <c r="B110" i="1"/>
  <c r="B99" i="1"/>
  <c r="B88" i="1"/>
  <c r="B77" i="1"/>
  <c r="B66" i="1"/>
  <c r="B55" i="1"/>
  <c r="B44" i="1"/>
  <c r="B33" i="1"/>
  <c r="B22" i="1"/>
  <c r="G22" i="4"/>
  <c r="H22" i="4" s="1"/>
  <c r="F22" i="4"/>
  <c r="G11" i="4"/>
  <c r="H11" i="4" s="1"/>
  <c r="F11" i="4"/>
  <c r="G77" i="4"/>
  <c r="H77" i="4"/>
  <c r="F77" i="4"/>
  <c r="G66" i="4"/>
  <c r="H66" i="4" s="1"/>
  <c r="F66" i="4"/>
  <c r="G55" i="4"/>
  <c r="H55" i="4" s="1"/>
  <c r="F55" i="4"/>
  <c r="G44" i="4"/>
  <c r="H44" i="4" s="1"/>
  <c r="F44" i="4"/>
  <c r="G33" i="4"/>
  <c r="H33" i="4"/>
  <c r="F33" i="4"/>
  <c r="G143" i="4"/>
  <c r="H143" i="4" s="1"/>
  <c r="F143" i="4"/>
  <c r="G132" i="4"/>
  <c r="H132" i="4" s="1"/>
  <c r="F132" i="4"/>
  <c r="G121" i="4"/>
  <c r="H121" i="4" s="1"/>
  <c r="F121" i="4"/>
  <c r="G110" i="4"/>
  <c r="H110" i="4"/>
  <c r="F110" i="4"/>
  <c r="G99" i="4"/>
  <c r="H99" i="4" s="1"/>
  <c r="F99" i="4"/>
  <c r="G88" i="4"/>
  <c r="H88" i="4" s="1"/>
  <c r="F88" i="4"/>
  <c r="B143" i="4"/>
  <c r="B132" i="4"/>
  <c r="B121" i="4"/>
  <c r="B110" i="4"/>
  <c r="B99" i="4"/>
  <c r="B88" i="4"/>
  <c r="B77" i="4"/>
  <c r="B66" i="4"/>
  <c r="B55" i="4"/>
  <c r="B44" i="4"/>
  <c r="B33" i="4"/>
  <c r="B22" i="4"/>
  <c r="B11" i="4"/>
  <c r="F132" i="5"/>
  <c r="G110" i="5"/>
  <c r="H110" i="5" s="1"/>
  <c r="B143" i="5"/>
  <c r="B132" i="5"/>
  <c r="B121" i="5"/>
  <c r="B110" i="5"/>
  <c r="B99" i="5"/>
  <c r="B88" i="5"/>
  <c r="B77" i="5"/>
  <c r="B66" i="5"/>
  <c r="B55" i="5"/>
  <c r="B44" i="5"/>
  <c r="B33" i="5"/>
  <c r="B22" i="5"/>
  <c r="B11" i="5"/>
  <c r="G43" i="3"/>
  <c r="F43" i="3"/>
  <c r="G32" i="3"/>
  <c r="F32" i="3"/>
  <c r="G21" i="3"/>
  <c r="F21" i="3"/>
  <c r="G10" i="3"/>
  <c r="F10" i="3"/>
  <c r="G76" i="3"/>
  <c r="F76" i="3"/>
  <c r="G65" i="3"/>
  <c r="F65" i="3"/>
  <c r="G54" i="3"/>
  <c r="F54" i="3"/>
  <c r="G87" i="3"/>
  <c r="F87" i="3"/>
  <c r="G98" i="3"/>
  <c r="F98" i="3"/>
  <c r="G109" i="3"/>
  <c r="F109" i="3"/>
  <c r="F120" i="3"/>
  <c r="G131" i="3"/>
  <c r="F131" i="3"/>
  <c r="G142" i="3"/>
  <c r="F142" i="3"/>
  <c r="B142" i="3"/>
  <c r="B131" i="3"/>
  <c r="B120" i="3"/>
  <c r="B109" i="3"/>
  <c r="B98" i="3"/>
  <c r="B87" i="3"/>
  <c r="B76" i="3"/>
  <c r="B65" i="3"/>
  <c r="B54" i="3"/>
  <c r="B43" i="3"/>
  <c r="B32" i="3"/>
  <c r="B21" i="3"/>
  <c r="B10" i="3"/>
  <c r="N32" i="2"/>
  <c r="M32" i="2"/>
  <c r="M44" i="2" s="1"/>
  <c r="L32" i="2"/>
  <c r="K32" i="2"/>
  <c r="J32" i="2"/>
  <c r="I32" i="2"/>
  <c r="I44" i="2" s="1"/>
  <c r="H32" i="2"/>
  <c r="G32" i="2"/>
  <c r="F32" i="2"/>
  <c r="E32" i="2"/>
  <c r="D32" i="2"/>
  <c r="C32" i="2"/>
  <c r="C44" i="2" s="1"/>
  <c r="B32" i="2"/>
  <c r="N11" i="2"/>
  <c r="M11" i="2"/>
  <c r="L11" i="2"/>
  <c r="K11" i="2"/>
  <c r="J11" i="2"/>
  <c r="I11" i="2"/>
  <c r="H11" i="2"/>
  <c r="G11" i="2"/>
  <c r="F11" i="2"/>
  <c r="E11" i="2"/>
  <c r="D11" i="2"/>
  <c r="D23" i="2" s="1"/>
  <c r="C11" i="2"/>
  <c r="B11" i="2"/>
  <c r="O11" i="2" s="1"/>
  <c r="A32" i="2"/>
  <c r="A11" i="2"/>
  <c r="F20" i="1"/>
  <c r="F31" i="1"/>
  <c r="J31" i="1" s="1"/>
  <c r="F97" i="1"/>
  <c r="J97" i="1" s="1"/>
  <c r="M142" i="1"/>
  <c r="I142" i="1"/>
  <c r="E142" i="1"/>
  <c r="G142" i="1"/>
  <c r="F142" i="1"/>
  <c r="F150" i="1" s="1"/>
  <c r="J142" i="1"/>
  <c r="M131" i="1"/>
  <c r="I131" i="1"/>
  <c r="E131" i="1"/>
  <c r="G131" i="1"/>
  <c r="F131" i="1"/>
  <c r="M120" i="1"/>
  <c r="I120" i="1"/>
  <c r="E120" i="1"/>
  <c r="G120" i="1"/>
  <c r="H120" i="1" s="1"/>
  <c r="F120" i="1"/>
  <c r="J120" i="1"/>
  <c r="M109" i="1"/>
  <c r="I109" i="1"/>
  <c r="E109" i="1"/>
  <c r="G109" i="1"/>
  <c r="H109" i="1" s="1"/>
  <c r="F109" i="1"/>
  <c r="J109" i="1" s="1"/>
  <c r="M98" i="1"/>
  <c r="I98" i="1"/>
  <c r="E98" i="1"/>
  <c r="G98" i="1"/>
  <c r="H98" i="1" s="1"/>
  <c r="F98" i="1"/>
  <c r="J98" i="1"/>
  <c r="M87" i="1"/>
  <c r="I87" i="1"/>
  <c r="E87" i="1"/>
  <c r="G87" i="1"/>
  <c r="F87" i="1"/>
  <c r="M76" i="1"/>
  <c r="I76" i="1"/>
  <c r="E76" i="1"/>
  <c r="G76" i="1"/>
  <c r="F76" i="1"/>
  <c r="H76" i="1" s="1"/>
  <c r="M65" i="1"/>
  <c r="I65" i="1"/>
  <c r="E65" i="1"/>
  <c r="F64" i="1"/>
  <c r="J64" i="1"/>
  <c r="G65" i="1"/>
  <c r="F65" i="1"/>
  <c r="J65" i="1" s="1"/>
  <c r="M54" i="1"/>
  <c r="I54" i="1"/>
  <c r="E54" i="1"/>
  <c r="G54" i="1"/>
  <c r="F54" i="1"/>
  <c r="J54" i="1"/>
  <c r="M43" i="1"/>
  <c r="I43" i="1"/>
  <c r="E43" i="1"/>
  <c r="G43" i="1"/>
  <c r="M32" i="1"/>
  <c r="I32" i="1"/>
  <c r="E32" i="1"/>
  <c r="G32" i="1"/>
  <c r="F32" i="1"/>
  <c r="H32" i="1" s="1"/>
  <c r="M21" i="1"/>
  <c r="I21" i="1"/>
  <c r="E21" i="1"/>
  <c r="G21" i="1"/>
  <c r="F21" i="1"/>
  <c r="J21" i="1" s="1"/>
  <c r="M10" i="1"/>
  <c r="I10" i="1"/>
  <c r="E10" i="1"/>
  <c r="G10" i="1"/>
  <c r="F10" i="1"/>
  <c r="F18" i="1" s="1"/>
  <c r="B142" i="1"/>
  <c r="B131" i="1"/>
  <c r="B120" i="1"/>
  <c r="B109" i="1"/>
  <c r="B98" i="1"/>
  <c r="B87" i="1"/>
  <c r="B76" i="1"/>
  <c r="B65" i="1"/>
  <c r="B54" i="1"/>
  <c r="B43" i="1"/>
  <c r="B32" i="1"/>
  <c r="B21" i="1"/>
  <c r="B10" i="1"/>
  <c r="B142" i="4"/>
  <c r="B131" i="4"/>
  <c r="B120" i="4"/>
  <c r="B109" i="4"/>
  <c r="B98" i="4"/>
  <c r="B87" i="4"/>
  <c r="B76" i="4"/>
  <c r="B65" i="4"/>
  <c r="B54" i="4"/>
  <c r="B43" i="4"/>
  <c r="B32" i="4"/>
  <c r="B21" i="4"/>
  <c r="B10" i="4"/>
  <c r="G109" i="5"/>
  <c r="H109" i="5" s="1"/>
  <c r="B142" i="5"/>
  <c r="B131" i="5"/>
  <c r="B120" i="5"/>
  <c r="B109" i="5"/>
  <c r="B98" i="5"/>
  <c r="B87" i="5"/>
  <c r="B76" i="5"/>
  <c r="B65" i="5"/>
  <c r="B54" i="5"/>
  <c r="B43" i="5"/>
  <c r="B32" i="5"/>
  <c r="B21" i="5"/>
  <c r="B10" i="5"/>
  <c r="B141" i="3"/>
  <c r="B130" i="3"/>
  <c r="B119" i="3"/>
  <c r="B108" i="3"/>
  <c r="B97" i="3"/>
  <c r="B86" i="3"/>
  <c r="B75" i="3"/>
  <c r="B64" i="3"/>
  <c r="B53" i="3"/>
  <c r="B42" i="3"/>
  <c r="B31" i="3"/>
  <c r="B20" i="3"/>
  <c r="B9" i="3"/>
  <c r="A31" i="2"/>
  <c r="A10" i="2"/>
  <c r="F141" i="1"/>
  <c r="J141" i="1"/>
  <c r="G141" i="1"/>
  <c r="F130" i="1"/>
  <c r="F139" i="1" s="1"/>
  <c r="G130" i="1"/>
  <c r="F119" i="1"/>
  <c r="F128" i="1" s="1"/>
  <c r="G119" i="1"/>
  <c r="F108" i="1"/>
  <c r="J108" i="1"/>
  <c r="G108" i="1"/>
  <c r="H108" i="1" s="1"/>
  <c r="G97" i="1"/>
  <c r="F86" i="1"/>
  <c r="J86" i="1"/>
  <c r="G86" i="1"/>
  <c r="G75" i="1"/>
  <c r="G84" i="1" s="1"/>
  <c r="G64" i="1"/>
  <c r="F53" i="1"/>
  <c r="F62" i="1" s="1"/>
  <c r="J53" i="1"/>
  <c r="G53" i="1"/>
  <c r="G42" i="1"/>
  <c r="G31" i="1"/>
  <c r="G40" i="1" s="1"/>
  <c r="G20" i="1"/>
  <c r="F9" i="1"/>
  <c r="J9" i="1" s="1"/>
  <c r="G9" i="1"/>
  <c r="G18" i="1" s="1"/>
  <c r="B141" i="1"/>
  <c r="B130" i="1"/>
  <c r="B119" i="1"/>
  <c r="B108" i="1"/>
  <c r="B97" i="1"/>
  <c r="B86" i="1"/>
  <c r="B75" i="1"/>
  <c r="B64" i="1"/>
  <c r="B53" i="1"/>
  <c r="B42" i="1"/>
  <c r="B31" i="1"/>
  <c r="B20" i="1"/>
  <c r="B9" i="1"/>
  <c r="F131" i="5"/>
  <c r="B10" i="2"/>
  <c r="E151" i="5"/>
  <c r="D151" i="5"/>
  <c r="D153" i="5" s="1"/>
  <c r="C151" i="5"/>
  <c r="E140" i="5"/>
  <c r="D140" i="5"/>
  <c r="C140" i="5"/>
  <c r="C153" i="5" s="1"/>
  <c r="E129" i="5"/>
  <c r="D129" i="5"/>
  <c r="C129" i="5"/>
  <c r="E118" i="5"/>
  <c r="D118" i="5"/>
  <c r="C118" i="5"/>
  <c r="E107" i="5"/>
  <c r="D107" i="5"/>
  <c r="C107" i="5"/>
  <c r="E96" i="5"/>
  <c r="D96" i="5"/>
  <c r="C96" i="5"/>
  <c r="E85" i="5"/>
  <c r="D85" i="5"/>
  <c r="C85" i="5"/>
  <c r="E74" i="5"/>
  <c r="D74" i="5"/>
  <c r="C74" i="5"/>
  <c r="E63" i="5"/>
  <c r="D63" i="5"/>
  <c r="C63" i="5"/>
  <c r="E52" i="5"/>
  <c r="D52" i="5"/>
  <c r="C52" i="5"/>
  <c r="E41" i="5"/>
  <c r="D41" i="5"/>
  <c r="C41" i="5"/>
  <c r="E30" i="5"/>
  <c r="D30" i="5"/>
  <c r="C30" i="5"/>
  <c r="E19" i="5"/>
  <c r="D19" i="5"/>
  <c r="C19" i="5"/>
  <c r="L51" i="1"/>
  <c r="F65" i="4"/>
  <c r="F64" i="3"/>
  <c r="M64" i="1"/>
  <c r="E64" i="1"/>
  <c r="F142" i="4"/>
  <c r="F141" i="3"/>
  <c r="G31" i="2"/>
  <c r="G44" i="2" s="1"/>
  <c r="G10" i="2"/>
  <c r="M141" i="1"/>
  <c r="E141" i="1"/>
  <c r="E74" i="4"/>
  <c r="D74" i="4"/>
  <c r="C74" i="4"/>
  <c r="G74" i="4" s="1"/>
  <c r="H74" i="4" s="1"/>
  <c r="G65" i="4"/>
  <c r="H65" i="4" s="1"/>
  <c r="E73" i="3"/>
  <c r="D73" i="3"/>
  <c r="F73" i="3" s="1"/>
  <c r="C73" i="3"/>
  <c r="G64" i="3"/>
  <c r="L73" i="1"/>
  <c r="D73" i="1"/>
  <c r="C73" i="1"/>
  <c r="I73" i="1" s="1"/>
  <c r="I64" i="1"/>
  <c r="G142" i="4"/>
  <c r="H142" i="4"/>
  <c r="G141" i="3"/>
  <c r="I141" i="1"/>
  <c r="D18" i="1"/>
  <c r="D29" i="1"/>
  <c r="D40" i="1"/>
  <c r="D51" i="1"/>
  <c r="E51" i="1" s="1"/>
  <c r="D62" i="1"/>
  <c r="D84" i="1"/>
  <c r="E84" i="1" s="1"/>
  <c r="D95" i="1"/>
  <c r="D106" i="1"/>
  <c r="D117" i="1"/>
  <c r="D128" i="1"/>
  <c r="D139" i="1"/>
  <c r="D152" i="1" s="1"/>
  <c r="D150" i="1"/>
  <c r="C150" i="1"/>
  <c r="C151" i="4"/>
  <c r="C153" i="4" s="1"/>
  <c r="D151" i="4"/>
  <c r="C150" i="3"/>
  <c r="G150" i="3" s="1"/>
  <c r="D150" i="3"/>
  <c r="E19" i="4"/>
  <c r="E30" i="4"/>
  <c r="E41" i="4"/>
  <c r="E52" i="4"/>
  <c r="E63" i="4"/>
  <c r="E85" i="4"/>
  <c r="E96" i="4"/>
  <c r="E107" i="4"/>
  <c r="E118" i="4"/>
  <c r="E129" i="4"/>
  <c r="E140" i="4"/>
  <c r="E153" i="4" s="1"/>
  <c r="E151" i="4"/>
  <c r="D19" i="4"/>
  <c r="F19" i="4" s="1"/>
  <c r="D30" i="4"/>
  <c r="G30" i="4" s="1"/>
  <c r="H30" i="4" s="1"/>
  <c r="D41" i="4"/>
  <c r="D52" i="4"/>
  <c r="D63" i="4"/>
  <c r="F63" i="4" s="1"/>
  <c r="D85" i="4"/>
  <c r="G85" i="4" s="1"/>
  <c r="H85" i="4" s="1"/>
  <c r="D96" i="4"/>
  <c r="D107" i="4"/>
  <c r="D118" i="4"/>
  <c r="G118" i="4" s="1"/>
  <c r="H118" i="4" s="1"/>
  <c r="D129" i="4"/>
  <c r="D140" i="4"/>
  <c r="D153" i="4" s="1"/>
  <c r="C19" i="4"/>
  <c r="C30" i="4"/>
  <c r="C41" i="4"/>
  <c r="G41" i="4" s="1"/>
  <c r="H41" i="4" s="1"/>
  <c r="C52" i="4"/>
  <c r="G52" i="4" s="1"/>
  <c r="H52" i="4" s="1"/>
  <c r="C63" i="4"/>
  <c r="C85" i="4"/>
  <c r="C96" i="4"/>
  <c r="C107" i="4"/>
  <c r="G107" i="4" s="1"/>
  <c r="H107" i="4" s="1"/>
  <c r="C118" i="4"/>
  <c r="C129" i="4"/>
  <c r="G129" i="4" s="1"/>
  <c r="H129" i="4" s="1"/>
  <c r="C140" i="4"/>
  <c r="F109" i="4"/>
  <c r="E18" i="3"/>
  <c r="E29" i="3"/>
  <c r="E40" i="3"/>
  <c r="E51" i="3"/>
  <c r="E62" i="3"/>
  <c r="E84" i="3"/>
  <c r="E95" i="3"/>
  <c r="E106" i="3"/>
  <c r="F106" i="3" s="1"/>
  <c r="E117" i="3"/>
  <c r="E128" i="3"/>
  <c r="F128" i="3" s="1"/>
  <c r="E139" i="3"/>
  <c r="E150" i="3"/>
  <c r="F150" i="3" s="1"/>
  <c r="D18" i="3"/>
  <c r="F18" i="3" s="1"/>
  <c r="D29" i="3"/>
  <c r="D40" i="3"/>
  <c r="F40" i="3" s="1"/>
  <c r="D51" i="3"/>
  <c r="G51" i="3" s="1"/>
  <c r="D62" i="3"/>
  <c r="D84" i="3"/>
  <c r="D95" i="3"/>
  <c r="F95" i="3" s="1"/>
  <c r="D106" i="3"/>
  <c r="D117" i="3"/>
  <c r="D152" i="3" s="1"/>
  <c r="D128" i="3"/>
  <c r="D139" i="3"/>
  <c r="C18" i="3"/>
  <c r="C29" i="3"/>
  <c r="C40" i="3"/>
  <c r="C51" i="3"/>
  <c r="C62" i="3"/>
  <c r="G62" i="3" s="1"/>
  <c r="C84" i="3"/>
  <c r="G84" i="3" s="1"/>
  <c r="C95" i="3"/>
  <c r="C106" i="3"/>
  <c r="C117" i="3"/>
  <c r="C128" i="3"/>
  <c r="C139" i="3"/>
  <c r="F108" i="3"/>
  <c r="M108" i="1"/>
  <c r="E108" i="1"/>
  <c r="L18" i="1"/>
  <c r="M18" i="1" s="1"/>
  <c r="L29" i="1"/>
  <c r="L40" i="1"/>
  <c r="L62" i="1"/>
  <c r="L84" i="1"/>
  <c r="L95" i="1"/>
  <c r="L106" i="1"/>
  <c r="M106" i="1" s="1"/>
  <c r="L117" i="1"/>
  <c r="L128" i="1"/>
  <c r="L139" i="1"/>
  <c r="L152" i="1" s="1"/>
  <c r="K18" i="1"/>
  <c r="K29" i="1"/>
  <c r="C18" i="1"/>
  <c r="C29" i="1"/>
  <c r="E29" i="1" s="1"/>
  <c r="C40" i="1"/>
  <c r="C51" i="1"/>
  <c r="C62" i="1"/>
  <c r="C152" i="1" s="1"/>
  <c r="C84" i="1"/>
  <c r="C95" i="1"/>
  <c r="I95" i="1" s="1"/>
  <c r="C106" i="1"/>
  <c r="C117" i="1"/>
  <c r="C128" i="1"/>
  <c r="E128" i="1" s="1"/>
  <c r="C139" i="1"/>
  <c r="E119" i="1"/>
  <c r="I119" i="1"/>
  <c r="M119" i="1"/>
  <c r="K117" i="1"/>
  <c r="F131" i="4"/>
  <c r="K31" i="2"/>
  <c r="K10" i="2"/>
  <c r="K51" i="1"/>
  <c r="M51" i="1" s="1"/>
  <c r="K62" i="1"/>
  <c r="K84" i="1"/>
  <c r="K95" i="1"/>
  <c r="M95" i="1" s="1"/>
  <c r="K106" i="1"/>
  <c r="K139" i="1"/>
  <c r="I108" i="1"/>
  <c r="G109" i="4"/>
  <c r="H109" i="4" s="1"/>
  <c r="G108" i="3"/>
  <c r="F87" i="4"/>
  <c r="F86" i="3"/>
  <c r="N31" i="2"/>
  <c r="N44" i="2" s="1"/>
  <c r="M31" i="2"/>
  <c r="L31" i="2"/>
  <c r="J31" i="2"/>
  <c r="J44" i="2" s="1"/>
  <c r="I31" i="2"/>
  <c r="H31" i="2"/>
  <c r="F31" i="2"/>
  <c r="E31" i="2"/>
  <c r="E44" i="2" s="1"/>
  <c r="C31" i="2"/>
  <c r="B31" i="2"/>
  <c r="M86" i="1"/>
  <c r="E86" i="1"/>
  <c r="I10" i="2"/>
  <c r="I23" i="2" s="1"/>
  <c r="G87" i="4"/>
  <c r="H87" i="4"/>
  <c r="G98" i="4"/>
  <c r="H98" i="4" s="1"/>
  <c r="F98" i="4"/>
  <c r="G86" i="3"/>
  <c r="I86" i="1"/>
  <c r="F10" i="4"/>
  <c r="G10" i="4"/>
  <c r="H10" i="4"/>
  <c r="I9" i="1"/>
  <c r="I20" i="1"/>
  <c r="I42" i="1"/>
  <c r="I53" i="1"/>
  <c r="I75" i="1"/>
  <c r="I97" i="1"/>
  <c r="I130" i="1"/>
  <c r="E9" i="1"/>
  <c r="M9" i="1"/>
  <c r="E20" i="1"/>
  <c r="M20" i="1"/>
  <c r="E31" i="1"/>
  <c r="E42" i="1"/>
  <c r="M42" i="1"/>
  <c r="E53" i="1"/>
  <c r="M53" i="1"/>
  <c r="E75" i="1"/>
  <c r="M75" i="1"/>
  <c r="E97" i="1"/>
  <c r="M97" i="1"/>
  <c r="E130" i="1"/>
  <c r="M130" i="1"/>
  <c r="F21" i="4"/>
  <c r="G21" i="4"/>
  <c r="H21" i="4" s="1"/>
  <c r="F32" i="4"/>
  <c r="G32" i="4"/>
  <c r="H32" i="4"/>
  <c r="F43" i="4"/>
  <c r="G43" i="4"/>
  <c r="H43" i="4"/>
  <c r="F54" i="4"/>
  <c r="G54" i="4"/>
  <c r="H54" i="4" s="1"/>
  <c r="F76" i="4"/>
  <c r="G76" i="4"/>
  <c r="H76" i="4" s="1"/>
  <c r="F120" i="4"/>
  <c r="G120" i="4"/>
  <c r="H120" i="4"/>
  <c r="G131" i="4"/>
  <c r="H131" i="4" s="1"/>
  <c r="F9" i="3"/>
  <c r="F20" i="3"/>
  <c r="G20" i="3"/>
  <c r="F31" i="3"/>
  <c r="G31" i="3"/>
  <c r="F42" i="3"/>
  <c r="G42" i="3"/>
  <c r="F53" i="3"/>
  <c r="G53" i="3"/>
  <c r="F75" i="3"/>
  <c r="G75" i="3"/>
  <c r="F97" i="3"/>
  <c r="G97" i="3"/>
  <c r="F119" i="3"/>
  <c r="F130" i="3"/>
  <c r="G130" i="3"/>
  <c r="G9" i="3"/>
  <c r="C10" i="2"/>
  <c r="O10" i="2" s="1"/>
  <c r="D10" i="2"/>
  <c r="E10" i="2"/>
  <c r="E23" i="2" s="1"/>
  <c r="F10" i="2"/>
  <c r="H10" i="2"/>
  <c r="H23" i="2" s="1"/>
  <c r="J10" i="2"/>
  <c r="J23" i="2" s="1"/>
  <c r="L10" i="2"/>
  <c r="M10" i="2"/>
  <c r="M23" i="2" s="1"/>
  <c r="N10" i="2"/>
  <c r="N23" i="2" s="1"/>
  <c r="I31" i="1"/>
  <c r="M31" i="1"/>
  <c r="K40" i="1"/>
  <c r="D31" i="2"/>
  <c r="D44" i="2" s="1"/>
  <c r="L150" i="1"/>
  <c r="K150" i="1"/>
  <c r="I150" i="1" s="1"/>
  <c r="K73" i="1"/>
  <c r="K128" i="1"/>
  <c r="J128" i="1" s="1"/>
  <c r="I44" i="1"/>
  <c r="J99" i="1"/>
  <c r="E154" i="1"/>
  <c r="G140" i="4"/>
  <c r="H140" i="4" s="1"/>
  <c r="F96" i="4"/>
  <c r="G151" i="4"/>
  <c r="H151" i="4"/>
  <c r="F30" i="4"/>
  <c r="F151" i="4"/>
  <c r="G96" i="4"/>
  <c r="H96" i="4"/>
  <c r="G63" i="4"/>
  <c r="H63" i="4" s="1"/>
  <c r="F74" i="4"/>
  <c r="F52" i="4"/>
  <c r="F41" i="4"/>
  <c r="F129" i="4"/>
  <c r="F107" i="4"/>
  <c r="G155" i="5"/>
  <c r="H155" i="5" s="1"/>
  <c r="G118" i="5"/>
  <c r="H118" i="5" s="1"/>
  <c r="F140" i="5"/>
  <c r="E153" i="5"/>
  <c r="G151" i="5"/>
  <c r="H151" i="5" s="1"/>
  <c r="G154" i="3"/>
  <c r="G106" i="3"/>
  <c r="G73" i="3"/>
  <c r="G95" i="3"/>
  <c r="F154" i="3"/>
  <c r="G139" i="3"/>
  <c r="G29" i="3"/>
  <c r="F84" i="3"/>
  <c r="G117" i="3"/>
  <c r="F139" i="3"/>
  <c r="G40" i="3"/>
  <c r="F62" i="3"/>
  <c r="F29" i="3"/>
  <c r="O38" i="2"/>
  <c r="M117" i="1"/>
  <c r="H102" i="1"/>
  <c r="H146" i="1"/>
  <c r="H21" i="1"/>
  <c r="H134" i="1"/>
  <c r="H36" i="1"/>
  <c r="E150" i="1"/>
  <c r="H103" i="1"/>
  <c r="E117" i="1"/>
  <c r="E18" i="1"/>
  <c r="H100" i="1"/>
  <c r="M73" i="1"/>
  <c r="H22" i="1"/>
  <c r="H132" i="1"/>
  <c r="I62" i="1"/>
  <c r="H14" i="1"/>
  <c r="H56" i="1"/>
  <c r="H101" i="1"/>
  <c r="H47" i="1"/>
  <c r="H13" i="1"/>
  <c r="H81" i="1"/>
  <c r="G62" i="1"/>
  <c r="E106" i="1"/>
  <c r="M62" i="1"/>
  <c r="H58" i="1"/>
  <c r="H91" i="1"/>
  <c r="M40" i="1"/>
  <c r="H54" i="1"/>
  <c r="H24" i="1"/>
  <c r="H70" i="1"/>
  <c r="H133" i="1"/>
  <c r="F23" i="2"/>
  <c r="I40" i="1"/>
  <c r="H99" i="1"/>
  <c r="G73" i="1"/>
  <c r="I106" i="1"/>
  <c r="H57" i="1"/>
  <c r="H124" i="1"/>
  <c r="H48" i="1"/>
  <c r="E139" i="1"/>
  <c r="E40" i="1"/>
  <c r="H23" i="1"/>
  <c r="F44" i="2"/>
  <c r="H111" i="1"/>
  <c r="H46" i="1"/>
  <c r="J70" i="1"/>
  <c r="H123" i="1"/>
  <c r="H110" i="1"/>
  <c r="H12" i="1"/>
  <c r="H68" i="1"/>
  <c r="H59" i="1"/>
  <c r="H43" i="1"/>
  <c r="H114" i="1"/>
  <c r="J58" i="1"/>
  <c r="H87" i="1"/>
  <c r="H35" i="1"/>
  <c r="J68" i="1"/>
  <c r="J101" i="1"/>
  <c r="H145" i="1"/>
  <c r="H25" i="1"/>
  <c r="B44" i="2"/>
  <c r="J59" i="1"/>
  <c r="K23" i="2"/>
  <c r="G139" i="1"/>
  <c r="H97" i="1"/>
  <c r="H78" i="1"/>
  <c r="J24" i="1"/>
  <c r="J57" i="1"/>
  <c r="J90" i="1"/>
  <c r="K44" i="2"/>
  <c r="M84" i="1"/>
  <c r="G51" i="1"/>
  <c r="H65" i="1"/>
  <c r="H89" i="1"/>
  <c r="E62" i="1"/>
  <c r="H34" i="1"/>
  <c r="H67" i="1"/>
  <c r="H64" i="1"/>
  <c r="H122" i="1"/>
  <c r="L23" i="2"/>
  <c r="H141" i="1"/>
  <c r="G23" i="2"/>
  <c r="G29" i="1"/>
  <c r="J77" i="1"/>
  <c r="J110" i="1"/>
  <c r="J23" i="1"/>
  <c r="H69" i="1"/>
  <c r="H86" i="1"/>
  <c r="F95" i="1"/>
  <c r="J45" i="1"/>
  <c r="H45" i="1"/>
  <c r="J144" i="1"/>
  <c r="H144" i="1"/>
  <c r="I29" i="1"/>
  <c r="H130" i="1"/>
  <c r="J88" i="1"/>
  <c r="H88" i="1"/>
  <c r="J121" i="1"/>
  <c r="H136" i="1"/>
  <c r="L44" i="2"/>
  <c r="I117" i="1"/>
  <c r="J80" i="1"/>
  <c r="H80" i="1"/>
  <c r="F51" i="1"/>
  <c r="H42" i="1"/>
  <c r="J131" i="1"/>
  <c r="H131" i="1"/>
  <c r="O12" i="2"/>
  <c r="H125" i="1"/>
  <c r="J125" i="1"/>
  <c r="J119" i="1"/>
  <c r="M128" i="1"/>
  <c r="I18" i="1"/>
  <c r="J20" i="1"/>
  <c r="H20" i="1"/>
  <c r="H11" i="1"/>
  <c r="J35" i="1"/>
  <c r="J87" i="1"/>
  <c r="H112" i="1"/>
  <c r="J112" i="1"/>
  <c r="H37" i="1"/>
  <c r="J37" i="1"/>
  <c r="I154" i="1"/>
  <c r="M154" i="1"/>
  <c r="J48" i="1"/>
  <c r="J136" i="1"/>
  <c r="J15" i="1"/>
  <c r="J103" i="1"/>
  <c r="M29" i="1"/>
  <c r="I139" i="1"/>
  <c r="J67" i="1"/>
  <c r="F106" i="1"/>
  <c r="G150" i="1"/>
  <c r="H26" i="1"/>
  <c r="I84" i="1"/>
  <c r="J106" i="1"/>
  <c r="H51" i="1"/>
  <c r="F155" i="4"/>
  <c r="G155" i="4"/>
  <c r="H155" i="4"/>
  <c r="H62" i="1" l="1"/>
  <c r="J62" i="1"/>
  <c r="H139" i="1"/>
  <c r="J139" i="1"/>
  <c r="H18" i="1"/>
  <c r="J18" i="1"/>
  <c r="H154" i="1"/>
  <c r="J154" i="1"/>
  <c r="O23" i="2"/>
  <c r="F153" i="4"/>
  <c r="G153" i="4"/>
  <c r="H153" i="4" s="1"/>
  <c r="H150" i="1"/>
  <c r="H95" i="1"/>
  <c r="G153" i="5"/>
  <c r="H153" i="5" s="1"/>
  <c r="F153" i="5"/>
  <c r="E152" i="1"/>
  <c r="G128" i="1"/>
  <c r="H128" i="1" s="1"/>
  <c r="I51" i="1"/>
  <c r="J147" i="1"/>
  <c r="J51" i="1"/>
  <c r="E95" i="1"/>
  <c r="M150" i="1"/>
  <c r="C152" i="3"/>
  <c r="G152" i="3" s="1"/>
  <c r="F29" i="1"/>
  <c r="O32" i="2"/>
  <c r="H53" i="1"/>
  <c r="C23" i="2"/>
  <c r="I128" i="1"/>
  <c r="F51" i="3"/>
  <c r="E152" i="3"/>
  <c r="F152" i="3" s="1"/>
  <c r="F140" i="4"/>
  <c r="J130" i="1"/>
  <c r="J32" i="1"/>
  <c r="J76" i="1"/>
  <c r="J66" i="1"/>
  <c r="H79" i="1"/>
  <c r="J135" i="1"/>
  <c r="J75" i="1"/>
  <c r="J93" i="1"/>
  <c r="H126" i="1"/>
  <c r="F84" i="1"/>
  <c r="F40" i="1"/>
  <c r="K152" i="1"/>
  <c r="M139" i="1"/>
  <c r="F73" i="1"/>
  <c r="H44" i="1"/>
  <c r="F117" i="3"/>
  <c r="F118" i="4"/>
  <c r="H16" i="1"/>
  <c r="J60" i="1"/>
  <c r="G106" i="1"/>
  <c r="H106" i="1" s="1"/>
  <c r="J95" i="1"/>
  <c r="H31" i="1"/>
  <c r="O31" i="2"/>
  <c r="O44" i="2" s="1"/>
  <c r="H9" i="1"/>
  <c r="F117" i="1"/>
  <c r="G117" i="1"/>
  <c r="H10" i="1"/>
  <c r="O35" i="2"/>
  <c r="E73" i="1"/>
  <c r="G18" i="3"/>
  <c r="G19" i="4"/>
  <c r="H19" i="4" s="1"/>
  <c r="F85" i="4"/>
  <c r="J82" i="1"/>
  <c r="B23" i="2"/>
  <c r="J55" i="1"/>
  <c r="J27" i="1"/>
  <c r="J150" i="1"/>
  <c r="G95" i="1"/>
  <c r="J10" i="1"/>
  <c r="J143" i="1"/>
  <c r="H142" i="1"/>
  <c r="J113" i="1"/>
  <c r="H119" i="1"/>
  <c r="H33" i="1"/>
  <c r="J40" i="1" l="1"/>
  <c r="H40" i="1"/>
  <c r="I152" i="1"/>
  <c r="M152" i="1"/>
  <c r="J84" i="1"/>
  <c r="H84" i="1"/>
  <c r="G152" i="1"/>
  <c r="J29" i="1"/>
  <c r="H29" i="1"/>
  <c r="J73" i="1"/>
  <c r="H73" i="1"/>
  <c r="F152" i="1"/>
  <c r="H152" i="1" s="1"/>
  <c r="J117" i="1"/>
  <c r="H117" i="1"/>
  <c r="J152" i="1" l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<sst xmlns="http://schemas.openxmlformats.org/spreadsheetml/2006/main" count="241" uniqueCount="79">
  <si>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</si>
  <si>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</si>
  <si>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</si>
  <si>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</si>
  <si>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</si>
  <si>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</si>
  <si>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</si>
  <si>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</si>
  <si>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</si>
  <si>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</si>
  <si>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</si>
  <si>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</si>
  <si>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</si>
  <si>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</si>
  <si>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</si>
  <si>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</si>
  <si>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</si>
  <si>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</si>
  <si>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</si>
  <si>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</si>
  <si>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</si>
  <si>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</si>
  <si>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</si>
  <si>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</si>
  <si>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</si>
  <si>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</si>
  <si>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</si>
  <si>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</si>
  <si>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</si>
  <si>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</si>
  <si>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</si>
  <si>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</si>
  <si>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</si>
  <si>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</si>
  <si>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</si>
  <si>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</si>
  <si>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</si>
  <si>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</si>
  <si>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</si>
  <si>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</si>
  <si>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</si>
  <si>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</si>
  <si>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</si>
  <si>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</si>
  <si>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</si>
  <si>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</si>
  <si>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</si>
  <si>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</si>
  <si>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</si>
  <si>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</si>
  <si>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</si>
  <si>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</si>
  <si>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</si>
  <si>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</si>
  <si>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</si>
  <si>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</si>
  <si>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</si>
  <si>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</si>
  <si>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</si>
  <si>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</si>
  <si>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</si>
  <si>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</si>
  <si>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</si>
  <si>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</si>
  <si>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</si>
  <si>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</si>
  <si>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</si>
  <si>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</si>
  <si>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</si>
  <si>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</si>
  <si>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</si>
  <si>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2025 YTD ADMISSIONS, PATRONS AND AGR SUMMARY </t>
  </si>
  <si>
    <t>MONTH ENDED:  FEBRUARY 28, 2025</t>
  </si>
  <si>
    <t>(as reported on the tax remittal database dtd 3/6/25)</t>
  </si>
  <si>
    <t>FOR THE MONTH ENDED:   FEBRUARY 28, 2025</t>
  </si>
  <si>
    <t>THRU MONTH ENDED:   FEBRUARY 28, 2025</t>
  </si>
  <si>
    <t>(as reported on the tax remittal database as of 3/6/25)</t>
  </si>
  <si>
    <t>THRU MONTH ENDED:    FEBRUARY 28, 2025</t>
  </si>
  <si>
    <t>THRU MONTH ENDED:    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</si>
</sst>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3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167" fontId="2" fillId="0" borderId="10" xfId="1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26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8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1"/>
      <c r="L1" s="191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1"/>
      <c r="L2" s="191"/>
      <c r="M2" s="2"/>
      <c r="N2" s="2"/>
      <c r="O2" s="2"/>
      <c r="P2" s="2"/>
      <c r="Q2" s="2"/>
      <c r="R2" s="2"/>
    </row>
    <row r="3" spans="1:18" ht="18" x14ac:dyDescent="0.25">
      <c r="A3" s="276" t="s">
        <v>72</v>
      </c>
      <c r="B3" s="2"/>
      <c r="C3" s="2"/>
      <c r="D3" s="2"/>
      <c r="E3" s="2"/>
      <c r="F3" s="2"/>
      <c r="G3" s="2"/>
      <c r="H3" s="2"/>
      <c r="I3" s="2"/>
      <c r="J3" s="2"/>
      <c r="K3" s="191"/>
      <c r="L3" s="191"/>
      <c r="M3" s="2"/>
      <c r="N3" s="2"/>
      <c r="O3" s="2"/>
      <c r="P3" s="2"/>
      <c r="Q3" s="2"/>
      <c r="R3" s="2"/>
    </row>
    <row r="4" spans="1:18" x14ac:dyDescent="0.2">
      <c r="A4" s="277" t="s">
        <v>73</v>
      </c>
      <c r="B4" s="2"/>
      <c r="C4" s="2"/>
      <c r="D4" s="2"/>
      <c r="E4" s="2"/>
      <c r="F4" s="2"/>
      <c r="G4" s="2"/>
      <c r="H4" s="2"/>
      <c r="I4" s="2"/>
      <c r="J4" s="2"/>
      <c r="K4" s="191"/>
      <c r="L4" s="191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1"/>
      <c r="L5" s="191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2" t="s">
        <v>1</v>
      </c>
      <c r="L6" s="192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3" t="s">
        <v>12</v>
      </c>
      <c r="L7" s="193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4"/>
      <c r="L8" s="194"/>
      <c r="M8" s="18"/>
      <c r="N8" s="10"/>
      <c r="R8" s="2"/>
    </row>
    <row r="9" spans="1:18" ht="15.75" x14ac:dyDescent="0.25">
      <c r="A9" s="19" t="s">
        <v>13</v>
      </c>
      <c r="B9" s="20">
        <f>DATE(2024,7,1)</f>
        <v>45474</v>
      </c>
      <c r="C9" s="21">
        <v>182873</v>
      </c>
      <c r="D9" s="21">
        <v>198971</v>
      </c>
      <c r="E9" s="22">
        <f t="shared" ref="E9:E16" si="0">(+C9-D9)/D9</f>
        <v>-8.0906262721703162E-2</v>
      </c>
      <c r="F9" s="21">
        <f>+C9-86094</f>
        <v>96779</v>
      </c>
      <c r="G9" s="21">
        <f>+D9-94713</f>
        <v>104258</v>
      </c>
      <c r="H9" s="22">
        <f t="shared" ref="H9:H16" si="1">(+F9-G9)/G9</f>
        <v>-7.1735502311573218E-2</v>
      </c>
      <c r="I9" s="23">
        <f t="shared" ref="I9:I16" si="2">K9/C9</f>
        <v>73.11157776161599</v>
      </c>
      <c r="J9" s="23">
        <f t="shared" ref="J9:J16" si="3">K9/F9</f>
        <v>138.15118527779788</v>
      </c>
      <c r="K9" s="21">
        <v>13370133.560000001</v>
      </c>
      <c r="L9" s="21">
        <v>14981981.279999999</v>
      </c>
      <c r="M9" s="24">
        <f t="shared" ref="M9:M16" si="4">(+K9-L9)/L9</f>
        <v>-0.10758575183588795</v>
      </c>
      <c r="N9" s="10"/>
      <c r="R9" s="2"/>
    </row>
    <row r="10" spans="1:18" ht="15.75" x14ac:dyDescent="0.25">
      <c r="A10" s="19"/>
      <c r="B10" s="20">
        <f>DATE(2024,8,1)</f>
        <v>45505</v>
      </c>
      <c r="C10" s="21">
        <v>193595</v>
      </c>
      <c r="D10" s="21">
        <v>185586</v>
      </c>
      <c r="E10" s="22">
        <f t="shared" si="0"/>
        <v>4.3155194896166739E-2</v>
      </c>
      <c r="F10" s="21">
        <f>+C10-91892</f>
        <v>101703</v>
      </c>
      <c r="G10" s="21">
        <f>+D10-87146</f>
        <v>98440</v>
      </c>
      <c r="H10" s="22">
        <f t="shared" si="1"/>
        <v>3.3147094676960587E-2</v>
      </c>
      <c r="I10" s="23">
        <f t="shared" si="2"/>
        <v>72.28058834164105</v>
      </c>
      <c r="J10" s="23">
        <f t="shared" si="3"/>
        <v>137.58847329970601</v>
      </c>
      <c r="K10" s="21">
        <v>13993160.5</v>
      </c>
      <c r="L10" s="21">
        <v>14127127.52</v>
      </c>
      <c r="M10" s="24">
        <f t="shared" si="4"/>
        <v>-9.4829624642617759E-3</v>
      </c>
      <c r="N10" s="10"/>
      <c r="R10" s="2"/>
    </row>
    <row r="11" spans="1:18" ht="15.75" x14ac:dyDescent="0.25">
      <c r="A11" s="19"/>
      <c r="B11" s="20">
        <f>DATE(2024,9,1)</f>
        <v>45536</v>
      </c>
      <c r="C11" s="21">
        <v>175693</v>
      </c>
      <c r="D11" s="21">
        <v>185491</v>
      </c>
      <c r="E11" s="22">
        <f t="shared" si="0"/>
        <v>-5.282196979907381E-2</v>
      </c>
      <c r="F11" s="21">
        <f>+C11-81570</f>
        <v>94123</v>
      </c>
      <c r="G11" s="21">
        <f>+D11-86562</f>
        <v>98929</v>
      </c>
      <c r="H11" s="22">
        <f t="shared" si="1"/>
        <v>-4.8580294959011006E-2</v>
      </c>
      <c r="I11" s="23">
        <f t="shared" si="2"/>
        <v>71.174948631988755</v>
      </c>
      <c r="J11" s="23">
        <f t="shared" si="3"/>
        <v>132.85743388969752</v>
      </c>
      <c r="K11" s="21">
        <v>12504940.25</v>
      </c>
      <c r="L11" s="21">
        <v>12784105.18</v>
      </c>
      <c r="M11" s="24">
        <f t="shared" si="4"/>
        <v>-2.1836876814556976E-2</v>
      </c>
      <c r="N11" s="10"/>
      <c r="R11" s="2"/>
    </row>
    <row r="12" spans="1:18" ht="15.75" x14ac:dyDescent="0.25">
      <c r="A12" s="19"/>
      <c r="B12" s="20">
        <f>DATE(2024,10,1)</f>
        <v>45566</v>
      </c>
      <c r="C12" s="21">
        <v>169905</v>
      </c>
      <c r="D12" s="21">
        <v>169150</v>
      </c>
      <c r="E12" s="22">
        <f t="shared" si="0"/>
        <v>4.4634939402896836E-3</v>
      </c>
      <c r="F12" s="21">
        <f>+C12-79197</f>
        <v>90708</v>
      </c>
      <c r="G12" s="21">
        <f>+D12-77860</f>
        <v>91290</v>
      </c>
      <c r="H12" s="22">
        <f t="shared" si="1"/>
        <v>-6.3752875451856721E-3</v>
      </c>
      <c r="I12" s="23">
        <f t="shared" si="2"/>
        <v>72.966886377681647</v>
      </c>
      <c r="J12" s="23">
        <f t="shared" si="3"/>
        <v>136.67415035057547</v>
      </c>
      <c r="K12" s="21">
        <v>12397438.83</v>
      </c>
      <c r="L12" s="21">
        <v>12862060.27</v>
      </c>
      <c r="M12" s="24">
        <f t="shared" si="4"/>
        <v>-3.6123407156138251E-2</v>
      </c>
      <c r="N12" s="10"/>
      <c r="R12" s="2"/>
    </row>
    <row r="13" spans="1:18" ht="15.75" x14ac:dyDescent="0.25">
      <c r="A13" s="19"/>
      <c r="B13" s="20">
        <f>DATE(2024,11,1)</f>
        <v>45597</v>
      </c>
      <c r="C13" s="21">
        <v>184234</v>
      </c>
      <c r="D13" s="21">
        <v>176075</v>
      </c>
      <c r="E13" s="22">
        <f t="shared" si="0"/>
        <v>4.6338208149936104E-2</v>
      </c>
      <c r="F13" s="21">
        <f>+C13-88163</f>
        <v>96071</v>
      </c>
      <c r="G13" s="21">
        <f>+D13-85210</f>
        <v>90865</v>
      </c>
      <c r="H13" s="22">
        <f t="shared" si="1"/>
        <v>5.7293787486931161E-2</v>
      </c>
      <c r="I13" s="23">
        <f t="shared" si="2"/>
        <v>73.898584680352158</v>
      </c>
      <c r="J13" s="23">
        <f t="shared" si="3"/>
        <v>141.71427225697661</v>
      </c>
      <c r="K13" s="21">
        <v>13614631.85</v>
      </c>
      <c r="L13" s="21">
        <v>12620600.550000001</v>
      </c>
      <c r="M13" s="24">
        <f t="shared" si="4"/>
        <v>7.8762598979491422E-2</v>
      </c>
      <c r="N13" s="10"/>
      <c r="R13" s="2"/>
    </row>
    <row r="14" spans="1:18" ht="15.75" x14ac:dyDescent="0.25">
      <c r="A14" s="19"/>
      <c r="B14" s="20">
        <f>DATE(2024,12,1)</f>
        <v>45627</v>
      </c>
      <c r="C14" s="21">
        <v>195976</v>
      </c>
      <c r="D14" s="21">
        <v>204599</v>
      </c>
      <c r="E14" s="22">
        <f t="shared" si="0"/>
        <v>-4.2145856040352106E-2</v>
      </c>
      <c r="F14" s="21">
        <f>+C14-94199</f>
        <v>101777</v>
      </c>
      <c r="G14" s="21">
        <f>+D14-98353</f>
        <v>106246</v>
      </c>
      <c r="H14" s="22">
        <f t="shared" si="1"/>
        <v>-4.2062760009788605E-2</v>
      </c>
      <c r="I14" s="23">
        <f t="shared" si="2"/>
        <v>70.786403845368824</v>
      </c>
      <c r="J14" s="23">
        <f t="shared" si="3"/>
        <v>136.30227143657211</v>
      </c>
      <c r="K14" s="21">
        <v>13872436.279999999</v>
      </c>
      <c r="L14" s="21">
        <v>13797521.99</v>
      </c>
      <c r="M14" s="24">
        <f t="shared" si="4"/>
        <v>5.4295467007984891E-3</v>
      </c>
      <c r="N14" s="10"/>
      <c r="R14" s="2"/>
    </row>
    <row r="15" spans="1:18" ht="15.75" x14ac:dyDescent="0.25">
      <c r="A15" s="19"/>
      <c r="B15" s="20">
        <f>DATE(2025,1,1)</f>
        <v>45658</v>
      </c>
      <c r="C15" s="21">
        <v>165657</v>
      </c>
      <c r="D15" s="21">
        <v>158813</v>
      </c>
      <c r="E15" s="22">
        <f t="shared" si="0"/>
        <v>4.3094708871439992E-2</v>
      </c>
      <c r="F15" s="21">
        <f>+C15-80306</f>
        <v>85351</v>
      </c>
      <c r="G15" s="21">
        <f>+D15-76406</f>
        <v>82407</v>
      </c>
      <c r="H15" s="22">
        <f t="shared" si="1"/>
        <v>3.5725120438797678E-2</v>
      </c>
      <c r="I15" s="23">
        <f t="shared" si="2"/>
        <v>76.003020095739998</v>
      </c>
      <c r="J15" s="23">
        <f t="shared" si="3"/>
        <v>147.51358859298662</v>
      </c>
      <c r="K15" s="21">
        <v>12590432.300000001</v>
      </c>
      <c r="L15" s="21">
        <v>12390187.619999999</v>
      </c>
      <c r="M15" s="24">
        <f t="shared" si="4"/>
        <v>1.6161553492278883E-2</v>
      </c>
      <c r="N15" s="10"/>
      <c r="R15" s="2"/>
    </row>
    <row r="16" spans="1:18" ht="15.75" x14ac:dyDescent="0.25">
      <c r="A16" s="19"/>
      <c r="B16" s="20">
        <f>DATE(2025,2,1)</f>
        <v>45689</v>
      </c>
      <c r="C16" s="21">
        <v>167931</v>
      </c>
      <c r="D16" s="21">
        <v>185703</v>
      </c>
      <c r="E16" s="22">
        <f t="shared" si="0"/>
        <v>-9.5701200303710765E-2</v>
      </c>
      <c r="F16" s="21">
        <f>+C16-81960</f>
        <v>85971</v>
      </c>
      <c r="G16" s="21">
        <f>+D16-89848</f>
        <v>95855</v>
      </c>
      <c r="H16" s="22">
        <f t="shared" si="1"/>
        <v>-0.10311407855615252</v>
      </c>
      <c r="I16" s="23">
        <f t="shared" si="2"/>
        <v>70.673126224461242</v>
      </c>
      <c r="J16" s="23">
        <f t="shared" si="3"/>
        <v>138.04897884170242</v>
      </c>
      <c r="K16" s="21">
        <v>11868208.76</v>
      </c>
      <c r="L16" s="21">
        <v>13687800.859999999</v>
      </c>
      <c r="M16" s="24">
        <f t="shared" si="4"/>
        <v>-0.13293531361326363</v>
      </c>
      <c r="N16" s="10"/>
      <c r="R16" s="2"/>
    </row>
    <row r="17" spans="1:18" ht="15.75" customHeight="1" thickBot="1" x14ac:dyDescent="0.3">
      <c r="A17" s="19"/>
      <c r="B17" s="20"/>
      <c r="C17" s="21"/>
      <c r="D17" s="21"/>
      <c r="E17" s="22"/>
      <c r="F17" s="21"/>
      <c r="G17" s="21"/>
      <c r="H17" s="22"/>
      <c r="I17" s="23"/>
      <c r="J17" s="23"/>
      <c r="K17" s="21"/>
      <c r="L17" s="21"/>
      <c r="M17" s="24"/>
      <c r="N17" s="10"/>
      <c r="R17" s="2"/>
    </row>
    <row r="18" spans="1:18" ht="17.25" thickTop="1" thickBot="1" x14ac:dyDescent="0.3">
      <c r="A18" s="25" t="s">
        <v>14</v>
      </c>
      <c r="B18" s="26"/>
      <c r="C18" s="27">
        <f>SUM(C9:C17)</f>
        <v>1435864</v>
      </c>
      <c r="D18" s="27">
        <f>SUM(D9:D17)</f>
        <v>1464388</v>
      </c>
      <c r="E18" s="278">
        <f>(+C18-D18)/D18</f>
        <v>-1.9478444237456195E-2</v>
      </c>
      <c r="F18" s="27">
        <f>SUM(F9:F17)</f>
        <v>752483</v>
      </c>
      <c r="G18" s="27">
        <f>SUM(G9:G17)</f>
        <v>768290</v>
      </c>
      <c r="H18" s="29">
        <f>(+F18-G18)/G18</f>
        <v>-2.0574262322820811E-2</v>
      </c>
      <c r="I18" s="30">
        <f>K18/C18</f>
        <v>72.577474141004998</v>
      </c>
      <c r="J18" s="30">
        <f>K18/F18</f>
        <v>138.49001549536666</v>
      </c>
      <c r="K18" s="27">
        <f>SUM(K9:K17)</f>
        <v>104211382.33</v>
      </c>
      <c r="L18" s="27">
        <f>SUM(L9:L17)</f>
        <v>107251385.27</v>
      </c>
      <c r="M18" s="31">
        <f>(+K18-L18)/L18</f>
        <v>-2.8344649650416564E-2</v>
      </c>
      <c r="N18" s="10"/>
      <c r="R18" s="2"/>
    </row>
    <row r="19" spans="1:18" ht="15.75" customHeight="1" thickTop="1" x14ac:dyDescent="0.25">
      <c r="A19" s="15"/>
      <c r="B19" s="16"/>
      <c r="C19" s="16"/>
      <c r="D19" s="16"/>
      <c r="E19" s="17"/>
      <c r="F19" s="16"/>
      <c r="G19" s="16"/>
      <c r="H19" s="17"/>
      <c r="I19" s="16"/>
      <c r="J19" s="16"/>
      <c r="K19" s="194"/>
      <c r="L19" s="194"/>
      <c r="M19" s="18"/>
      <c r="N19" s="10"/>
      <c r="R19" s="2"/>
    </row>
    <row r="20" spans="1:18" ht="15.75" x14ac:dyDescent="0.25">
      <c r="A20" s="19" t="s">
        <v>15</v>
      </c>
      <c r="B20" s="20">
        <f>DATE(2024,7,1)</f>
        <v>45474</v>
      </c>
      <c r="C20" s="21">
        <v>94277</v>
      </c>
      <c r="D20" s="21">
        <v>114764</v>
      </c>
      <c r="E20" s="22">
        <f t="shared" ref="E20:E27" si="5">(+C20-D20)/D20</f>
        <v>-0.17851416820605764</v>
      </c>
      <c r="F20" s="21">
        <f>+C20-44772</f>
        <v>49505</v>
      </c>
      <c r="G20" s="21">
        <f>+D20-56037</f>
        <v>58727</v>
      </c>
      <c r="H20" s="22">
        <f t="shared" ref="H20:H27" si="6">(+F20-G20)/G20</f>
        <v>-0.15703168900165171</v>
      </c>
      <c r="I20" s="23">
        <f t="shared" ref="I20:I27" si="7">K20/C20</f>
        <v>70.872203824898961</v>
      </c>
      <c r="J20" s="23">
        <f t="shared" ref="J20:J27" si="8">K20/F20</f>
        <v>134.96856398343601</v>
      </c>
      <c r="K20" s="21">
        <v>6681618.7599999998</v>
      </c>
      <c r="L20" s="21">
        <v>8190102.3200000003</v>
      </c>
      <c r="M20" s="24">
        <f t="shared" ref="M20:M27" si="9">(+K20-L20)/L20</f>
        <v>-0.18418372580234144</v>
      </c>
      <c r="N20" s="10"/>
      <c r="R20" s="2"/>
    </row>
    <row r="21" spans="1:18" ht="15.75" x14ac:dyDescent="0.25">
      <c r="A21" s="19"/>
      <c r="B21" s="20">
        <f>DATE(2024,8,1)</f>
        <v>45505</v>
      </c>
      <c r="C21" s="21">
        <v>95698</v>
      </c>
      <c r="D21" s="21">
        <v>103488</v>
      </c>
      <c r="E21" s="22">
        <f t="shared" si="5"/>
        <v>-7.5274427952999379E-2</v>
      </c>
      <c r="F21" s="21">
        <f>+C21-45591</f>
        <v>50107</v>
      </c>
      <c r="G21" s="21">
        <f>+D21-50126</f>
        <v>53362</v>
      </c>
      <c r="H21" s="22">
        <f t="shared" si="6"/>
        <v>-6.0998463325962295E-2</v>
      </c>
      <c r="I21" s="23">
        <f t="shared" si="7"/>
        <v>75.496528663085954</v>
      </c>
      <c r="J21" s="23">
        <f t="shared" si="8"/>
        <v>144.18877202786038</v>
      </c>
      <c r="K21" s="21">
        <v>7224866.7999999998</v>
      </c>
      <c r="L21" s="21">
        <v>7478317.0300000003</v>
      </c>
      <c r="M21" s="24">
        <f t="shared" si="9"/>
        <v>-3.3891346005158654E-2</v>
      </c>
      <c r="N21" s="10"/>
      <c r="R21" s="2"/>
    </row>
    <row r="22" spans="1:18" ht="15.75" x14ac:dyDescent="0.25">
      <c r="A22" s="19"/>
      <c r="B22" s="20">
        <f>DATE(2024,9,1)</f>
        <v>45536</v>
      </c>
      <c r="C22" s="21">
        <v>91160</v>
      </c>
      <c r="D22" s="21">
        <v>100304</v>
      </c>
      <c r="E22" s="22">
        <f t="shared" si="5"/>
        <v>-9.1162864890732179E-2</v>
      </c>
      <c r="F22" s="21">
        <f>+C22-43108</f>
        <v>48052</v>
      </c>
      <c r="G22" s="21">
        <f>+D22-48762</f>
        <v>51542</v>
      </c>
      <c r="H22" s="22">
        <f t="shared" si="6"/>
        <v>-6.7711769042722442E-2</v>
      </c>
      <c r="I22" s="23">
        <f t="shared" si="7"/>
        <v>74.824164655550675</v>
      </c>
      <c r="J22" s="23">
        <f t="shared" si="8"/>
        <v>141.9497804461833</v>
      </c>
      <c r="K22" s="21">
        <v>6820970.8499999996</v>
      </c>
      <c r="L22" s="21">
        <v>7204755.4299999997</v>
      </c>
      <c r="M22" s="24">
        <f t="shared" si="9"/>
        <v>-5.3268231479718681E-2</v>
      </c>
      <c r="N22" s="10"/>
      <c r="R22" s="2"/>
    </row>
    <row r="23" spans="1:18" ht="15.75" x14ac:dyDescent="0.25">
      <c r="A23" s="19"/>
      <c r="B23" s="20">
        <f>DATE(2024,10,1)</f>
        <v>45566</v>
      </c>
      <c r="C23" s="21">
        <v>92138</v>
      </c>
      <c r="D23" s="21">
        <v>93178</v>
      </c>
      <c r="E23" s="22">
        <f t="shared" si="5"/>
        <v>-1.1161432956277233E-2</v>
      </c>
      <c r="F23" s="21">
        <f>+C23-42815</f>
        <v>49323</v>
      </c>
      <c r="G23" s="21">
        <f>+D23-45141</f>
        <v>48037</v>
      </c>
      <c r="H23" s="22">
        <f t="shared" si="6"/>
        <v>2.6771030663863271E-2</v>
      </c>
      <c r="I23" s="23">
        <f t="shared" si="7"/>
        <v>71.293246651761493</v>
      </c>
      <c r="J23" s="23">
        <f t="shared" si="8"/>
        <v>133.17959491515114</v>
      </c>
      <c r="K23" s="21">
        <v>6568817.1600000001</v>
      </c>
      <c r="L23" s="21">
        <v>6531079.6299999999</v>
      </c>
      <c r="M23" s="24">
        <f t="shared" si="9"/>
        <v>5.7781457489288427E-3</v>
      </c>
      <c r="N23" s="10"/>
      <c r="R23" s="2"/>
    </row>
    <row r="24" spans="1:18" ht="15.75" x14ac:dyDescent="0.25">
      <c r="A24" s="19"/>
      <c r="B24" s="20">
        <f>DATE(2024,11,1)</f>
        <v>45597</v>
      </c>
      <c r="C24" s="21">
        <v>92599</v>
      </c>
      <c r="D24" s="21">
        <v>89320</v>
      </c>
      <c r="E24" s="22">
        <f t="shared" si="5"/>
        <v>3.6710703090013432E-2</v>
      </c>
      <c r="F24" s="21">
        <f>+C24-45193</f>
        <v>47406</v>
      </c>
      <c r="G24" s="21">
        <f>+D24-43671</f>
        <v>45649</v>
      </c>
      <c r="H24" s="22">
        <f t="shared" si="6"/>
        <v>3.8489342592389758E-2</v>
      </c>
      <c r="I24" s="23">
        <f t="shared" si="7"/>
        <v>79.225231050011345</v>
      </c>
      <c r="J24" s="23">
        <f t="shared" si="8"/>
        <v>154.75208138210354</v>
      </c>
      <c r="K24" s="21">
        <v>7336177.1699999999</v>
      </c>
      <c r="L24" s="21">
        <v>6793569.8899999997</v>
      </c>
      <c r="M24" s="24">
        <f t="shared" si="9"/>
        <v>7.9870714335140272E-2</v>
      </c>
      <c r="N24" s="10"/>
      <c r="R24" s="2"/>
    </row>
    <row r="25" spans="1:18" ht="15.75" x14ac:dyDescent="0.25">
      <c r="A25" s="19"/>
      <c r="B25" s="20">
        <f>DATE(2024,12,1)</f>
        <v>45627</v>
      </c>
      <c r="C25" s="21">
        <v>96752</v>
      </c>
      <c r="D25" s="21">
        <v>103282</v>
      </c>
      <c r="E25" s="22">
        <f t="shared" si="5"/>
        <v>-6.3224956914079894E-2</v>
      </c>
      <c r="F25" s="21">
        <f>+C25-47637</f>
        <v>49115</v>
      </c>
      <c r="G25" s="21">
        <f>+D25-51256</f>
        <v>52026</v>
      </c>
      <c r="H25" s="22">
        <f t="shared" si="6"/>
        <v>-5.5952792834352054E-2</v>
      </c>
      <c r="I25" s="23">
        <f t="shared" si="7"/>
        <v>76.063554965272033</v>
      </c>
      <c r="J25" s="23">
        <f t="shared" si="8"/>
        <v>149.83815677491603</v>
      </c>
      <c r="K25" s="21">
        <v>7359301.0700000003</v>
      </c>
      <c r="L25" s="21">
        <v>7805950.5199999996</v>
      </c>
      <c r="M25" s="24">
        <f t="shared" si="9"/>
        <v>-5.721909828349761E-2</v>
      </c>
      <c r="N25" s="10"/>
      <c r="R25" s="2"/>
    </row>
    <row r="26" spans="1:18" ht="15.75" x14ac:dyDescent="0.25">
      <c r="A26" s="19"/>
      <c r="B26" s="20">
        <f>DATE(2025,1,1)</f>
        <v>45658</v>
      </c>
      <c r="C26" s="21">
        <v>80878</v>
      </c>
      <c r="D26" s="21">
        <v>79391</v>
      </c>
      <c r="E26" s="22">
        <f t="shared" si="5"/>
        <v>1.8730082754972226E-2</v>
      </c>
      <c r="F26" s="21">
        <f>+C26-40002</f>
        <v>40876</v>
      </c>
      <c r="G26" s="21">
        <f>+D26-39096</f>
        <v>40295</v>
      </c>
      <c r="H26" s="22">
        <f t="shared" si="6"/>
        <v>1.44186623650577E-2</v>
      </c>
      <c r="I26" s="23">
        <f t="shared" si="7"/>
        <v>73.514123123717198</v>
      </c>
      <c r="J26" s="23">
        <f t="shared" si="8"/>
        <v>145.45638638810058</v>
      </c>
      <c r="K26" s="21">
        <v>5945675.25</v>
      </c>
      <c r="L26" s="21">
        <v>6005981.8899999997</v>
      </c>
      <c r="M26" s="24">
        <f t="shared" si="9"/>
        <v>-1.0041095878162841E-2</v>
      </c>
      <c r="N26" s="10"/>
      <c r="R26" s="2"/>
    </row>
    <row r="27" spans="1:18" ht="15.75" x14ac:dyDescent="0.25">
      <c r="A27" s="19"/>
      <c r="B27" s="20">
        <f>DATE(2025,2,1)</f>
        <v>45689</v>
      </c>
      <c r="C27" s="21">
        <v>86445</v>
      </c>
      <c r="D27" s="21">
        <v>98851</v>
      </c>
      <c r="E27" s="22">
        <f t="shared" si="5"/>
        <v>-0.12550201818899151</v>
      </c>
      <c r="F27" s="21">
        <f>+C27-42006</f>
        <v>44439</v>
      </c>
      <c r="G27" s="21">
        <f>+D27-48603</f>
        <v>50248</v>
      </c>
      <c r="H27" s="22">
        <f t="shared" si="6"/>
        <v>-0.1156065913071167</v>
      </c>
      <c r="I27" s="23">
        <f t="shared" si="7"/>
        <v>78.712598415177283</v>
      </c>
      <c r="J27" s="23">
        <f t="shared" si="8"/>
        <v>153.11574450370171</v>
      </c>
      <c r="K27" s="21">
        <v>6804310.5700000003</v>
      </c>
      <c r="L27" s="21">
        <v>7086214.7999999998</v>
      </c>
      <c r="M27" s="24">
        <f t="shared" si="9"/>
        <v>-3.9782061080056386E-2</v>
      </c>
      <c r="N27" s="10"/>
      <c r="R27" s="2"/>
    </row>
    <row r="28" spans="1:18" ht="15.75" customHeight="1" thickBot="1" x14ac:dyDescent="0.3">
      <c r="A28" s="19"/>
      <c r="B28" s="20"/>
      <c r="C28" s="21"/>
      <c r="D28" s="21"/>
      <c r="E28" s="22"/>
      <c r="F28" s="21"/>
      <c r="G28" s="21"/>
      <c r="H28" s="22"/>
      <c r="I28" s="23"/>
      <c r="J28" s="23"/>
      <c r="K28" s="21"/>
      <c r="L28" s="21"/>
      <c r="M28" s="24"/>
      <c r="N28" s="10"/>
      <c r="R28" s="2"/>
    </row>
    <row r="29" spans="1:18" ht="17.25" customHeight="1" thickTop="1" thickBot="1" x14ac:dyDescent="0.3">
      <c r="A29" s="25" t="s">
        <v>14</v>
      </c>
      <c r="B29" s="26"/>
      <c r="C29" s="27">
        <f>SUM(C20:C28)</f>
        <v>729947</v>
      </c>
      <c r="D29" s="27">
        <f>SUM(D20:D28)</f>
        <v>782578</v>
      </c>
      <c r="E29" s="278">
        <f>(+C29-D29)/D29</f>
        <v>-6.7253360048455238E-2</v>
      </c>
      <c r="F29" s="27">
        <f>SUM(F20:F28)</f>
        <v>378823</v>
      </c>
      <c r="G29" s="27">
        <f>SUM(G20:G28)</f>
        <v>399886</v>
      </c>
      <c r="H29" s="29">
        <f>(+F29-G29)/G29</f>
        <v>-5.2672511665824762E-2</v>
      </c>
      <c r="I29" s="30">
        <f>K29/C29</f>
        <v>74.994126463976144</v>
      </c>
      <c r="J29" s="30">
        <f>K29/F29</f>
        <v>144.50478885917695</v>
      </c>
      <c r="K29" s="27">
        <f>SUM(K20:K28)</f>
        <v>54741737.629999995</v>
      </c>
      <c r="L29" s="27">
        <f>SUM(L20:L28)</f>
        <v>57095971.50999999</v>
      </c>
      <c r="M29" s="31">
        <f>(+K29-L29)/L29</f>
        <v>-4.1232924455758956E-2</v>
      </c>
      <c r="N29" s="10"/>
      <c r="R29" s="2"/>
    </row>
    <row r="30" spans="1:18" ht="15.75" customHeight="1" thickTop="1" x14ac:dyDescent="0.25">
      <c r="A30" s="32"/>
      <c r="B30" s="33"/>
      <c r="C30" s="34"/>
      <c r="D30" s="34"/>
      <c r="E30" s="28"/>
      <c r="F30" s="34"/>
      <c r="G30" s="34"/>
      <c r="H30" s="28"/>
      <c r="I30" s="35"/>
      <c r="J30" s="35"/>
      <c r="K30" s="34"/>
      <c r="L30" s="34"/>
      <c r="M30" s="36"/>
      <c r="N30" s="10"/>
      <c r="R30" s="2"/>
    </row>
    <row r="31" spans="1:18" ht="15.75" customHeight="1" x14ac:dyDescent="0.25">
      <c r="A31" s="19" t="s">
        <v>62</v>
      </c>
      <c r="B31" s="20">
        <f>DATE(2024,7,1)</f>
        <v>45474</v>
      </c>
      <c r="C31" s="21">
        <v>53756</v>
      </c>
      <c r="D31" s="21">
        <v>62207</v>
      </c>
      <c r="E31" s="22">
        <f t="shared" ref="E31:E38" si="10">(+C31-D31)/D31</f>
        <v>-0.13585287829343964</v>
      </c>
      <c r="F31" s="21">
        <f>+C31-27520</f>
        <v>26236</v>
      </c>
      <c r="G31" s="21">
        <f>+D31-32355</f>
        <v>29852</v>
      </c>
      <c r="H31" s="22">
        <f t="shared" ref="H31:H38" si="11">(+F31-G31)/G31</f>
        <v>-0.12113091250167493</v>
      </c>
      <c r="I31" s="23">
        <f t="shared" ref="I31:I38" si="12">K31/C31</f>
        <v>71.938724793511426</v>
      </c>
      <c r="J31" s="23">
        <f t="shared" ref="J31:J38" si="13">K31/F31</f>
        <v>147.39815863698735</v>
      </c>
      <c r="K31" s="21">
        <v>3867138.09</v>
      </c>
      <c r="L31" s="21">
        <v>3894925.49</v>
      </c>
      <c r="M31" s="24">
        <f t="shared" ref="M31:M38" si="14">(+K31-L31)/L31</f>
        <v>-7.1342571433889923E-3</v>
      </c>
      <c r="N31" s="10"/>
      <c r="R31" s="2"/>
    </row>
    <row r="32" spans="1:18" ht="15.75" customHeight="1" x14ac:dyDescent="0.25">
      <c r="A32" s="19"/>
      <c r="B32" s="20">
        <f>DATE(2024,8,1)</f>
        <v>45505</v>
      </c>
      <c r="C32" s="21">
        <v>54520</v>
      </c>
      <c r="D32" s="21">
        <v>55791</v>
      </c>
      <c r="E32" s="22">
        <f t="shared" si="10"/>
        <v>-2.2781452205552867E-2</v>
      </c>
      <c r="F32" s="21">
        <f>+C32-28215</f>
        <v>26305</v>
      </c>
      <c r="G32" s="21">
        <f>+D32-28978</f>
        <v>26813</v>
      </c>
      <c r="H32" s="22">
        <f t="shared" si="11"/>
        <v>-1.8946033640398315E-2</v>
      </c>
      <c r="I32" s="23">
        <f t="shared" si="12"/>
        <v>71.996543103448275</v>
      </c>
      <c r="J32" s="23">
        <f t="shared" si="13"/>
        <v>149.22073864284357</v>
      </c>
      <c r="K32" s="21">
        <v>3925251.53</v>
      </c>
      <c r="L32" s="21">
        <v>3757372.71</v>
      </c>
      <c r="M32" s="24">
        <f t="shared" si="14"/>
        <v>4.4679842261376258E-2</v>
      </c>
      <c r="N32" s="10"/>
      <c r="R32" s="2"/>
    </row>
    <row r="33" spans="1:18" ht="15.75" customHeight="1" x14ac:dyDescent="0.25">
      <c r="A33" s="19"/>
      <c r="B33" s="20">
        <f>DATE(2024,9,1)</f>
        <v>45536</v>
      </c>
      <c r="C33" s="21">
        <v>50120</v>
      </c>
      <c r="D33" s="21">
        <v>56687</v>
      </c>
      <c r="E33" s="22">
        <f t="shared" si="10"/>
        <v>-0.11584666678427152</v>
      </c>
      <c r="F33" s="21">
        <f>+C33-26015</f>
        <v>24105</v>
      </c>
      <c r="G33" s="21">
        <f>+D33-29799</f>
        <v>26888</v>
      </c>
      <c r="H33" s="22">
        <f t="shared" si="11"/>
        <v>-0.10350342160071407</v>
      </c>
      <c r="I33" s="23">
        <f t="shared" si="12"/>
        <v>75.994309257781325</v>
      </c>
      <c r="J33" s="23">
        <f t="shared" si="13"/>
        <v>158.01015473968056</v>
      </c>
      <c r="K33" s="21">
        <v>3808834.78</v>
      </c>
      <c r="L33" s="21">
        <v>4023483.06</v>
      </c>
      <c r="M33" s="24">
        <f t="shared" si="14"/>
        <v>-5.3348871313503243E-2</v>
      </c>
      <c r="N33" s="10"/>
      <c r="R33" s="2"/>
    </row>
    <row r="34" spans="1:18" ht="15.75" customHeight="1" x14ac:dyDescent="0.25">
      <c r="A34" s="19"/>
      <c r="B34" s="20">
        <f>DATE(2024,10,1)</f>
        <v>45566</v>
      </c>
      <c r="C34" s="21">
        <v>42557</v>
      </c>
      <c r="D34" s="21">
        <v>50318</v>
      </c>
      <c r="E34" s="22">
        <f t="shared" si="10"/>
        <v>-0.15423903970746056</v>
      </c>
      <c r="F34" s="21">
        <f>+C34-21743</f>
        <v>20814</v>
      </c>
      <c r="G34" s="21">
        <f>+D34-26291</f>
        <v>24027</v>
      </c>
      <c r="H34" s="22">
        <f t="shared" si="11"/>
        <v>-0.13372455987014609</v>
      </c>
      <c r="I34" s="23">
        <f t="shared" si="12"/>
        <v>71.04266959607115</v>
      </c>
      <c r="J34" s="23">
        <f t="shared" si="13"/>
        <v>145.25621648890171</v>
      </c>
      <c r="K34" s="21">
        <v>3023362.89</v>
      </c>
      <c r="L34" s="21">
        <v>3701664.9</v>
      </c>
      <c r="M34" s="24">
        <f t="shared" si="14"/>
        <v>-0.18324241343401987</v>
      </c>
      <c r="N34" s="10"/>
      <c r="R34" s="2"/>
    </row>
    <row r="35" spans="1:18" ht="15.75" customHeight="1" x14ac:dyDescent="0.25">
      <c r="A35" s="19"/>
      <c r="B35" s="20">
        <f>DATE(2024,11,1)</f>
        <v>45597</v>
      </c>
      <c r="C35" s="21">
        <v>78482</v>
      </c>
      <c r="D35" s="21">
        <v>50263</v>
      </c>
      <c r="E35" s="22">
        <f t="shared" si="10"/>
        <v>0.56142689453474726</v>
      </c>
      <c r="F35" s="21">
        <f>+C35-44771</f>
        <v>33711</v>
      </c>
      <c r="G35" s="21">
        <f>+D35-26764</f>
        <v>23499</v>
      </c>
      <c r="H35" s="22">
        <f t="shared" si="11"/>
        <v>0.43457168390144263</v>
      </c>
      <c r="I35" s="23">
        <f t="shared" si="12"/>
        <v>66.944502561096812</v>
      </c>
      <c r="J35" s="23">
        <f t="shared" si="13"/>
        <v>155.85234641511673</v>
      </c>
      <c r="K35" s="21">
        <v>5253938.45</v>
      </c>
      <c r="L35" s="21">
        <v>3581956.35</v>
      </c>
      <c r="M35" s="24">
        <f t="shared" si="14"/>
        <v>0.46677902705319119</v>
      </c>
      <c r="N35" s="10"/>
      <c r="R35" s="2"/>
    </row>
    <row r="36" spans="1:18" ht="15.75" customHeight="1" x14ac:dyDescent="0.25">
      <c r="A36" s="19"/>
      <c r="B36" s="20">
        <f>DATE(2024,12,1)</f>
        <v>45627</v>
      </c>
      <c r="C36" s="21">
        <v>65653</v>
      </c>
      <c r="D36" s="21">
        <v>56340</v>
      </c>
      <c r="E36" s="22">
        <f t="shared" si="10"/>
        <v>0.16529996450124246</v>
      </c>
      <c r="F36" s="21">
        <f>+C36-37748</f>
        <v>27905</v>
      </c>
      <c r="G36" s="21">
        <f>+D36-30403</f>
        <v>25937</v>
      </c>
      <c r="H36" s="22">
        <f t="shared" si="11"/>
        <v>7.5876161468172887E-2</v>
      </c>
      <c r="I36" s="23">
        <f t="shared" si="12"/>
        <v>73.466393767230755</v>
      </c>
      <c r="J36" s="23">
        <f t="shared" si="13"/>
        <v>172.84677118795915</v>
      </c>
      <c r="K36" s="21">
        <v>4823289.1500000004</v>
      </c>
      <c r="L36" s="21">
        <v>4065822.7200000002</v>
      </c>
      <c r="M36" s="24">
        <f t="shared" si="14"/>
        <v>0.18630089951388734</v>
      </c>
      <c r="N36" s="10"/>
      <c r="R36" s="2"/>
    </row>
    <row r="37" spans="1:18" ht="15.75" customHeight="1" x14ac:dyDescent="0.25">
      <c r="A37" s="19"/>
      <c r="B37" s="20">
        <f>DATE(2025,1,1)</f>
        <v>45658</v>
      </c>
      <c r="C37" s="21">
        <v>59115</v>
      </c>
      <c r="D37" s="21">
        <v>44640</v>
      </c>
      <c r="E37" s="22">
        <f t="shared" si="10"/>
        <v>0.32426075268817206</v>
      </c>
      <c r="F37" s="21">
        <f>+C37-33264</f>
        <v>25851</v>
      </c>
      <c r="G37" s="21">
        <f>+D37-24389</f>
        <v>20251</v>
      </c>
      <c r="H37" s="22">
        <f t="shared" si="11"/>
        <v>0.27652955409609403</v>
      </c>
      <c r="I37" s="23">
        <f t="shared" si="12"/>
        <v>71.993870083735089</v>
      </c>
      <c r="J37" s="23">
        <f t="shared" si="13"/>
        <v>164.6326111175583</v>
      </c>
      <c r="K37" s="21">
        <v>4255917.63</v>
      </c>
      <c r="L37" s="21">
        <v>3375949.94</v>
      </c>
      <c r="M37" s="24">
        <f t="shared" si="14"/>
        <v>0.26065780169714248</v>
      </c>
      <c r="N37" s="10"/>
      <c r="R37" s="2"/>
    </row>
    <row r="38" spans="1:18" ht="15.75" customHeight="1" x14ac:dyDescent="0.25">
      <c r="A38" s="19"/>
      <c r="B38" s="20">
        <f>DATE(2025,2,1)</f>
        <v>45689</v>
      </c>
      <c r="C38" s="21">
        <v>61538</v>
      </c>
      <c r="D38" s="21">
        <v>57139</v>
      </c>
      <c r="E38" s="22">
        <f t="shared" si="10"/>
        <v>7.6987696669525194E-2</v>
      </c>
      <c r="F38" s="21">
        <f>+C38-35219</f>
        <v>26319</v>
      </c>
      <c r="G38" s="21">
        <f>+D38-30913</f>
        <v>26226</v>
      </c>
      <c r="H38" s="22">
        <f t="shared" si="11"/>
        <v>3.5460992907801418E-3</v>
      </c>
      <c r="I38" s="23">
        <f t="shared" si="12"/>
        <v>72.79509392570445</v>
      </c>
      <c r="J38" s="23">
        <f t="shared" si="13"/>
        <v>170.20648542877771</v>
      </c>
      <c r="K38" s="21">
        <v>4479664.49</v>
      </c>
      <c r="L38" s="21">
        <v>4061938.43</v>
      </c>
      <c r="M38" s="24">
        <f t="shared" si="14"/>
        <v>0.10283909202434662</v>
      </c>
      <c r="N38" s="10"/>
      <c r="R38" s="2"/>
    </row>
    <row r="39" spans="1:18" ht="15.75" customHeight="1" thickBot="1" x14ac:dyDescent="0.25">
      <c r="A39" s="37"/>
      <c r="B39" s="20"/>
      <c r="C39" s="21"/>
      <c r="D39" s="21"/>
      <c r="E39" s="22"/>
      <c r="F39" s="21"/>
      <c r="G39" s="21"/>
      <c r="H39" s="22"/>
      <c r="I39" s="23"/>
      <c r="J39" s="23"/>
      <c r="K39" s="21"/>
      <c r="L39" s="21"/>
      <c r="M39" s="24"/>
      <c r="N39" s="10"/>
      <c r="R39" s="2"/>
    </row>
    <row r="40" spans="1:18" ht="17.25" customHeight="1" thickTop="1" thickBot="1" x14ac:dyDescent="0.3">
      <c r="A40" s="38" t="s">
        <v>14</v>
      </c>
      <c r="B40" s="39"/>
      <c r="C40" s="40">
        <f>SUM(C31:C39)</f>
        <v>465741</v>
      </c>
      <c r="D40" s="40">
        <f>SUM(D31:D39)</f>
        <v>433385</v>
      </c>
      <c r="E40" s="279">
        <f>(+C40-D40)/D40</f>
        <v>7.465879068264937E-2</v>
      </c>
      <c r="F40" s="40">
        <f>SUM(F31:F39)</f>
        <v>211246</v>
      </c>
      <c r="G40" s="40">
        <f>SUM(G31:G39)</f>
        <v>203493</v>
      </c>
      <c r="H40" s="41">
        <f>(+F40-G40)/G40</f>
        <v>3.8099590649309803E-2</v>
      </c>
      <c r="I40" s="42">
        <f>K40/C40</f>
        <v>71.793973495998841</v>
      </c>
      <c r="J40" s="42">
        <f>K40/F40</f>
        <v>158.28653328347045</v>
      </c>
      <c r="K40" s="40">
        <f>SUM(K31:K39)</f>
        <v>33437397.009999998</v>
      </c>
      <c r="L40" s="40">
        <f>SUM(L31:L39)</f>
        <v>30463113.600000001</v>
      </c>
      <c r="M40" s="43">
        <f>(+K40-L40)/L40</f>
        <v>9.7635568348469676E-2</v>
      </c>
      <c r="N40" s="10"/>
      <c r="R40" s="2"/>
    </row>
    <row r="41" spans="1:18" ht="15.75" customHeight="1" thickTop="1" x14ac:dyDescent="0.2">
      <c r="A41" s="37"/>
      <c r="B41" s="44"/>
      <c r="C41" s="21"/>
      <c r="D41" s="21"/>
      <c r="E41" s="22"/>
      <c r="F41" s="21"/>
      <c r="G41" s="21"/>
      <c r="H41" s="22"/>
      <c r="I41" s="23"/>
      <c r="J41" s="23"/>
      <c r="K41" s="21"/>
      <c r="L41" s="21"/>
      <c r="M41" s="24"/>
      <c r="N41" s="10"/>
      <c r="R41" s="2"/>
    </row>
    <row r="42" spans="1:18" ht="15.75" customHeight="1" x14ac:dyDescent="0.25">
      <c r="A42" s="176" t="s">
        <v>58</v>
      </c>
      <c r="B42" s="20">
        <f>DATE(2024,7,1)</f>
        <v>45474</v>
      </c>
      <c r="C42" s="21">
        <v>318097</v>
      </c>
      <c r="D42" s="21">
        <v>351840</v>
      </c>
      <c r="E42" s="22">
        <f t="shared" ref="E42:E49" si="15">(+C42-D42)/D42</f>
        <v>-9.5904388358344708E-2</v>
      </c>
      <c r="F42" s="21">
        <f>+C42-155689</f>
        <v>162408</v>
      </c>
      <c r="G42" s="21">
        <f>+D42-174244</f>
        <v>177596</v>
      </c>
      <c r="H42" s="22">
        <f t="shared" ref="H42:H49" si="16">(+F42-G42)/G42</f>
        <v>-8.5519944142886106E-2</v>
      </c>
      <c r="I42" s="23">
        <f t="shared" ref="I42:I49" si="17">K42/C42</f>
        <v>64.633182048243143</v>
      </c>
      <c r="J42" s="23">
        <f t="shared" ref="J42:J49" si="18">K42/F42</f>
        <v>126.59241730702921</v>
      </c>
      <c r="K42" s="21">
        <v>20559621.309999999</v>
      </c>
      <c r="L42" s="21">
        <v>22259690.579999998</v>
      </c>
      <c r="M42" s="24">
        <f t="shared" ref="M42:M49" si="19">(+K42-L42)/L42</f>
        <v>-7.6374344193601978E-2</v>
      </c>
      <c r="N42" s="10"/>
      <c r="R42" s="2"/>
    </row>
    <row r="43" spans="1:18" ht="15.75" customHeight="1" x14ac:dyDescent="0.25">
      <c r="A43" s="176"/>
      <c r="B43" s="20">
        <f>DATE(2024,8,1)</f>
        <v>45505</v>
      </c>
      <c r="C43" s="21">
        <v>340265</v>
      </c>
      <c r="D43" s="21">
        <v>330822</v>
      </c>
      <c r="E43" s="22">
        <f t="shared" si="15"/>
        <v>2.8544050879324833E-2</v>
      </c>
      <c r="F43" s="21">
        <f>+C43-163301</f>
        <v>176964</v>
      </c>
      <c r="G43" s="21">
        <f>+D43-166752</f>
        <v>164070</v>
      </c>
      <c r="H43" s="22">
        <f t="shared" si="16"/>
        <v>7.8588407387090872E-2</v>
      </c>
      <c r="I43" s="23">
        <f t="shared" si="17"/>
        <v>67.389388888072531</v>
      </c>
      <c r="J43" s="23">
        <f t="shared" si="18"/>
        <v>129.57579174295336</v>
      </c>
      <c r="K43" s="21">
        <v>22930250.41</v>
      </c>
      <c r="L43" s="21">
        <v>19955458.68</v>
      </c>
      <c r="M43" s="24">
        <f t="shared" si="19"/>
        <v>0.14907157874458843</v>
      </c>
      <c r="N43" s="10"/>
      <c r="R43" s="2"/>
    </row>
    <row r="44" spans="1:18" ht="15.75" customHeight="1" x14ac:dyDescent="0.25">
      <c r="A44" s="176"/>
      <c r="B44" s="20">
        <f>DATE(2024,9,1)</f>
        <v>45536</v>
      </c>
      <c r="C44" s="21">
        <v>306427</v>
      </c>
      <c r="D44" s="21">
        <v>316962</v>
      </c>
      <c r="E44" s="22">
        <f t="shared" si="15"/>
        <v>-3.3237422782541756E-2</v>
      </c>
      <c r="F44" s="21">
        <f>+C44-149563</f>
        <v>156864</v>
      </c>
      <c r="G44" s="21">
        <f>+D44-158185</f>
        <v>158777</v>
      </c>
      <c r="H44" s="22">
        <f t="shared" si="16"/>
        <v>-1.2048344533528156E-2</v>
      </c>
      <c r="I44" s="23">
        <f t="shared" si="17"/>
        <v>66.079214266366876</v>
      </c>
      <c r="J44" s="23">
        <f t="shared" si="18"/>
        <v>129.08287044828643</v>
      </c>
      <c r="K44" s="21">
        <v>20248455.390000001</v>
      </c>
      <c r="L44" s="21">
        <v>20493083.73</v>
      </c>
      <c r="M44" s="24">
        <f t="shared" si="19"/>
        <v>-1.1937117089015077E-2</v>
      </c>
      <c r="N44" s="10"/>
      <c r="R44" s="2"/>
    </row>
    <row r="45" spans="1:18" ht="15.75" customHeight="1" x14ac:dyDescent="0.25">
      <c r="A45" s="176"/>
      <c r="B45" s="20">
        <f>DATE(2024,10,1)</f>
        <v>45566</v>
      </c>
      <c r="C45" s="21">
        <v>285650</v>
      </c>
      <c r="D45" s="21">
        <v>288802</v>
      </c>
      <c r="E45" s="22">
        <f t="shared" si="15"/>
        <v>-1.0914051841746248E-2</v>
      </c>
      <c r="F45" s="21">
        <f>+C45-140651</f>
        <v>144999</v>
      </c>
      <c r="G45" s="21">
        <f>+D45-147350</f>
        <v>141452</v>
      </c>
      <c r="H45" s="22">
        <f t="shared" si="16"/>
        <v>2.507564403472556E-2</v>
      </c>
      <c r="I45" s="23">
        <f t="shared" si="17"/>
        <v>75.551019779450385</v>
      </c>
      <c r="J45" s="23">
        <f t="shared" si="18"/>
        <v>148.83653542438225</v>
      </c>
      <c r="K45" s="21">
        <v>21581148.800000001</v>
      </c>
      <c r="L45" s="21">
        <v>19345312.379999999</v>
      </c>
      <c r="M45" s="24">
        <f t="shared" si="19"/>
        <v>0.11557510036961222</v>
      </c>
      <c r="N45" s="10"/>
      <c r="R45" s="2"/>
    </row>
    <row r="46" spans="1:18" ht="15.75" customHeight="1" x14ac:dyDescent="0.25">
      <c r="A46" s="176"/>
      <c r="B46" s="20">
        <f>DATE(2024,11,1)</f>
        <v>45597</v>
      </c>
      <c r="C46" s="21">
        <v>289423</v>
      </c>
      <c r="D46" s="21">
        <v>288915</v>
      </c>
      <c r="E46" s="22">
        <f t="shared" si="15"/>
        <v>1.7583026149559559E-3</v>
      </c>
      <c r="F46" s="21">
        <f>+C46-144427</f>
        <v>144996</v>
      </c>
      <c r="G46" s="21">
        <f>+D46-147815</f>
        <v>141100</v>
      </c>
      <c r="H46" s="22">
        <f t="shared" si="16"/>
        <v>2.7611622962437986E-2</v>
      </c>
      <c r="I46" s="23">
        <f t="shared" si="17"/>
        <v>66.943453284638736</v>
      </c>
      <c r="J46" s="23">
        <f t="shared" si="18"/>
        <v>133.62420397804075</v>
      </c>
      <c r="K46" s="21">
        <v>19374975.079999998</v>
      </c>
      <c r="L46" s="21">
        <v>19711040.77</v>
      </c>
      <c r="M46" s="24">
        <f t="shared" si="19"/>
        <v>-1.7049616705754566E-2</v>
      </c>
      <c r="N46" s="10"/>
      <c r="R46" s="2"/>
    </row>
    <row r="47" spans="1:18" ht="15.75" customHeight="1" x14ac:dyDescent="0.25">
      <c r="A47" s="176"/>
      <c r="B47" s="20">
        <f>DATE(2024,12,1)</f>
        <v>45627</v>
      </c>
      <c r="C47" s="21">
        <v>305531</v>
      </c>
      <c r="D47" s="21">
        <v>314743</v>
      </c>
      <c r="E47" s="22">
        <f t="shared" si="15"/>
        <v>-2.9268323679954758E-2</v>
      </c>
      <c r="F47" s="21">
        <f>+C47-153334</f>
        <v>152197</v>
      </c>
      <c r="G47" s="21">
        <f>+D47-159932</f>
        <v>154811</v>
      </c>
      <c r="H47" s="22">
        <f t="shared" si="16"/>
        <v>-1.6885105063593673E-2</v>
      </c>
      <c r="I47" s="23">
        <f t="shared" si="17"/>
        <v>73.313273481250675</v>
      </c>
      <c r="J47" s="23">
        <f t="shared" si="18"/>
        <v>147.17423970249087</v>
      </c>
      <c r="K47" s="21">
        <v>22399477.760000002</v>
      </c>
      <c r="L47" s="21">
        <v>21373863.960000001</v>
      </c>
      <c r="M47" s="24">
        <f t="shared" si="19"/>
        <v>4.7984482446383113E-2</v>
      </c>
      <c r="N47" s="10"/>
      <c r="R47" s="2"/>
    </row>
    <row r="48" spans="1:18" ht="15.75" customHeight="1" x14ac:dyDescent="0.25">
      <c r="A48" s="176"/>
      <c r="B48" s="20">
        <f>DATE(2025,1,1)</f>
        <v>45658</v>
      </c>
      <c r="C48" s="21">
        <v>268474</v>
      </c>
      <c r="D48" s="21">
        <v>259823</v>
      </c>
      <c r="E48" s="22">
        <f t="shared" si="15"/>
        <v>3.3295743640863205E-2</v>
      </c>
      <c r="F48" s="21">
        <f>+C48-136675</f>
        <v>131799</v>
      </c>
      <c r="G48" s="21">
        <f>+D48-132099</f>
        <v>127724</v>
      </c>
      <c r="H48" s="22">
        <f t="shared" si="16"/>
        <v>3.1904732078544364E-2</v>
      </c>
      <c r="I48" s="23">
        <f t="shared" si="17"/>
        <v>69.613945745211822</v>
      </c>
      <c r="J48" s="23">
        <f t="shared" si="18"/>
        <v>141.80331011616173</v>
      </c>
      <c r="K48" s="21">
        <v>18689534.469999999</v>
      </c>
      <c r="L48" s="21">
        <v>18010285.739999998</v>
      </c>
      <c r="M48" s="24">
        <f t="shared" si="19"/>
        <v>3.7714489364897803E-2</v>
      </c>
      <c r="N48" s="10"/>
      <c r="R48" s="2"/>
    </row>
    <row r="49" spans="1:18" ht="15.75" customHeight="1" x14ac:dyDescent="0.25">
      <c r="A49" s="176"/>
      <c r="B49" s="20">
        <f>DATE(2025,2,1)</f>
        <v>45689</v>
      </c>
      <c r="C49" s="21">
        <v>274476</v>
      </c>
      <c r="D49" s="21">
        <v>307468</v>
      </c>
      <c r="E49" s="22">
        <f t="shared" si="15"/>
        <v>-0.10730222332080086</v>
      </c>
      <c r="F49" s="21">
        <f>+C49-142761</f>
        <v>131715</v>
      </c>
      <c r="G49" s="21">
        <f>+D49-157418</f>
        <v>150050</v>
      </c>
      <c r="H49" s="22">
        <f t="shared" si="16"/>
        <v>-0.12219260246584472</v>
      </c>
      <c r="I49" s="23">
        <f t="shared" si="17"/>
        <v>69.381704229149349</v>
      </c>
      <c r="J49" s="23">
        <f t="shared" si="18"/>
        <v>144.58195839501954</v>
      </c>
      <c r="K49" s="21">
        <v>19043612.649999999</v>
      </c>
      <c r="L49" s="21">
        <v>20662368.370000001</v>
      </c>
      <c r="M49" s="24">
        <f t="shared" si="19"/>
        <v>-7.8343183657024432E-2</v>
      </c>
      <c r="N49" s="10"/>
      <c r="R49" s="2"/>
    </row>
    <row r="50" spans="1:18" ht="15.75" thickBot="1" x14ac:dyDescent="0.25">
      <c r="A50" s="37"/>
      <c r="B50" s="44"/>
      <c r="C50" s="21"/>
      <c r="D50" s="21"/>
      <c r="E50" s="22"/>
      <c r="F50" s="21"/>
      <c r="G50" s="21"/>
      <c r="H50" s="22"/>
      <c r="I50" s="23"/>
      <c r="J50" s="23"/>
      <c r="K50" s="21"/>
      <c r="L50" s="21"/>
      <c r="M50" s="24"/>
      <c r="N50" s="10"/>
      <c r="R50" s="2"/>
    </row>
    <row r="51" spans="1:18" ht="17.25" thickTop="1" thickBot="1" x14ac:dyDescent="0.3">
      <c r="A51" s="38" t="s">
        <v>14</v>
      </c>
      <c r="B51" s="39"/>
      <c r="C51" s="40">
        <f>SUM(C42:C50)</f>
        <v>2388343</v>
      </c>
      <c r="D51" s="40">
        <f>SUM(D42:D50)</f>
        <v>2459375</v>
      </c>
      <c r="E51" s="279">
        <f>(+C51-D51)/D51</f>
        <v>-2.8882134688691233E-2</v>
      </c>
      <c r="F51" s="40">
        <f>SUM(F42:F50)</f>
        <v>1201942</v>
      </c>
      <c r="G51" s="40">
        <f>SUM(G42:G50)</f>
        <v>1215580</v>
      </c>
      <c r="H51" s="41">
        <f>(+F51-G51)/G51</f>
        <v>-1.1219335625791802E-2</v>
      </c>
      <c r="I51" s="42">
        <f>K51/C51</f>
        <v>69.013150904204295</v>
      </c>
      <c r="J51" s="42">
        <f>K51/F51</f>
        <v>137.13396808664646</v>
      </c>
      <c r="K51" s="40">
        <f>SUM(K42:K50)</f>
        <v>164827075.87</v>
      </c>
      <c r="L51" s="40">
        <f>SUM(L42:L50)</f>
        <v>161811104.21000001</v>
      </c>
      <c r="M51" s="43">
        <f>(+K51-L51)/L51</f>
        <v>1.8638842338569293E-2</v>
      </c>
      <c r="N51" s="10"/>
      <c r="R51" s="2"/>
    </row>
    <row r="52" spans="1:18" ht="15.75" thickTop="1" x14ac:dyDescent="0.2">
      <c r="A52" s="37"/>
      <c r="B52" s="44"/>
      <c r="C52" s="21"/>
      <c r="D52" s="21"/>
      <c r="E52" s="22"/>
      <c r="F52" s="21"/>
      <c r="G52" s="21"/>
      <c r="H52" s="22"/>
      <c r="I52" s="23"/>
      <c r="J52" s="23"/>
      <c r="K52" s="21"/>
      <c r="L52" s="21"/>
      <c r="M52" s="24"/>
      <c r="N52" s="10"/>
      <c r="R52" s="2"/>
    </row>
    <row r="53" spans="1:18" ht="15.75" x14ac:dyDescent="0.25">
      <c r="A53" s="19" t="s">
        <v>60</v>
      </c>
      <c r="B53" s="20">
        <f>DATE(2024,7,1)</f>
        <v>45474</v>
      </c>
      <c r="C53" s="21">
        <v>164838</v>
      </c>
      <c r="D53" s="21">
        <v>199698</v>
      </c>
      <c r="E53" s="22">
        <f t="shared" ref="E53:E60" si="20">(+C53-D53)/D53</f>
        <v>-0.1745635910224439</v>
      </c>
      <c r="F53" s="21">
        <f>+C53-73814</f>
        <v>91024</v>
      </c>
      <c r="G53" s="21">
        <f>+D53-94634</f>
        <v>105064</v>
      </c>
      <c r="H53" s="22">
        <f t="shared" ref="H53:H60" si="21">(+F53-G53)/G53</f>
        <v>-0.13363283332064266</v>
      </c>
      <c r="I53" s="23">
        <f t="shared" ref="I53:I60" si="22">K53/C53</f>
        <v>77.194064960749344</v>
      </c>
      <c r="J53" s="23">
        <f t="shared" ref="J53:J60" si="23">K53/F53</f>
        <v>139.79296976621549</v>
      </c>
      <c r="K53" s="21">
        <v>12724515.279999999</v>
      </c>
      <c r="L53" s="21">
        <v>15375724.09</v>
      </c>
      <c r="M53" s="24">
        <f t="shared" ref="M53:M60" si="24">(+K53-L53)/L53</f>
        <v>-0.17242822480954134</v>
      </c>
      <c r="N53" s="10"/>
      <c r="R53" s="2"/>
    </row>
    <row r="54" spans="1:18" ht="15.75" x14ac:dyDescent="0.25">
      <c r="A54" s="19"/>
      <c r="B54" s="20">
        <f>DATE(2024,8,1)</f>
        <v>45505</v>
      </c>
      <c r="C54" s="21">
        <v>175348</v>
      </c>
      <c r="D54" s="21">
        <v>185862</v>
      </c>
      <c r="E54" s="22">
        <f t="shared" si="20"/>
        <v>-5.6568852159128817E-2</v>
      </c>
      <c r="F54" s="21">
        <f>+C54-80823</f>
        <v>94525</v>
      </c>
      <c r="G54" s="21">
        <f>+D54-90658</f>
        <v>95204</v>
      </c>
      <c r="H54" s="22">
        <f t="shared" si="21"/>
        <v>-7.1320532750724763E-3</v>
      </c>
      <c r="I54" s="23">
        <f t="shared" si="22"/>
        <v>78.751777493897848</v>
      </c>
      <c r="J54" s="23">
        <f t="shared" si="23"/>
        <v>146.08798391959797</v>
      </c>
      <c r="K54" s="21">
        <v>13808966.68</v>
      </c>
      <c r="L54" s="21">
        <v>14073101.49</v>
      </c>
      <c r="M54" s="24">
        <f t="shared" si="24"/>
        <v>-1.8768770351559549E-2</v>
      </c>
      <c r="N54" s="10"/>
      <c r="R54" s="2"/>
    </row>
    <row r="55" spans="1:18" ht="15.75" x14ac:dyDescent="0.25">
      <c r="A55" s="19"/>
      <c r="B55" s="20">
        <f>DATE(2024,9,1)</f>
        <v>45536</v>
      </c>
      <c r="C55" s="21">
        <v>160883</v>
      </c>
      <c r="D55" s="21">
        <v>187631</v>
      </c>
      <c r="E55" s="22">
        <f t="shared" si="20"/>
        <v>-0.14255640059478444</v>
      </c>
      <c r="F55" s="21">
        <f>+C55-72644</f>
        <v>88239</v>
      </c>
      <c r="G55" s="21">
        <f>+D55-91547</f>
        <v>96084</v>
      </c>
      <c r="H55" s="22">
        <f t="shared" si="21"/>
        <v>-8.1647308604970645E-2</v>
      </c>
      <c r="I55" s="23">
        <f t="shared" si="22"/>
        <v>77.902969052044028</v>
      </c>
      <c r="J55" s="23">
        <f t="shared" si="23"/>
        <v>142.03768594385701</v>
      </c>
      <c r="K55" s="21">
        <v>12533263.369999999</v>
      </c>
      <c r="L55" s="21">
        <v>13833160.67</v>
      </c>
      <c r="M55" s="24">
        <f t="shared" si="24"/>
        <v>-9.3969652417837543E-2</v>
      </c>
      <c r="N55" s="10"/>
      <c r="R55" s="2"/>
    </row>
    <row r="56" spans="1:18" ht="15.75" x14ac:dyDescent="0.25">
      <c r="A56" s="19"/>
      <c r="B56" s="20">
        <f>DATE(2024,10,1)</f>
        <v>45566</v>
      </c>
      <c r="C56" s="21">
        <v>173754</v>
      </c>
      <c r="D56" s="21">
        <v>183725</v>
      </c>
      <c r="E56" s="22">
        <f t="shared" si="20"/>
        <v>-5.4271329432575864E-2</v>
      </c>
      <c r="F56" s="21">
        <f>+C56-80828</f>
        <v>92926</v>
      </c>
      <c r="G56" s="21">
        <f>+D56-90840</f>
        <v>92885</v>
      </c>
      <c r="H56" s="22">
        <f t="shared" si="21"/>
        <v>4.414060397265436E-4</v>
      </c>
      <c r="I56" s="23">
        <f t="shared" si="22"/>
        <v>76.615435961186506</v>
      </c>
      <c r="J56" s="23">
        <f t="shared" si="23"/>
        <v>143.2563379463229</v>
      </c>
      <c r="K56" s="21">
        <v>13312238.460000001</v>
      </c>
      <c r="L56" s="21">
        <v>13402969.42</v>
      </c>
      <c r="M56" s="24">
        <f t="shared" si="24"/>
        <v>-6.7694670603821337E-3</v>
      </c>
      <c r="N56" s="10"/>
      <c r="R56" s="2"/>
    </row>
    <row r="57" spans="1:18" ht="15.75" x14ac:dyDescent="0.25">
      <c r="A57" s="19"/>
      <c r="B57" s="20">
        <f>DATE(2024,11,1)</f>
        <v>45597</v>
      </c>
      <c r="C57" s="21">
        <v>170154</v>
      </c>
      <c r="D57" s="21">
        <v>168217</v>
      </c>
      <c r="E57" s="22">
        <f t="shared" si="20"/>
        <v>1.1514888507106892E-2</v>
      </c>
      <c r="F57" s="21">
        <f>+C57-77441</f>
        <v>92713</v>
      </c>
      <c r="G57" s="21">
        <f>+D57-79459</f>
        <v>88758</v>
      </c>
      <c r="H57" s="22">
        <f t="shared" si="21"/>
        <v>4.4559363662993762E-2</v>
      </c>
      <c r="I57" s="23">
        <f t="shared" si="22"/>
        <v>78.45240687847479</v>
      </c>
      <c r="J57" s="23">
        <f t="shared" si="23"/>
        <v>143.98186705208548</v>
      </c>
      <c r="K57" s="21">
        <v>13348990.84</v>
      </c>
      <c r="L57" s="21">
        <v>12688083.57</v>
      </c>
      <c r="M57" s="24">
        <f t="shared" si="24"/>
        <v>5.2088817539211678E-2</v>
      </c>
      <c r="N57" s="10"/>
      <c r="R57" s="2"/>
    </row>
    <row r="58" spans="1:18" ht="15.75" x14ac:dyDescent="0.25">
      <c r="A58" s="19"/>
      <c r="B58" s="20">
        <f>DATE(2024,12,1)</f>
        <v>45627</v>
      </c>
      <c r="C58" s="21">
        <v>183070</v>
      </c>
      <c r="D58" s="21">
        <v>202224</v>
      </c>
      <c r="E58" s="22">
        <f t="shared" si="20"/>
        <v>-9.4716749742859402E-2</v>
      </c>
      <c r="F58" s="21">
        <f>+C58-85167</f>
        <v>97903</v>
      </c>
      <c r="G58" s="21">
        <f>+D58-96249</f>
        <v>105975</v>
      </c>
      <c r="H58" s="22">
        <f t="shared" si="21"/>
        <v>-7.6168907761264448E-2</v>
      </c>
      <c r="I58" s="23">
        <f t="shared" si="22"/>
        <v>78.454930573004859</v>
      </c>
      <c r="J58" s="23">
        <f t="shared" si="23"/>
        <v>146.70382051622525</v>
      </c>
      <c r="K58" s="21">
        <v>14362744.140000001</v>
      </c>
      <c r="L58" s="21">
        <v>15570662.619999999</v>
      </c>
      <c r="M58" s="24">
        <f t="shared" si="24"/>
        <v>-7.7576562377536032E-2</v>
      </c>
      <c r="N58" s="10"/>
      <c r="R58" s="2"/>
    </row>
    <row r="59" spans="1:18" ht="15.75" x14ac:dyDescent="0.25">
      <c r="A59" s="19"/>
      <c r="B59" s="20">
        <f>DATE(2025,1,1)</f>
        <v>45658</v>
      </c>
      <c r="C59" s="21">
        <v>155257</v>
      </c>
      <c r="D59" s="21">
        <v>146133</v>
      </c>
      <c r="E59" s="22">
        <f t="shared" si="20"/>
        <v>6.2436273805369084E-2</v>
      </c>
      <c r="F59" s="21">
        <f>+C59-72937</f>
        <v>82320</v>
      </c>
      <c r="G59" s="21">
        <f>+D59-67849</f>
        <v>78284</v>
      </c>
      <c r="H59" s="22">
        <f t="shared" si="21"/>
        <v>5.1555873486280719E-2</v>
      </c>
      <c r="I59" s="23">
        <f t="shared" si="22"/>
        <v>78.534657567774715</v>
      </c>
      <c r="J59" s="23">
        <f t="shared" si="23"/>
        <v>148.1177761175899</v>
      </c>
      <c r="K59" s="21">
        <v>12193055.33</v>
      </c>
      <c r="L59" s="21">
        <v>11298773.15</v>
      </c>
      <c r="M59" s="24">
        <f t="shared" si="24"/>
        <v>7.9148609156738367E-2</v>
      </c>
      <c r="N59" s="10"/>
      <c r="R59" s="2"/>
    </row>
    <row r="60" spans="1:18" ht="15.75" x14ac:dyDescent="0.25">
      <c r="A60" s="19"/>
      <c r="B60" s="20">
        <f>DATE(2025,2,1)</f>
        <v>45689</v>
      </c>
      <c r="C60" s="21">
        <v>159612</v>
      </c>
      <c r="D60" s="21">
        <v>177030</v>
      </c>
      <c r="E60" s="22">
        <f t="shared" si="20"/>
        <v>-9.8390103372309773E-2</v>
      </c>
      <c r="F60" s="21">
        <f>+C60-75635</f>
        <v>83977</v>
      </c>
      <c r="G60" s="21">
        <f>+D60-81601</f>
        <v>95429</v>
      </c>
      <c r="H60" s="22">
        <f t="shared" si="21"/>
        <v>-0.12000544907732451</v>
      </c>
      <c r="I60" s="23">
        <f t="shared" si="22"/>
        <v>81.784724519459687</v>
      </c>
      <c r="J60" s="23">
        <f t="shared" si="23"/>
        <v>155.44522250139917</v>
      </c>
      <c r="K60" s="21">
        <v>13053823.449999999</v>
      </c>
      <c r="L60" s="21">
        <v>13602052.25</v>
      </c>
      <c r="M60" s="24">
        <f t="shared" si="24"/>
        <v>-4.0304859143589951E-2</v>
      </c>
      <c r="N60" s="10"/>
      <c r="R60" s="2"/>
    </row>
    <row r="61" spans="1:18" ht="15.75" thickBot="1" x14ac:dyDescent="0.25">
      <c r="A61" s="37"/>
      <c r="B61" s="20"/>
      <c r="C61" s="21"/>
      <c r="D61" s="21"/>
      <c r="E61" s="22"/>
      <c r="F61" s="21"/>
      <c r="G61" s="21"/>
      <c r="H61" s="22"/>
      <c r="I61" s="23"/>
      <c r="J61" s="23"/>
      <c r="K61" s="21"/>
      <c r="L61" s="21"/>
      <c r="M61" s="24"/>
      <c r="N61" s="10"/>
      <c r="R61" s="2"/>
    </row>
    <row r="62" spans="1:18" ht="17.25" thickTop="1" thickBot="1" x14ac:dyDescent="0.3">
      <c r="A62" s="38" t="s">
        <v>14</v>
      </c>
      <c r="B62" s="39"/>
      <c r="C62" s="40">
        <f>SUM(C53:C61)</f>
        <v>1342916</v>
      </c>
      <c r="D62" s="40">
        <f>SUM(D53:D61)</f>
        <v>1450520</v>
      </c>
      <c r="E62" s="280">
        <f>(+C62-D62)/D62</f>
        <v>-7.418305159528997E-2</v>
      </c>
      <c r="F62" s="46">
        <f>SUM(F53:F61)</f>
        <v>723627</v>
      </c>
      <c r="G62" s="47">
        <f>SUM(G53:G61)</f>
        <v>757683</v>
      </c>
      <c r="H62" s="48">
        <f>(+F62-G62)/G62</f>
        <v>-4.4947557223799402E-2</v>
      </c>
      <c r="I62" s="49">
        <f>K62/C62</f>
        <v>78.439453807982034</v>
      </c>
      <c r="J62" s="50">
        <f>K62/F62</f>
        <v>145.56891540807626</v>
      </c>
      <c r="K62" s="47">
        <f>SUM(K53:K61)</f>
        <v>105337597.55</v>
      </c>
      <c r="L62" s="46">
        <f>SUM(L53:L61)</f>
        <v>109844527.26000002</v>
      </c>
      <c r="M62" s="43">
        <f>(+K62-L62)/L62</f>
        <v>-4.1030079717419163E-2</v>
      </c>
      <c r="N62" s="10"/>
      <c r="R62" s="2"/>
    </row>
    <row r="63" spans="1:18" ht="15.75" customHeight="1" thickTop="1" x14ac:dyDescent="0.25">
      <c r="A63" s="272"/>
      <c r="B63" s="44"/>
      <c r="C63" s="21"/>
      <c r="D63" s="21"/>
      <c r="E63" s="22"/>
      <c r="F63" s="21"/>
      <c r="G63" s="21"/>
      <c r="H63" s="22"/>
      <c r="I63" s="23"/>
      <c r="J63" s="23"/>
      <c r="K63" s="21"/>
      <c r="L63" s="21"/>
      <c r="M63" s="24"/>
      <c r="N63" s="10"/>
      <c r="R63" s="2"/>
    </row>
    <row r="64" spans="1:18" ht="15.75" x14ac:dyDescent="0.25">
      <c r="A64" s="273" t="s">
        <v>61</v>
      </c>
      <c r="B64" s="20">
        <f>DATE(2024,7,1)</f>
        <v>45474</v>
      </c>
      <c r="C64" s="21">
        <v>92648</v>
      </c>
      <c r="D64" s="21">
        <v>94450</v>
      </c>
      <c r="E64" s="22">
        <f t="shared" ref="E64:E71" si="25">(+C64-D64)/D64</f>
        <v>-1.90788777130757E-2</v>
      </c>
      <c r="F64" s="21">
        <f>+C64-46627</f>
        <v>46021</v>
      </c>
      <c r="G64" s="21">
        <f>+D64-47449</f>
        <v>47001</v>
      </c>
      <c r="H64" s="22">
        <f t="shared" ref="H64:H71" si="26">(+F64-G64)/G64</f>
        <v>-2.0850620199570222E-2</v>
      </c>
      <c r="I64" s="23">
        <f t="shared" ref="I64:I71" si="27">K64/C64</f>
        <v>63.099081793454801</v>
      </c>
      <c r="J64" s="23">
        <f t="shared" ref="J64:J71" si="28">K64/F64</f>
        <v>127.02904608765564</v>
      </c>
      <c r="K64" s="21">
        <v>5846003.7300000004</v>
      </c>
      <c r="L64" s="21">
        <v>6283716.8300000001</v>
      </c>
      <c r="M64" s="24">
        <f t="shared" ref="M64:M71" si="29">(+K64-L64)/L64</f>
        <v>-6.9658310812201196E-2</v>
      </c>
      <c r="N64" s="10"/>
      <c r="R64" s="2"/>
    </row>
    <row r="65" spans="1:18" ht="15.75" x14ac:dyDescent="0.25">
      <c r="A65" s="273"/>
      <c r="B65" s="20">
        <f>DATE(2024,8,1)</f>
        <v>45505</v>
      </c>
      <c r="C65" s="21">
        <v>95306</v>
      </c>
      <c r="D65" s="21">
        <v>85640</v>
      </c>
      <c r="E65" s="22">
        <f t="shared" si="25"/>
        <v>0.11286781877627276</v>
      </c>
      <c r="F65" s="21">
        <f>+C65-47322</f>
        <v>47984</v>
      </c>
      <c r="G65" s="21">
        <f>+D65-42807</f>
        <v>42833</v>
      </c>
      <c r="H65" s="22">
        <f t="shared" si="26"/>
        <v>0.12025774519646067</v>
      </c>
      <c r="I65" s="23">
        <f t="shared" si="27"/>
        <v>64.063300107023693</v>
      </c>
      <c r="J65" s="23">
        <f t="shared" si="28"/>
        <v>127.24276592197398</v>
      </c>
      <c r="K65" s="21">
        <v>6105616.8799999999</v>
      </c>
      <c r="L65" s="21">
        <v>5994866.6799999997</v>
      </c>
      <c r="M65" s="24">
        <f t="shared" si="29"/>
        <v>1.8474172306363983E-2</v>
      </c>
      <c r="N65" s="10"/>
      <c r="R65" s="2"/>
    </row>
    <row r="66" spans="1:18" ht="15.75" x14ac:dyDescent="0.25">
      <c r="A66" s="273"/>
      <c r="B66" s="20">
        <f>DATE(2024,9,1)</f>
        <v>45536</v>
      </c>
      <c r="C66" s="21">
        <v>91616</v>
      </c>
      <c r="D66" s="21">
        <v>85140</v>
      </c>
      <c r="E66" s="22">
        <f t="shared" si="25"/>
        <v>7.6062955132722571E-2</v>
      </c>
      <c r="F66" s="21">
        <f>+C66-47055</f>
        <v>44561</v>
      </c>
      <c r="G66" s="21">
        <f>+D66-42349</f>
        <v>42791</v>
      </c>
      <c r="H66" s="22">
        <f t="shared" si="26"/>
        <v>4.1363838190273658E-2</v>
      </c>
      <c r="I66" s="23">
        <f t="shared" si="27"/>
        <v>64.331752968913719</v>
      </c>
      <c r="J66" s="23">
        <f t="shared" si="28"/>
        <v>132.26403985547901</v>
      </c>
      <c r="K66" s="21">
        <v>5893817.8799999999</v>
      </c>
      <c r="L66" s="21">
        <v>5223197.63</v>
      </c>
      <c r="M66" s="24">
        <f t="shared" si="29"/>
        <v>0.12839266240821909</v>
      </c>
      <c r="N66" s="10"/>
      <c r="R66" s="2"/>
    </row>
    <row r="67" spans="1:18" ht="15.75" x14ac:dyDescent="0.25">
      <c r="A67" s="273"/>
      <c r="B67" s="20">
        <f>DATE(2024,10,1)</f>
        <v>45566</v>
      </c>
      <c r="C67" s="21">
        <v>87502</v>
      </c>
      <c r="D67" s="21">
        <v>78312</v>
      </c>
      <c r="E67" s="22">
        <f t="shared" si="25"/>
        <v>0.11735110838696496</v>
      </c>
      <c r="F67" s="21">
        <f>+C67-43980</f>
        <v>43522</v>
      </c>
      <c r="G67" s="21">
        <f>+D67-38948</f>
        <v>39364</v>
      </c>
      <c r="H67" s="22">
        <f t="shared" si="26"/>
        <v>0.1056295091962199</v>
      </c>
      <c r="I67" s="23">
        <f t="shared" si="27"/>
        <v>64.966992411602021</v>
      </c>
      <c r="J67" s="23">
        <f t="shared" si="28"/>
        <v>130.61765934469923</v>
      </c>
      <c r="K67" s="21">
        <v>5684741.7699999996</v>
      </c>
      <c r="L67" s="21">
        <v>5243326.6900000004</v>
      </c>
      <c r="M67" s="24">
        <f t="shared" si="29"/>
        <v>8.41860723349281E-2</v>
      </c>
      <c r="N67" s="10"/>
      <c r="R67" s="2"/>
    </row>
    <row r="68" spans="1:18" ht="15.75" x14ac:dyDescent="0.25">
      <c r="A68" s="273"/>
      <c r="B68" s="20">
        <f>DATE(2024,11,1)</f>
        <v>45597</v>
      </c>
      <c r="C68" s="21">
        <v>90838</v>
      </c>
      <c r="D68" s="21">
        <v>76656</v>
      </c>
      <c r="E68" s="22">
        <f t="shared" si="25"/>
        <v>0.18500834898768526</v>
      </c>
      <c r="F68" s="21">
        <f>+C68-45664</f>
        <v>45174</v>
      </c>
      <c r="G68" s="21">
        <f>+D68-38522</f>
        <v>38134</v>
      </c>
      <c r="H68" s="22">
        <f t="shared" si="26"/>
        <v>0.18461215713012011</v>
      </c>
      <c r="I68" s="23">
        <f t="shared" si="27"/>
        <v>68.485826966687952</v>
      </c>
      <c r="J68" s="23">
        <f t="shared" si="28"/>
        <v>137.71451609332803</v>
      </c>
      <c r="K68" s="21">
        <v>6221115.5499999998</v>
      </c>
      <c r="L68" s="21">
        <v>5215345.08</v>
      </c>
      <c r="M68" s="24">
        <f t="shared" si="29"/>
        <v>0.19284830717280163</v>
      </c>
      <c r="N68" s="10"/>
      <c r="R68" s="2"/>
    </row>
    <row r="69" spans="1:18" ht="15.75" x14ac:dyDescent="0.25">
      <c r="A69" s="273"/>
      <c r="B69" s="20">
        <f>DATE(2024,12,1)</f>
        <v>45627</v>
      </c>
      <c r="C69" s="21">
        <v>97178</v>
      </c>
      <c r="D69" s="21">
        <v>96790</v>
      </c>
      <c r="E69" s="22">
        <f t="shared" si="25"/>
        <v>4.0086785824981919E-3</v>
      </c>
      <c r="F69" s="21">
        <f>+C69-49780</f>
        <v>47398</v>
      </c>
      <c r="G69" s="21">
        <f>+D69-48686</f>
        <v>48104</v>
      </c>
      <c r="H69" s="22">
        <f t="shared" si="26"/>
        <v>-1.4676534175952103E-2</v>
      </c>
      <c r="I69" s="23">
        <f t="shared" si="27"/>
        <v>63.157619214225441</v>
      </c>
      <c r="J69" s="23">
        <f t="shared" si="28"/>
        <v>129.48924258407527</v>
      </c>
      <c r="K69" s="21">
        <v>6137531.1200000001</v>
      </c>
      <c r="L69" s="21">
        <v>5993376.9199999999</v>
      </c>
      <c r="M69" s="24">
        <f t="shared" si="29"/>
        <v>2.4052249995983932E-2</v>
      </c>
      <c r="N69" s="10"/>
      <c r="R69" s="2"/>
    </row>
    <row r="70" spans="1:18" ht="15.75" x14ac:dyDescent="0.25">
      <c r="A70" s="273"/>
      <c r="B70" s="20">
        <f>DATE(2025,1,1)</f>
        <v>45658</v>
      </c>
      <c r="C70" s="21">
        <v>79743</v>
      </c>
      <c r="D70" s="21">
        <v>74334</v>
      </c>
      <c r="E70" s="22">
        <f t="shared" si="25"/>
        <v>7.2766163532165626E-2</v>
      </c>
      <c r="F70" s="21">
        <f>+C70-41239</f>
        <v>38504</v>
      </c>
      <c r="G70" s="21">
        <f>+D70-36987</f>
        <v>37347</v>
      </c>
      <c r="H70" s="22">
        <f t="shared" si="26"/>
        <v>3.0979730634321363E-2</v>
      </c>
      <c r="I70" s="23">
        <f t="shared" si="27"/>
        <v>63.240917698105164</v>
      </c>
      <c r="J70" s="23">
        <f t="shared" si="28"/>
        <v>130.97393777269895</v>
      </c>
      <c r="K70" s="21">
        <v>5043020.5</v>
      </c>
      <c r="L70" s="21">
        <v>4782289.8499999996</v>
      </c>
      <c r="M70" s="24">
        <f t="shared" si="29"/>
        <v>5.4520043363745593E-2</v>
      </c>
      <c r="N70" s="10"/>
      <c r="R70" s="2"/>
    </row>
    <row r="71" spans="1:18" ht="15.75" x14ac:dyDescent="0.25">
      <c r="A71" s="273"/>
      <c r="B71" s="20">
        <f>DATE(2025,2,1)</f>
        <v>45689</v>
      </c>
      <c r="C71" s="21">
        <v>87733</v>
      </c>
      <c r="D71" s="21">
        <v>85955</v>
      </c>
      <c r="E71" s="22">
        <f t="shared" si="25"/>
        <v>2.0685242277936128E-2</v>
      </c>
      <c r="F71" s="21">
        <f>+C71-45541</f>
        <v>42192</v>
      </c>
      <c r="G71" s="21">
        <f>+D71-43684</f>
        <v>42271</v>
      </c>
      <c r="H71" s="22">
        <f t="shared" si="26"/>
        <v>-1.8688935676941638E-3</v>
      </c>
      <c r="I71" s="23">
        <f t="shared" si="27"/>
        <v>67.113953814414188</v>
      </c>
      <c r="J71" s="23">
        <f t="shared" si="28"/>
        <v>139.55509361964354</v>
      </c>
      <c r="K71" s="21">
        <v>5888108.5099999998</v>
      </c>
      <c r="L71" s="21">
        <v>5752534.9800000004</v>
      </c>
      <c r="M71" s="24">
        <f t="shared" si="29"/>
        <v>2.3567615055162919E-2</v>
      </c>
      <c r="N71" s="10"/>
      <c r="R71" s="2"/>
    </row>
    <row r="72" spans="1:18" ht="15.75" customHeight="1" thickBot="1" x14ac:dyDescent="0.3">
      <c r="A72" s="19"/>
      <c r="B72" s="20"/>
      <c r="C72" s="21"/>
      <c r="D72" s="21"/>
      <c r="E72" s="22"/>
      <c r="F72" s="21"/>
      <c r="G72" s="21"/>
      <c r="H72" s="22"/>
      <c r="I72" s="23"/>
      <c r="J72" s="23"/>
      <c r="K72" s="21"/>
      <c r="L72" s="21"/>
      <c r="M72" s="24"/>
      <c r="N72" s="10"/>
      <c r="R72" s="2"/>
    </row>
    <row r="73" spans="1:18" ht="17.45" customHeight="1" thickTop="1" thickBot="1" x14ac:dyDescent="0.3">
      <c r="A73" s="38" t="s">
        <v>14</v>
      </c>
      <c r="B73" s="51"/>
      <c r="C73" s="46">
        <f>SUM(C64:C72)</f>
        <v>722564</v>
      </c>
      <c r="D73" s="47">
        <f>SUM(D64:D72)</f>
        <v>677277</v>
      </c>
      <c r="E73" s="280">
        <f>(+C73-D73)/D73</f>
        <v>6.6866289568374537E-2</v>
      </c>
      <c r="F73" s="47">
        <f>SUM(F64:F72)</f>
        <v>355356</v>
      </c>
      <c r="G73" s="46">
        <f>SUM(G64:G72)</f>
        <v>337845</v>
      </c>
      <c r="H73" s="45">
        <f>(+F73-G73)/G73</f>
        <v>5.1831461173023133E-2</v>
      </c>
      <c r="I73" s="50">
        <f>K73/C73</f>
        <v>64.796967382820071</v>
      </c>
      <c r="J73" s="49">
        <f>K73/F73</f>
        <v>131.75507361631716</v>
      </c>
      <c r="K73" s="46">
        <f>SUM(K64:K72)</f>
        <v>46819955.939999998</v>
      </c>
      <c r="L73" s="47">
        <f>SUM(L64:L72)</f>
        <v>44488654.660000011</v>
      </c>
      <c r="M73" s="43">
        <f>(+K73-L73)/L73</f>
        <v>5.2402152814390944E-2</v>
      </c>
      <c r="N73" s="10"/>
      <c r="R73" s="2"/>
    </row>
    <row r="74" spans="1:18" ht="15.75" customHeight="1" thickTop="1" x14ac:dyDescent="0.25">
      <c r="A74" s="19"/>
      <c r="B74" s="44"/>
      <c r="C74" s="21"/>
      <c r="D74" s="21"/>
      <c r="E74" s="22"/>
      <c r="F74" s="21"/>
      <c r="G74" s="21"/>
      <c r="H74" s="22"/>
      <c r="I74" s="23"/>
      <c r="J74" s="23"/>
      <c r="K74" s="21"/>
      <c r="L74" s="21"/>
      <c r="M74" s="24"/>
      <c r="N74" s="10"/>
      <c r="R74" s="2"/>
    </row>
    <row r="75" spans="1:18" ht="15.75" x14ac:dyDescent="0.25">
      <c r="A75" s="19" t="s">
        <v>67</v>
      </c>
      <c r="B75" s="20">
        <f>DATE(2024,7,1)</f>
        <v>45474</v>
      </c>
      <c r="C75" s="21">
        <v>257776</v>
      </c>
      <c r="D75" s="21">
        <v>219120</v>
      </c>
      <c r="E75" s="22">
        <f t="shared" ref="E75:E82" si="30">(+C75-D75)/D75</f>
        <v>0.1764147499087258</v>
      </c>
      <c r="F75" s="21">
        <f>+C75-114796</f>
        <v>142980</v>
      </c>
      <c r="G75" s="21">
        <f>+D75-104679</f>
        <v>114441</v>
      </c>
      <c r="H75" s="22">
        <f t="shared" ref="H75:H82" si="31">(+F75-G75)/G75</f>
        <v>0.24937740844627362</v>
      </c>
      <c r="I75" s="23">
        <f t="shared" ref="I75:I82" si="32">K75/C75</f>
        <v>45.587064195270315</v>
      </c>
      <c r="J75" s="23">
        <f t="shared" ref="J75:J82" si="33">K75/F75</f>
        <v>82.188075674919574</v>
      </c>
      <c r="K75" s="21">
        <v>11751251.060000001</v>
      </c>
      <c r="L75" s="21">
        <v>10804493.880000001</v>
      </c>
      <c r="M75" s="24">
        <f t="shared" ref="M75:M82" si="34">(+K75-L75)/L75</f>
        <v>8.7626240573149328E-2</v>
      </c>
      <c r="N75" s="10"/>
      <c r="R75" s="2"/>
    </row>
    <row r="76" spans="1:18" ht="15.75" x14ac:dyDescent="0.25">
      <c r="A76" s="19"/>
      <c r="B76" s="20">
        <f>DATE(2024,8,1)</f>
        <v>45505</v>
      </c>
      <c r="C76" s="21">
        <v>262210</v>
      </c>
      <c r="D76" s="21">
        <v>218088</v>
      </c>
      <c r="E76" s="22">
        <f t="shared" si="30"/>
        <v>0.20231282784930854</v>
      </c>
      <c r="F76" s="21">
        <f>+C76-116032</f>
        <v>146178</v>
      </c>
      <c r="G76" s="21">
        <f>+D76-101100</f>
        <v>116988</v>
      </c>
      <c r="H76" s="22">
        <f t="shared" si="31"/>
        <v>0.24951277054056825</v>
      </c>
      <c r="I76" s="23">
        <f t="shared" si="32"/>
        <v>45.232368330727283</v>
      </c>
      <c r="J76" s="23">
        <f t="shared" si="33"/>
        <v>81.136554748320549</v>
      </c>
      <c r="K76" s="21">
        <v>11860379.300000001</v>
      </c>
      <c r="L76" s="21">
        <v>10872129.380000001</v>
      </c>
      <c r="M76" s="24">
        <f t="shared" si="34"/>
        <v>9.0897549638983402E-2</v>
      </c>
      <c r="N76" s="10"/>
      <c r="R76" s="2"/>
    </row>
    <row r="77" spans="1:18" ht="15.75" x14ac:dyDescent="0.25">
      <c r="A77" s="19"/>
      <c r="B77" s="20">
        <f>DATE(2024,9,1)</f>
        <v>45536</v>
      </c>
      <c r="C77" s="21">
        <v>241213</v>
      </c>
      <c r="D77" s="21">
        <v>241793</v>
      </c>
      <c r="E77" s="22">
        <f t="shared" si="30"/>
        <v>-2.3987460348314465E-3</v>
      </c>
      <c r="F77" s="21">
        <f>+C77-107281</f>
        <v>133932</v>
      </c>
      <c r="G77" s="21">
        <f>+D77-107184</f>
        <v>134609</v>
      </c>
      <c r="H77" s="22">
        <f t="shared" si="31"/>
        <v>-5.029381393517521E-3</v>
      </c>
      <c r="I77" s="23">
        <f t="shared" si="32"/>
        <v>45.95387839793046</v>
      </c>
      <c r="J77" s="23">
        <f t="shared" si="33"/>
        <v>82.763438685302987</v>
      </c>
      <c r="K77" s="21">
        <v>11084672.869999999</v>
      </c>
      <c r="L77" s="21">
        <v>11749600.279999999</v>
      </c>
      <c r="M77" s="24">
        <f t="shared" si="34"/>
        <v>-5.6591491978823315E-2</v>
      </c>
      <c r="N77" s="10"/>
      <c r="R77" s="2"/>
    </row>
    <row r="78" spans="1:18" ht="15.75" x14ac:dyDescent="0.25">
      <c r="A78" s="19"/>
      <c r="B78" s="20">
        <f>DATE(2024,10,1)</f>
        <v>45566</v>
      </c>
      <c r="C78" s="21">
        <v>231557</v>
      </c>
      <c r="D78" s="21">
        <v>245062</v>
      </c>
      <c r="E78" s="22">
        <f t="shared" si="30"/>
        <v>-5.5108503154303809E-2</v>
      </c>
      <c r="F78" s="21">
        <f>+C78-99889</f>
        <v>131668</v>
      </c>
      <c r="G78" s="21">
        <f>+D78-106359</f>
        <v>138703</v>
      </c>
      <c r="H78" s="22">
        <f t="shared" si="31"/>
        <v>-5.0719883492065784E-2</v>
      </c>
      <c r="I78" s="23">
        <f t="shared" si="32"/>
        <v>51.312987169465828</v>
      </c>
      <c r="J78" s="23">
        <f t="shared" si="33"/>
        <v>90.241223152170605</v>
      </c>
      <c r="K78" s="21">
        <v>11881881.369999999</v>
      </c>
      <c r="L78" s="21">
        <v>11743784.619999999</v>
      </c>
      <c r="M78" s="24">
        <f t="shared" si="34"/>
        <v>1.1759135105800332E-2</v>
      </c>
      <c r="N78" s="10"/>
      <c r="R78" s="2"/>
    </row>
    <row r="79" spans="1:18" ht="15.75" x14ac:dyDescent="0.25">
      <c r="A79" s="19"/>
      <c r="B79" s="20">
        <f>DATE(2024,11,1)</f>
        <v>45597</v>
      </c>
      <c r="C79" s="21">
        <v>205210</v>
      </c>
      <c r="D79" s="21">
        <v>235399</v>
      </c>
      <c r="E79" s="22">
        <f t="shared" si="30"/>
        <v>-0.12824608430791976</v>
      </c>
      <c r="F79" s="21">
        <f>+C79-93004</f>
        <v>112206</v>
      </c>
      <c r="G79" s="21">
        <f>+D79-106054</f>
        <v>129345</v>
      </c>
      <c r="H79" s="22">
        <f t="shared" si="31"/>
        <v>-0.13250608836831729</v>
      </c>
      <c r="I79" s="23">
        <f t="shared" si="32"/>
        <v>50.056933434043181</v>
      </c>
      <c r="J79" s="23">
        <f t="shared" si="33"/>
        <v>91.547540327611713</v>
      </c>
      <c r="K79" s="21">
        <v>10272183.310000001</v>
      </c>
      <c r="L79" s="21">
        <v>11589553.289999999</v>
      </c>
      <c r="M79" s="24">
        <f t="shared" si="34"/>
        <v>-0.11366874520838402</v>
      </c>
      <c r="N79" s="10"/>
      <c r="R79" s="2"/>
    </row>
    <row r="80" spans="1:18" ht="15.75" x14ac:dyDescent="0.25">
      <c r="A80" s="19"/>
      <c r="B80" s="20">
        <f>DATE(2024,12,1)</f>
        <v>45627</v>
      </c>
      <c r="C80" s="21">
        <v>207194</v>
      </c>
      <c r="D80" s="21">
        <v>239412</v>
      </c>
      <c r="E80" s="22">
        <f t="shared" si="30"/>
        <v>-0.13457136651462751</v>
      </c>
      <c r="F80" s="21">
        <f>+C80-94614</f>
        <v>112580</v>
      </c>
      <c r="G80" s="21">
        <f>+D80-109257</f>
        <v>130155</v>
      </c>
      <c r="H80" s="22">
        <f t="shared" si="31"/>
        <v>-0.13503130882409434</v>
      </c>
      <c r="I80" s="23">
        <f t="shared" si="32"/>
        <v>51.263606861202547</v>
      </c>
      <c r="J80" s="23">
        <f t="shared" si="33"/>
        <v>94.346347130929118</v>
      </c>
      <c r="K80" s="21">
        <v>10621511.76</v>
      </c>
      <c r="L80" s="21">
        <v>11897108.630000001</v>
      </c>
      <c r="M80" s="24">
        <f t="shared" si="34"/>
        <v>-0.10721906554534007</v>
      </c>
      <c r="N80" s="10"/>
      <c r="R80" s="2"/>
    </row>
    <row r="81" spans="1:18" ht="15.75" x14ac:dyDescent="0.25">
      <c r="A81" s="19"/>
      <c r="B81" s="20">
        <f>DATE(2025,1,1)</f>
        <v>45658</v>
      </c>
      <c r="C81" s="21">
        <v>172639</v>
      </c>
      <c r="D81" s="21">
        <v>186352</v>
      </c>
      <c r="E81" s="22">
        <f t="shared" si="30"/>
        <v>-7.3586545891645913E-2</v>
      </c>
      <c r="F81" s="21">
        <f>+C81-79564</f>
        <v>93075</v>
      </c>
      <c r="G81" s="21">
        <f>+D81-85780</f>
        <v>100572</v>
      </c>
      <c r="H81" s="22">
        <f t="shared" si="31"/>
        <v>-7.4543610547667338E-2</v>
      </c>
      <c r="I81" s="23">
        <f t="shared" si="32"/>
        <v>53.475538957014351</v>
      </c>
      <c r="J81" s="23">
        <f t="shared" si="33"/>
        <v>99.188434810636593</v>
      </c>
      <c r="K81" s="21">
        <v>9231963.5700000003</v>
      </c>
      <c r="L81" s="21">
        <v>9442345.0700000003</v>
      </c>
      <c r="M81" s="24">
        <f t="shared" si="34"/>
        <v>-2.2280640925570409E-2</v>
      </c>
      <c r="N81" s="10"/>
      <c r="R81" s="2"/>
    </row>
    <row r="82" spans="1:18" ht="15.75" x14ac:dyDescent="0.25">
      <c r="A82" s="19"/>
      <c r="B82" s="20">
        <f>DATE(2025,2,1)</f>
        <v>45689</v>
      </c>
      <c r="C82" s="21">
        <v>179810</v>
      </c>
      <c r="D82" s="21">
        <v>213395</v>
      </c>
      <c r="E82" s="22">
        <f t="shared" si="30"/>
        <v>-0.15738419363152839</v>
      </c>
      <c r="F82" s="21">
        <f>+C82-82150</f>
        <v>97660</v>
      </c>
      <c r="G82" s="21">
        <f>+D82-100049</f>
        <v>113346</v>
      </c>
      <c r="H82" s="22">
        <f t="shared" si="31"/>
        <v>-0.13839041518889064</v>
      </c>
      <c r="I82" s="23">
        <f t="shared" si="32"/>
        <v>55.707319781992105</v>
      </c>
      <c r="J82" s="23">
        <f t="shared" si="33"/>
        <v>102.56740907229162</v>
      </c>
      <c r="K82" s="21">
        <v>10016733.17</v>
      </c>
      <c r="L82" s="21">
        <v>11244313.91</v>
      </c>
      <c r="M82" s="24">
        <f t="shared" si="34"/>
        <v>-0.10917346756997467</v>
      </c>
      <c r="N82" s="10"/>
      <c r="R82" s="2"/>
    </row>
    <row r="83" spans="1:18" ht="15.75" customHeight="1" thickBot="1" x14ac:dyDescent="0.3">
      <c r="A83" s="19"/>
      <c r="B83" s="44"/>
      <c r="C83" s="21"/>
      <c r="D83" s="21"/>
      <c r="E83" s="22"/>
      <c r="F83" s="21"/>
      <c r="G83" s="21"/>
      <c r="H83" s="22"/>
      <c r="I83" s="23"/>
      <c r="J83" s="23"/>
      <c r="K83" s="21"/>
      <c r="L83" s="21"/>
      <c r="M83" s="24"/>
      <c r="N83" s="10"/>
      <c r="R83" s="2"/>
    </row>
    <row r="84" spans="1:18" ht="17.45" customHeight="1" thickTop="1" thickBot="1" x14ac:dyDescent="0.3">
      <c r="A84" s="38" t="s">
        <v>14</v>
      </c>
      <c r="B84" s="51"/>
      <c r="C84" s="46">
        <f>SUM(C75:C83)</f>
        <v>1757609</v>
      </c>
      <c r="D84" s="47">
        <f>SUM(D75:D83)</f>
        <v>1798621</v>
      </c>
      <c r="E84" s="280">
        <f>(+C84-D84)/D84</f>
        <v>-2.2801913243534908E-2</v>
      </c>
      <c r="F84" s="47">
        <f>SUM(F75:F83)</f>
        <v>970279</v>
      </c>
      <c r="G84" s="46">
        <f>SUM(G75:G83)</f>
        <v>978159</v>
      </c>
      <c r="H84" s="52">
        <f>(+F84-G84)/G84</f>
        <v>-8.0559500040381978E-3</v>
      </c>
      <c r="I84" s="50">
        <f>K84/C84</f>
        <v>49.34008440443808</v>
      </c>
      <c r="J84" s="49">
        <f>K84/F84</f>
        <v>89.376948702383558</v>
      </c>
      <c r="K84" s="46">
        <f>SUM(K75:K83)</f>
        <v>86720576.410000011</v>
      </c>
      <c r="L84" s="47">
        <f>SUM(L75:L83)</f>
        <v>89343329.060000002</v>
      </c>
      <c r="M84" s="43">
        <f>(+K84-L84)/L84</f>
        <v>-2.9355886752760664E-2</v>
      </c>
      <c r="N84" s="10"/>
      <c r="R84" s="2"/>
    </row>
    <row r="85" spans="1:18" ht="15.75" customHeight="1" thickTop="1" x14ac:dyDescent="0.25">
      <c r="A85" s="19"/>
      <c r="B85" s="44"/>
      <c r="C85" s="21"/>
      <c r="D85" s="21"/>
      <c r="E85" s="22"/>
      <c r="F85" s="21"/>
      <c r="G85" s="21"/>
      <c r="H85" s="22"/>
      <c r="I85" s="23"/>
      <c r="J85" s="23"/>
      <c r="K85" s="21"/>
      <c r="L85" s="21"/>
      <c r="M85" s="24"/>
      <c r="N85" s="10"/>
      <c r="R85" s="2"/>
    </row>
    <row r="86" spans="1:18" ht="15.75" customHeight="1" x14ac:dyDescent="0.25">
      <c r="A86" s="19" t="s">
        <v>69</v>
      </c>
      <c r="B86" s="20">
        <f>DATE(2024,7,1)</f>
        <v>45474</v>
      </c>
      <c r="C86" s="21">
        <v>179532</v>
      </c>
      <c r="D86" s="21">
        <v>227955</v>
      </c>
      <c r="E86" s="22">
        <f t="shared" ref="E86:E93" si="35">(+C86-D86)/D86</f>
        <v>-0.2124235046390735</v>
      </c>
      <c r="F86" s="21">
        <f>+C86-80702</f>
        <v>98830</v>
      </c>
      <c r="G86" s="21">
        <f>+D86-105186</f>
        <v>122769</v>
      </c>
      <c r="H86" s="22">
        <f t="shared" ref="H86:H93" si="36">(+F86-G86)/G86</f>
        <v>-0.19499222116332299</v>
      </c>
      <c r="I86" s="23">
        <f t="shared" ref="I86:I93" si="37">K86/C86</f>
        <v>66.512470757302324</v>
      </c>
      <c r="J86" s="23">
        <f t="shared" ref="J86:J93" si="38">K86/F86</f>
        <v>120.82481938682587</v>
      </c>
      <c r="K86" s="21">
        <v>11941116.9</v>
      </c>
      <c r="L86" s="21">
        <v>14034560.470000001</v>
      </c>
      <c r="M86" s="24">
        <f t="shared" ref="M86:M93" si="39">(+K86-L86)/L86</f>
        <v>-0.14916345791340627</v>
      </c>
      <c r="N86" s="10"/>
      <c r="R86" s="2"/>
    </row>
    <row r="87" spans="1:18" ht="15.75" customHeight="1" x14ac:dyDescent="0.25">
      <c r="A87" s="19"/>
      <c r="B87" s="20">
        <f>DATE(2024,8,1)</f>
        <v>45505</v>
      </c>
      <c r="C87" s="21">
        <v>184933</v>
      </c>
      <c r="D87" s="21">
        <v>213943</v>
      </c>
      <c r="E87" s="22">
        <f t="shared" si="35"/>
        <v>-0.13559686458542697</v>
      </c>
      <c r="F87" s="21">
        <f>+C87-83211</f>
        <v>101722</v>
      </c>
      <c r="G87" s="21">
        <f>+D87-98836</f>
        <v>115107</v>
      </c>
      <c r="H87" s="22">
        <f t="shared" si="36"/>
        <v>-0.11628311049718958</v>
      </c>
      <c r="I87" s="23">
        <f t="shared" si="37"/>
        <v>62.824811526336561</v>
      </c>
      <c r="J87" s="23">
        <f t="shared" si="38"/>
        <v>114.21699209610506</v>
      </c>
      <c r="K87" s="21">
        <v>11618380.869999999</v>
      </c>
      <c r="L87" s="21">
        <v>13066477.560000001</v>
      </c>
      <c r="M87" s="24">
        <f t="shared" si="39"/>
        <v>-0.11082533018944711</v>
      </c>
      <c r="N87" s="10"/>
      <c r="R87" s="2"/>
    </row>
    <row r="88" spans="1:18" ht="15.75" customHeight="1" x14ac:dyDescent="0.25">
      <c r="A88" s="19"/>
      <c r="B88" s="20">
        <f>DATE(2024,9,1)</f>
        <v>45536</v>
      </c>
      <c r="C88" s="21">
        <v>169283</v>
      </c>
      <c r="D88" s="21">
        <v>210806</v>
      </c>
      <c r="E88" s="22">
        <f t="shared" si="35"/>
        <v>-0.19697257193818013</v>
      </c>
      <c r="F88" s="21">
        <f>+C88-78026</f>
        <v>91257</v>
      </c>
      <c r="G88" s="21">
        <f>+D88-94978</f>
        <v>115828</v>
      </c>
      <c r="H88" s="22">
        <f t="shared" si="36"/>
        <v>-0.21213350830541838</v>
      </c>
      <c r="I88" s="23">
        <f t="shared" si="37"/>
        <v>62.522470301211577</v>
      </c>
      <c r="J88" s="23">
        <f t="shared" si="38"/>
        <v>115.98004909212443</v>
      </c>
      <c r="K88" s="21">
        <v>10583991.34</v>
      </c>
      <c r="L88" s="21">
        <v>13635873.52</v>
      </c>
      <c r="M88" s="24">
        <f t="shared" si="39"/>
        <v>-0.22381273744756763</v>
      </c>
      <c r="N88" s="10"/>
      <c r="R88" s="2"/>
    </row>
    <row r="89" spans="1:18" ht="15.75" customHeight="1" x14ac:dyDescent="0.25">
      <c r="A89" s="19"/>
      <c r="B89" s="20">
        <f>DATE(2024,10,1)</f>
        <v>45566</v>
      </c>
      <c r="C89" s="21">
        <v>170885</v>
      </c>
      <c r="D89" s="21">
        <v>192179</v>
      </c>
      <c r="E89" s="22">
        <f t="shared" si="35"/>
        <v>-0.11080294933369411</v>
      </c>
      <c r="F89" s="21">
        <f>+C89-79112</f>
        <v>91773</v>
      </c>
      <c r="G89" s="21">
        <f>+D89-87696</f>
        <v>104483</v>
      </c>
      <c r="H89" s="22">
        <f t="shared" si="36"/>
        <v>-0.12164658365475724</v>
      </c>
      <c r="I89" s="23">
        <f t="shared" si="37"/>
        <v>61.513282909559059</v>
      </c>
      <c r="J89" s="23">
        <f t="shared" si="38"/>
        <v>114.54019537336688</v>
      </c>
      <c r="K89" s="21">
        <v>10511697.35</v>
      </c>
      <c r="L89" s="21">
        <v>11575087.18</v>
      </c>
      <c r="M89" s="24">
        <f t="shared" si="39"/>
        <v>-9.1868839816375364E-2</v>
      </c>
      <c r="N89" s="10"/>
      <c r="R89" s="2"/>
    </row>
    <row r="90" spans="1:18" ht="15.75" customHeight="1" x14ac:dyDescent="0.25">
      <c r="A90" s="19"/>
      <c r="B90" s="20">
        <f>DATE(2024,11,1)</f>
        <v>45597</v>
      </c>
      <c r="C90" s="21">
        <v>163835</v>
      </c>
      <c r="D90" s="21">
        <v>197061</v>
      </c>
      <c r="E90" s="22">
        <f t="shared" si="35"/>
        <v>-0.16860769000461787</v>
      </c>
      <c r="F90" s="21">
        <f>+C90-76658</f>
        <v>87177</v>
      </c>
      <c r="G90" s="21">
        <f>+D90-91318</f>
        <v>105743</v>
      </c>
      <c r="H90" s="22">
        <f t="shared" si="36"/>
        <v>-0.17557663391430164</v>
      </c>
      <c r="I90" s="23">
        <f t="shared" si="37"/>
        <v>69.821349345377968</v>
      </c>
      <c r="J90" s="23">
        <f t="shared" si="38"/>
        <v>131.217875930578</v>
      </c>
      <c r="K90" s="21">
        <v>11439180.77</v>
      </c>
      <c r="L90" s="21">
        <v>12018403.08</v>
      </c>
      <c r="M90" s="24">
        <f t="shared" si="39"/>
        <v>-4.8194615053633275E-2</v>
      </c>
      <c r="N90" s="10"/>
      <c r="R90" s="2"/>
    </row>
    <row r="91" spans="1:18" ht="15.75" customHeight="1" x14ac:dyDescent="0.25">
      <c r="A91" s="19"/>
      <c r="B91" s="20">
        <f>DATE(2024,12,1)</f>
        <v>45627</v>
      </c>
      <c r="C91" s="21">
        <v>187552</v>
      </c>
      <c r="D91" s="21">
        <v>222895</v>
      </c>
      <c r="E91" s="22">
        <f t="shared" si="35"/>
        <v>-0.15856344915767515</v>
      </c>
      <c r="F91" s="21">
        <f>+C91-85356</f>
        <v>102196</v>
      </c>
      <c r="G91" s="21">
        <f>+D91-106183</f>
        <v>116712</v>
      </c>
      <c r="H91" s="22">
        <f t="shared" si="36"/>
        <v>-0.12437452875454109</v>
      </c>
      <c r="I91" s="23">
        <f t="shared" si="37"/>
        <v>66.236121715577539</v>
      </c>
      <c r="J91" s="23">
        <f t="shared" si="38"/>
        <v>121.55776253473717</v>
      </c>
      <c r="K91" s="21">
        <v>12422717.1</v>
      </c>
      <c r="L91" s="21">
        <v>13979055.470000001</v>
      </c>
      <c r="M91" s="24">
        <f t="shared" si="39"/>
        <v>-0.1113335856875315</v>
      </c>
      <c r="N91" s="10"/>
      <c r="R91" s="2"/>
    </row>
    <row r="92" spans="1:18" ht="15.75" customHeight="1" x14ac:dyDescent="0.25">
      <c r="A92" s="19"/>
      <c r="B92" s="20">
        <f>DATE(2025,1,1)</f>
        <v>45658</v>
      </c>
      <c r="C92" s="21">
        <v>162090</v>
      </c>
      <c r="D92" s="21">
        <v>172009</v>
      </c>
      <c r="E92" s="22">
        <f t="shared" si="35"/>
        <v>-5.7665587265782602E-2</v>
      </c>
      <c r="F92" s="21">
        <f>+C92-76217</f>
        <v>85873</v>
      </c>
      <c r="G92" s="21">
        <f>+D92-81877</f>
        <v>90132</v>
      </c>
      <c r="H92" s="22">
        <f t="shared" si="36"/>
        <v>-4.7252917942573115E-2</v>
      </c>
      <c r="I92" s="23">
        <f t="shared" si="37"/>
        <v>65.757172558455181</v>
      </c>
      <c r="J92" s="23">
        <f t="shared" si="38"/>
        <v>124.12027179672306</v>
      </c>
      <c r="K92" s="21">
        <v>10658580.1</v>
      </c>
      <c r="L92" s="21">
        <v>10909789.93</v>
      </c>
      <c r="M92" s="24">
        <f t="shared" si="39"/>
        <v>-2.3026092309001964E-2</v>
      </c>
      <c r="N92" s="10"/>
      <c r="R92" s="2"/>
    </row>
    <row r="93" spans="1:18" ht="15.75" customHeight="1" x14ac:dyDescent="0.25">
      <c r="A93" s="19"/>
      <c r="B93" s="20">
        <f>DATE(2025,2,1)</f>
        <v>45689</v>
      </c>
      <c r="C93" s="21">
        <v>189962</v>
      </c>
      <c r="D93" s="21">
        <v>185169</v>
      </c>
      <c r="E93" s="22">
        <f t="shared" si="35"/>
        <v>2.5884462302005196E-2</v>
      </c>
      <c r="F93" s="21">
        <f>+C93-91911</f>
        <v>98051</v>
      </c>
      <c r="G93" s="21">
        <f>+D93-87277</f>
        <v>97892</v>
      </c>
      <c r="H93" s="22">
        <f t="shared" si="36"/>
        <v>1.6242389572181588E-3</v>
      </c>
      <c r="I93" s="23">
        <f t="shared" si="37"/>
        <v>64.471473557869473</v>
      </c>
      <c r="J93" s="23">
        <f t="shared" si="38"/>
        <v>124.90571294530397</v>
      </c>
      <c r="K93" s="21">
        <v>12247130.060000001</v>
      </c>
      <c r="L93" s="21">
        <v>12312763.789999999</v>
      </c>
      <c r="M93" s="24">
        <f t="shared" si="39"/>
        <v>-5.330544069504852E-3</v>
      </c>
      <c r="N93" s="10"/>
      <c r="R93" s="2"/>
    </row>
    <row r="94" spans="1:18" ht="15.75" customHeight="1" thickBot="1" x14ac:dyDescent="0.3">
      <c r="A94" s="19"/>
      <c r="B94" s="44"/>
      <c r="C94" s="21"/>
      <c r="D94" s="21"/>
      <c r="E94" s="22"/>
      <c r="F94" s="21"/>
      <c r="G94" s="21"/>
      <c r="H94" s="22"/>
      <c r="I94" s="23"/>
      <c r="J94" s="23"/>
      <c r="K94" s="21"/>
      <c r="L94" s="21"/>
      <c r="M94" s="24"/>
      <c r="N94" s="10"/>
      <c r="R94" s="2"/>
    </row>
    <row r="95" spans="1:18" ht="17.25" thickTop="1" thickBot="1" x14ac:dyDescent="0.3">
      <c r="A95" s="38" t="s">
        <v>14</v>
      </c>
      <c r="B95" s="39"/>
      <c r="C95" s="40">
        <f>SUM(C86:C94)</f>
        <v>1408072</v>
      </c>
      <c r="D95" s="40">
        <f>SUM(D86:D94)</f>
        <v>1622017</v>
      </c>
      <c r="E95" s="279">
        <f>(+C95-D95)/D95</f>
        <v>-0.1319005904377081</v>
      </c>
      <c r="F95" s="40">
        <f>SUM(F86:F94)</f>
        <v>756879</v>
      </c>
      <c r="G95" s="40">
        <f>SUM(G86:G94)</f>
        <v>868666</v>
      </c>
      <c r="H95" s="41">
        <f>(+F95-G95)/G95</f>
        <v>-0.12868812639150146</v>
      </c>
      <c r="I95" s="42">
        <f>K95/C95</f>
        <v>64.92764183223585</v>
      </c>
      <c r="J95" s="42">
        <f>K95/F95</f>
        <v>120.78918095230544</v>
      </c>
      <c r="K95" s="40">
        <f>SUM(K86:K94)</f>
        <v>91422794.489999995</v>
      </c>
      <c r="L95" s="40">
        <f>SUM(L86:L94)</f>
        <v>101532011</v>
      </c>
      <c r="M95" s="43">
        <f>(+K95-L95)/L95</f>
        <v>-9.9566790910898095E-2</v>
      </c>
      <c r="N95" s="10"/>
      <c r="R95" s="2"/>
    </row>
    <row r="96" spans="1:18" ht="15.75" customHeight="1" thickTop="1" x14ac:dyDescent="0.2">
      <c r="A96" s="53"/>
      <c r="B96" s="54"/>
      <c r="C96" s="54"/>
      <c r="D96" s="54"/>
      <c r="E96" s="55"/>
      <c r="F96" s="54"/>
      <c r="G96" s="54"/>
      <c r="H96" s="55"/>
      <c r="I96" s="54"/>
      <c r="J96" s="54"/>
      <c r="K96" s="195"/>
      <c r="L96" s="195"/>
      <c r="M96" s="56"/>
      <c r="N96" s="10"/>
      <c r="R96" s="2"/>
    </row>
    <row r="97" spans="1:18" ht="15.75" customHeight="1" x14ac:dyDescent="0.25">
      <c r="A97" s="19" t="s">
        <v>16</v>
      </c>
      <c r="B97" s="20">
        <f>DATE(2024,7,1)</f>
        <v>45474</v>
      </c>
      <c r="C97" s="21">
        <v>241250</v>
      </c>
      <c r="D97" s="21">
        <v>262088</v>
      </c>
      <c r="E97" s="22">
        <f t="shared" ref="E97:E104" si="40">(+C97-D97)/D97</f>
        <v>-7.950764628674338E-2</v>
      </c>
      <c r="F97" s="21">
        <f>+C97-122029</f>
        <v>119221</v>
      </c>
      <c r="G97" s="21">
        <f>+D97-132418</f>
        <v>129670</v>
      </c>
      <c r="H97" s="22">
        <f t="shared" ref="H97:H104" si="41">(+F97-G97)/G97</f>
        <v>-8.0581476054600143E-2</v>
      </c>
      <c r="I97" s="23">
        <f t="shared" ref="I97:I104" si="42">K97/C97</f>
        <v>69.777809906735754</v>
      </c>
      <c r="J97" s="23">
        <f t="shared" ref="J97:J104" si="43">K97/F97</f>
        <v>141.19908942216557</v>
      </c>
      <c r="K97" s="21">
        <v>16833896.640000001</v>
      </c>
      <c r="L97" s="21">
        <v>17639942.010000002</v>
      </c>
      <c r="M97" s="24">
        <f t="shared" ref="M97:M104" si="44">(+K97-L97)/L97</f>
        <v>-4.5694332189020671E-2</v>
      </c>
      <c r="N97" s="10"/>
      <c r="R97" s="2"/>
    </row>
    <row r="98" spans="1:18" ht="15.75" customHeight="1" x14ac:dyDescent="0.25">
      <c r="A98" s="19"/>
      <c r="B98" s="20">
        <f>DATE(2024,8,1)</f>
        <v>45505</v>
      </c>
      <c r="C98" s="21">
        <v>252387</v>
      </c>
      <c r="D98" s="21">
        <v>239223</v>
      </c>
      <c r="E98" s="22">
        <f t="shared" si="40"/>
        <v>5.5028153647433568E-2</v>
      </c>
      <c r="F98" s="21">
        <f>+C98-128448</f>
        <v>123939</v>
      </c>
      <c r="G98" s="21">
        <f>+D98-117748</f>
        <v>121475</v>
      </c>
      <c r="H98" s="22">
        <f t="shared" si="41"/>
        <v>2.0284009055361187E-2</v>
      </c>
      <c r="I98" s="23">
        <f t="shared" si="42"/>
        <v>70.284079132443424</v>
      </c>
      <c r="J98" s="23">
        <f t="shared" si="43"/>
        <v>143.12514930732053</v>
      </c>
      <c r="K98" s="21">
        <v>17738787.879999999</v>
      </c>
      <c r="L98" s="21">
        <v>16340915.630000001</v>
      </c>
      <c r="M98" s="24">
        <f t="shared" si="44"/>
        <v>8.5544303737403127E-2</v>
      </c>
      <c r="N98" s="10"/>
      <c r="R98" s="2"/>
    </row>
    <row r="99" spans="1:18" ht="15.75" customHeight="1" x14ac:dyDescent="0.25">
      <c r="A99" s="19"/>
      <c r="B99" s="20">
        <f>DATE(2024,9,1)</f>
        <v>45536</v>
      </c>
      <c r="C99" s="21">
        <v>226206</v>
      </c>
      <c r="D99" s="21">
        <v>248313</v>
      </c>
      <c r="E99" s="22">
        <f t="shared" si="40"/>
        <v>-8.9028766113735489E-2</v>
      </c>
      <c r="F99" s="21">
        <f>+C99-113686</f>
        <v>112520</v>
      </c>
      <c r="G99" s="21">
        <f>+D99-122761</f>
        <v>125552</v>
      </c>
      <c r="H99" s="22">
        <f t="shared" si="41"/>
        <v>-0.10379762966738881</v>
      </c>
      <c r="I99" s="23">
        <f t="shared" si="42"/>
        <v>72.221316808572709</v>
      </c>
      <c r="J99" s="23">
        <f t="shared" si="43"/>
        <v>145.19103439388553</v>
      </c>
      <c r="K99" s="21">
        <v>16336895.189999999</v>
      </c>
      <c r="L99" s="21">
        <v>16856797.32</v>
      </c>
      <c r="M99" s="24">
        <f t="shared" si="44"/>
        <v>-3.0842283983752664E-2</v>
      </c>
      <c r="N99" s="10"/>
      <c r="R99" s="2"/>
    </row>
    <row r="100" spans="1:18" ht="15.75" customHeight="1" x14ac:dyDescent="0.25">
      <c r="A100" s="19"/>
      <c r="B100" s="20">
        <f>DATE(2024,10,1)</f>
        <v>45566</v>
      </c>
      <c r="C100" s="21">
        <v>225125</v>
      </c>
      <c r="D100" s="21">
        <v>227962</v>
      </c>
      <c r="E100" s="22">
        <f t="shared" si="40"/>
        <v>-1.2445056632245726E-2</v>
      </c>
      <c r="F100" s="21">
        <f>+C100-114268</f>
        <v>110857</v>
      </c>
      <c r="G100" s="21">
        <f>+D100-111422</f>
        <v>116540</v>
      </c>
      <c r="H100" s="22">
        <f t="shared" si="41"/>
        <v>-4.8764372747554491E-2</v>
      </c>
      <c r="I100" s="23">
        <f t="shared" si="42"/>
        <v>68.096369350360916</v>
      </c>
      <c r="J100" s="23">
        <f t="shared" si="43"/>
        <v>138.28802105415085</v>
      </c>
      <c r="K100" s="21">
        <v>15330195.15</v>
      </c>
      <c r="L100" s="21">
        <v>15932586.210000001</v>
      </c>
      <c r="M100" s="24">
        <f t="shared" si="44"/>
        <v>-3.7808743167001543E-2</v>
      </c>
      <c r="N100" s="10"/>
      <c r="R100" s="2"/>
    </row>
    <row r="101" spans="1:18" ht="15.75" customHeight="1" x14ac:dyDescent="0.25">
      <c r="A101" s="19"/>
      <c r="B101" s="20">
        <f>DATE(2024,11,1)</f>
        <v>45597</v>
      </c>
      <c r="C101" s="21">
        <v>239580</v>
      </c>
      <c r="D101" s="21">
        <v>224275</v>
      </c>
      <c r="E101" s="22">
        <f t="shared" si="40"/>
        <v>6.8242113476758445E-2</v>
      </c>
      <c r="F101" s="21">
        <f>+C101-123980</f>
        <v>115600</v>
      </c>
      <c r="G101" s="21">
        <f>+D101-113252</f>
        <v>111023</v>
      </c>
      <c r="H101" s="22">
        <f t="shared" si="41"/>
        <v>4.1225691973735171E-2</v>
      </c>
      <c r="I101" s="23">
        <f t="shared" si="42"/>
        <v>68.185623173887635</v>
      </c>
      <c r="J101" s="23">
        <f t="shared" si="43"/>
        <v>141.31411418685121</v>
      </c>
      <c r="K101" s="21">
        <v>16335911.6</v>
      </c>
      <c r="L101" s="21">
        <v>14700672.210000001</v>
      </c>
      <c r="M101" s="24">
        <f t="shared" si="44"/>
        <v>0.1112356881808195</v>
      </c>
      <c r="N101" s="10"/>
      <c r="R101" s="2"/>
    </row>
    <row r="102" spans="1:18" ht="15.75" customHeight="1" x14ac:dyDescent="0.25">
      <c r="A102" s="19"/>
      <c r="B102" s="20">
        <f>DATE(2024,12,1)</f>
        <v>45627</v>
      </c>
      <c r="C102" s="21">
        <v>259501</v>
      </c>
      <c r="D102" s="21">
        <v>270052</v>
      </c>
      <c r="E102" s="22">
        <f t="shared" si="40"/>
        <v>-3.9070253136432982E-2</v>
      </c>
      <c r="F102" s="21">
        <f>+C102-135333</f>
        <v>124168</v>
      </c>
      <c r="G102" s="21">
        <f>+D102-136952</f>
        <v>133100</v>
      </c>
      <c r="H102" s="22">
        <f t="shared" si="41"/>
        <v>-6.7107438016528922E-2</v>
      </c>
      <c r="I102" s="23">
        <f t="shared" si="42"/>
        <v>66.008366827102776</v>
      </c>
      <c r="J102" s="23">
        <f t="shared" si="43"/>
        <v>137.95210682301396</v>
      </c>
      <c r="K102" s="21">
        <v>17129237.199999999</v>
      </c>
      <c r="L102" s="21">
        <v>18626512.870000001</v>
      </c>
      <c r="M102" s="24">
        <f t="shared" si="44"/>
        <v>-8.0384110565940928E-2</v>
      </c>
      <c r="N102" s="10"/>
      <c r="R102" s="2"/>
    </row>
    <row r="103" spans="1:18" ht="15.75" customHeight="1" x14ac:dyDescent="0.25">
      <c r="A103" s="19"/>
      <c r="B103" s="20">
        <f>DATE(2025,1,1)</f>
        <v>45658</v>
      </c>
      <c r="C103" s="21">
        <v>211605</v>
      </c>
      <c r="D103" s="21">
        <v>198314</v>
      </c>
      <c r="E103" s="22">
        <f t="shared" si="40"/>
        <v>6.7019978418064285E-2</v>
      </c>
      <c r="F103" s="21">
        <f>+C103-110906</f>
        <v>100699</v>
      </c>
      <c r="G103" s="21">
        <f>+D103-99827</f>
        <v>98487</v>
      </c>
      <c r="H103" s="22">
        <f t="shared" si="41"/>
        <v>2.245981703168946E-2</v>
      </c>
      <c r="I103" s="23">
        <f t="shared" si="42"/>
        <v>67.265974338980641</v>
      </c>
      <c r="J103" s="23">
        <f t="shared" si="43"/>
        <v>141.35012760801993</v>
      </c>
      <c r="K103" s="21">
        <v>14233816.5</v>
      </c>
      <c r="L103" s="21">
        <v>14082782.27</v>
      </c>
      <c r="M103" s="24">
        <f t="shared" si="44"/>
        <v>1.0724743669561856E-2</v>
      </c>
      <c r="N103" s="10"/>
      <c r="R103" s="2"/>
    </row>
    <row r="104" spans="1:18" ht="15.75" customHeight="1" x14ac:dyDescent="0.25">
      <c r="A104" s="19"/>
      <c r="B104" s="20">
        <f>DATE(2025,2,1)</f>
        <v>45689</v>
      </c>
      <c r="C104" s="21">
        <v>221818</v>
      </c>
      <c r="D104" s="21">
        <v>244148</v>
      </c>
      <c r="E104" s="22">
        <f t="shared" si="40"/>
        <v>-9.1460917148614776E-2</v>
      </c>
      <c r="F104" s="21">
        <f>+C104-116065</f>
        <v>105753</v>
      </c>
      <c r="G104" s="21">
        <f>+D104-123519</f>
        <v>120629</v>
      </c>
      <c r="H104" s="22">
        <f t="shared" si="41"/>
        <v>-0.12332026295501082</v>
      </c>
      <c r="I104" s="23">
        <f t="shared" si="42"/>
        <v>67.572943404051969</v>
      </c>
      <c r="J104" s="23">
        <f t="shared" si="43"/>
        <v>141.73494047450191</v>
      </c>
      <c r="K104" s="21">
        <v>14988895.16</v>
      </c>
      <c r="L104" s="21">
        <v>16876085.739999998</v>
      </c>
      <c r="M104" s="24">
        <f t="shared" si="44"/>
        <v>-0.11182632092979627</v>
      </c>
      <c r="N104" s="10"/>
      <c r="R104" s="2"/>
    </row>
    <row r="105" spans="1:18" ht="15.75" customHeight="1" thickBot="1" x14ac:dyDescent="0.3">
      <c r="A105" s="19"/>
      <c r="B105" s="44"/>
      <c r="C105" s="21"/>
      <c r="D105" s="21"/>
      <c r="E105" s="22"/>
      <c r="F105" s="21"/>
      <c r="G105" s="21"/>
      <c r="H105" s="22"/>
      <c r="I105" s="23"/>
      <c r="J105" s="23"/>
      <c r="K105" s="21"/>
      <c r="L105" s="21"/>
      <c r="M105" s="24"/>
      <c r="N105" s="10"/>
      <c r="R105" s="2"/>
    </row>
    <row r="106" spans="1:18" ht="17.25" thickTop="1" thickBot="1" x14ac:dyDescent="0.3">
      <c r="A106" s="38" t="s">
        <v>14</v>
      </c>
      <c r="B106" s="39"/>
      <c r="C106" s="40">
        <f>SUM(C97:C105)</f>
        <v>1877472</v>
      </c>
      <c r="D106" s="40">
        <f>SUM(D97:D105)</f>
        <v>1914375</v>
      </c>
      <c r="E106" s="279">
        <f>(+C106-D106)/D106</f>
        <v>-1.9276787463271303E-2</v>
      </c>
      <c r="F106" s="40">
        <f>SUM(F97:F105)</f>
        <v>912757</v>
      </c>
      <c r="G106" s="40">
        <f>SUM(G97:G105)</f>
        <v>956476</v>
      </c>
      <c r="H106" s="41">
        <f>(+F106-G106)/G106</f>
        <v>-4.5708412965929097E-2</v>
      </c>
      <c r="I106" s="42">
        <f>K106/C106</f>
        <v>68.670869829217153</v>
      </c>
      <c r="J106" s="42">
        <f>K106/F106</f>
        <v>141.2507768442203</v>
      </c>
      <c r="K106" s="40">
        <f>SUM(K97:K105)</f>
        <v>128927635.31999999</v>
      </c>
      <c r="L106" s="40">
        <f>SUM(L97:L105)</f>
        <v>131056294.25999999</v>
      </c>
      <c r="M106" s="43">
        <f>(+K106-L106)/L106</f>
        <v>-1.6242325116998909E-2</v>
      </c>
      <c r="N106" s="10"/>
      <c r="R106" s="2"/>
    </row>
    <row r="107" spans="1:18" ht="15.75" customHeight="1" thickTop="1" x14ac:dyDescent="0.2">
      <c r="A107" s="53"/>
      <c r="B107" s="54"/>
      <c r="C107" s="54"/>
      <c r="D107" s="54"/>
      <c r="E107" s="55"/>
      <c r="F107" s="54"/>
      <c r="G107" s="54"/>
      <c r="H107" s="55"/>
      <c r="I107" s="54"/>
      <c r="J107" s="54"/>
      <c r="K107" s="195"/>
      <c r="L107" s="195"/>
      <c r="M107" s="56"/>
      <c r="N107" s="10"/>
      <c r="R107" s="2"/>
    </row>
    <row r="108" spans="1:18" ht="15.75" customHeight="1" x14ac:dyDescent="0.25">
      <c r="A108" s="19" t="s">
        <v>53</v>
      </c>
      <c r="B108" s="20">
        <f>DATE(2024,7,1)</f>
        <v>45474</v>
      </c>
      <c r="C108" s="21">
        <v>331492</v>
      </c>
      <c r="D108" s="21">
        <v>372664</v>
      </c>
      <c r="E108" s="22">
        <f t="shared" ref="E108:E115" si="45">(+C108-D108)/D108</f>
        <v>-0.11048021810531738</v>
      </c>
      <c r="F108" s="21">
        <f>+C108-154270</f>
        <v>177222</v>
      </c>
      <c r="G108" s="21">
        <f>+D108-175639</f>
        <v>197025</v>
      </c>
      <c r="H108" s="22">
        <f t="shared" ref="H108:H115" si="46">(+F108-G108)/G108</f>
        <v>-0.10051008755234107</v>
      </c>
      <c r="I108" s="23">
        <f t="shared" ref="I108:I115" si="47">K108/C108</f>
        <v>62.375405318982054</v>
      </c>
      <c r="J108" s="23">
        <f t="shared" ref="J108:J115" si="48">K108/F108</f>
        <v>116.67257936373588</v>
      </c>
      <c r="K108" s="21">
        <v>20676947.859999999</v>
      </c>
      <c r="L108" s="21">
        <v>22235232.609999999</v>
      </c>
      <c r="M108" s="24">
        <f t="shared" ref="M108:M115" si="49">(+K108-L108)/L108</f>
        <v>-7.0081783147129401E-2</v>
      </c>
      <c r="N108" s="10"/>
      <c r="R108" s="2"/>
    </row>
    <row r="109" spans="1:18" ht="15.75" customHeight="1" x14ac:dyDescent="0.25">
      <c r="A109" s="19"/>
      <c r="B109" s="20">
        <f>DATE(2024,8,1)</f>
        <v>45505</v>
      </c>
      <c r="C109" s="21">
        <v>357343</v>
      </c>
      <c r="D109" s="21">
        <v>342645</v>
      </c>
      <c r="E109" s="22">
        <f t="shared" si="45"/>
        <v>4.2895708386230649E-2</v>
      </c>
      <c r="F109" s="21">
        <f>+C109-161766</f>
        <v>195577</v>
      </c>
      <c r="G109" s="21">
        <f>+D109-159996</f>
        <v>182649</v>
      </c>
      <c r="H109" s="22">
        <f t="shared" si="46"/>
        <v>7.0780568193639162E-2</v>
      </c>
      <c r="I109" s="23">
        <f t="shared" si="47"/>
        <v>60.552715989959232</v>
      </c>
      <c r="J109" s="23">
        <f t="shared" si="48"/>
        <v>110.63718734820557</v>
      </c>
      <c r="K109" s="21">
        <v>21638089.190000001</v>
      </c>
      <c r="L109" s="21">
        <v>20613157.399999999</v>
      </c>
      <c r="M109" s="24">
        <f t="shared" si="49"/>
        <v>4.9722212376838638E-2</v>
      </c>
      <c r="N109" s="10"/>
      <c r="R109" s="2"/>
    </row>
    <row r="110" spans="1:18" ht="15.75" customHeight="1" x14ac:dyDescent="0.25">
      <c r="A110" s="19"/>
      <c r="B110" s="20">
        <f>DATE(2024,9,1)</f>
        <v>45536</v>
      </c>
      <c r="C110" s="21">
        <v>320719</v>
      </c>
      <c r="D110" s="21">
        <v>340628</v>
      </c>
      <c r="E110" s="22">
        <f t="shared" si="45"/>
        <v>-5.8447925596251629E-2</v>
      </c>
      <c r="F110" s="21">
        <f>+C110-145865</f>
        <v>174854</v>
      </c>
      <c r="G110" s="21">
        <f>+D110-161145</f>
        <v>179483</v>
      </c>
      <c r="H110" s="22">
        <f t="shared" si="46"/>
        <v>-2.5790743413025188E-2</v>
      </c>
      <c r="I110" s="23">
        <f t="shared" si="47"/>
        <v>63.666251329045053</v>
      </c>
      <c r="J110" s="23">
        <f t="shared" si="48"/>
        <v>116.77729111144156</v>
      </c>
      <c r="K110" s="21">
        <v>20418976.460000001</v>
      </c>
      <c r="L110" s="21">
        <v>21539856.850000001</v>
      </c>
      <c r="M110" s="24">
        <f t="shared" si="49"/>
        <v>-5.2037504139680509E-2</v>
      </c>
      <c r="N110" s="10"/>
      <c r="R110" s="2"/>
    </row>
    <row r="111" spans="1:18" ht="15.75" customHeight="1" x14ac:dyDescent="0.25">
      <c r="A111" s="19"/>
      <c r="B111" s="20">
        <f>DATE(2024,10,1)</f>
        <v>45566</v>
      </c>
      <c r="C111" s="21">
        <v>327430</v>
      </c>
      <c r="D111" s="21">
        <v>328436</v>
      </c>
      <c r="E111" s="22">
        <f t="shared" si="45"/>
        <v>-3.0630016197980732E-3</v>
      </c>
      <c r="F111" s="21">
        <f>+C111-150962</f>
        <v>176468</v>
      </c>
      <c r="G111" s="21">
        <f>+D111-154947</f>
        <v>173489</v>
      </c>
      <c r="H111" s="22">
        <f t="shared" si="46"/>
        <v>1.7171117477188757E-2</v>
      </c>
      <c r="I111" s="23">
        <f t="shared" si="47"/>
        <v>65.411057294688931</v>
      </c>
      <c r="J111" s="23">
        <f t="shared" si="48"/>
        <v>121.36785417186118</v>
      </c>
      <c r="K111" s="21">
        <v>21417542.489999998</v>
      </c>
      <c r="L111" s="21">
        <v>19498675.699999999</v>
      </c>
      <c r="M111" s="24">
        <f t="shared" si="49"/>
        <v>9.841010843623596E-2</v>
      </c>
      <c r="N111" s="10"/>
      <c r="R111" s="2"/>
    </row>
    <row r="112" spans="1:18" ht="15.75" customHeight="1" x14ac:dyDescent="0.25">
      <c r="A112" s="19"/>
      <c r="B112" s="20">
        <f>DATE(2024,11,1)</f>
        <v>45597</v>
      </c>
      <c r="C112" s="21">
        <v>333683</v>
      </c>
      <c r="D112" s="21">
        <v>339918</v>
      </c>
      <c r="E112" s="22">
        <f t="shared" si="45"/>
        <v>-1.8342659111903459E-2</v>
      </c>
      <c r="F112" s="21">
        <f>+C112-155206</f>
        <v>178477</v>
      </c>
      <c r="G112" s="21">
        <f>+D112-166606</f>
        <v>173312</v>
      </c>
      <c r="H112" s="22">
        <f t="shared" si="46"/>
        <v>2.980174483013294E-2</v>
      </c>
      <c r="I112" s="23">
        <f t="shared" si="47"/>
        <v>62.666059943119663</v>
      </c>
      <c r="J112" s="23">
        <f t="shared" si="48"/>
        <v>117.16130862800249</v>
      </c>
      <c r="K112" s="21">
        <v>20910598.879999999</v>
      </c>
      <c r="L112" s="21">
        <v>20200799.079999998</v>
      </c>
      <c r="M112" s="24">
        <f t="shared" si="49"/>
        <v>3.5137213987873631E-2</v>
      </c>
      <c r="N112" s="10"/>
      <c r="R112" s="2"/>
    </row>
    <row r="113" spans="1:18" ht="15.75" customHeight="1" x14ac:dyDescent="0.25">
      <c r="A113" s="19"/>
      <c r="B113" s="20">
        <f>DATE(2024,12,1)</f>
        <v>45627</v>
      </c>
      <c r="C113" s="21">
        <v>351490</v>
      </c>
      <c r="D113" s="21">
        <v>360595</v>
      </c>
      <c r="E113" s="22">
        <f t="shared" si="45"/>
        <v>-2.5249934136635285E-2</v>
      </c>
      <c r="F113" s="21">
        <f>+C113-166912</f>
        <v>184578</v>
      </c>
      <c r="G113" s="21">
        <f>+D113-173565</f>
        <v>187030</v>
      </c>
      <c r="H113" s="22">
        <f t="shared" si="46"/>
        <v>-1.3110196225204512E-2</v>
      </c>
      <c r="I113" s="23">
        <f t="shared" si="47"/>
        <v>65.07750798031239</v>
      </c>
      <c r="J113" s="23">
        <f t="shared" si="48"/>
        <v>123.92643370282482</v>
      </c>
      <c r="K113" s="21">
        <v>22874093.280000001</v>
      </c>
      <c r="L113" s="21">
        <v>21540727.300000001</v>
      </c>
      <c r="M113" s="24">
        <f t="shared" si="49"/>
        <v>6.1899766030648389E-2</v>
      </c>
      <c r="N113" s="10"/>
      <c r="R113" s="2"/>
    </row>
    <row r="114" spans="1:18" ht="15.75" customHeight="1" x14ac:dyDescent="0.25">
      <c r="A114" s="19"/>
      <c r="B114" s="20">
        <f>DATE(2025,1,1)</f>
        <v>45658</v>
      </c>
      <c r="C114" s="21">
        <v>301968</v>
      </c>
      <c r="D114" s="21">
        <v>304972</v>
      </c>
      <c r="E114" s="22">
        <f t="shared" si="45"/>
        <v>-9.850084597930301E-3</v>
      </c>
      <c r="F114" s="21">
        <f>+C114-144300</f>
        <v>157668</v>
      </c>
      <c r="G114" s="21">
        <f>+D114-150800</f>
        <v>154172</v>
      </c>
      <c r="H114" s="22">
        <f t="shared" si="46"/>
        <v>2.2675972290688323E-2</v>
      </c>
      <c r="I114" s="23">
        <f t="shared" si="47"/>
        <v>63.422045680336986</v>
      </c>
      <c r="J114" s="23">
        <f t="shared" si="48"/>
        <v>121.46680550270187</v>
      </c>
      <c r="K114" s="21">
        <v>19151428.289999999</v>
      </c>
      <c r="L114" s="21">
        <v>17790476.149999999</v>
      </c>
      <c r="M114" s="24">
        <f t="shared" si="49"/>
        <v>7.6498915966338579E-2</v>
      </c>
      <c r="N114" s="10"/>
      <c r="R114" s="2"/>
    </row>
    <row r="115" spans="1:18" ht="15.75" customHeight="1" x14ac:dyDescent="0.25">
      <c r="A115" s="19"/>
      <c r="B115" s="20">
        <f>DATE(2025,2,1)</f>
        <v>45689</v>
      </c>
      <c r="C115" s="21">
        <v>296468</v>
      </c>
      <c r="D115" s="21">
        <v>335192</v>
      </c>
      <c r="E115" s="22">
        <f t="shared" si="45"/>
        <v>-0.11552781689300461</v>
      </c>
      <c r="F115" s="21">
        <f>+C115-141659</f>
        <v>154809</v>
      </c>
      <c r="G115" s="21">
        <f>+D115-154964</f>
        <v>180228</v>
      </c>
      <c r="H115" s="22">
        <f t="shared" si="46"/>
        <v>-0.14103801850988748</v>
      </c>
      <c r="I115" s="23">
        <f t="shared" si="47"/>
        <v>72.69675077917347</v>
      </c>
      <c r="J115" s="23">
        <f t="shared" si="48"/>
        <v>139.21839369804081</v>
      </c>
      <c r="K115" s="21">
        <v>21552260.309999999</v>
      </c>
      <c r="L115" s="21">
        <v>20368504.68</v>
      </c>
      <c r="M115" s="24">
        <f t="shared" si="49"/>
        <v>5.8116962859936311E-2</v>
      </c>
      <c r="N115" s="10"/>
      <c r="R115" s="2"/>
    </row>
    <row r="116" spans="1:18" ht="15.75" customHeight="1" thickBot="1" x14ac:dyDescent="0.3">
      <c r="A116" s="19"/>
      <c r="B116" s="44"/>
      <c r="C116" s="21"/>
      <c r="D116" s="21"/>
      <c r="E116" s="22"/>
      <c r="F116" s="21"/>
      <c r="G116" s="21"/>
      <c r="H116" s="22"/>
      <c r="I116" s="23"/>
      <c r="J116" s="23"/>
      <c r="K116" s="21"/>
      <c r="L116" s="21"/>
      <c r="M116" s="24"/>
      <c r="N116" s="10"/>
      <c r="R116" s="2"/>
    </row>
    <row r="117" spans="1:18" ht="17.25" thickTop="1" thickBot="1" x14ac:dyDescent="0.3">
      <c r="A117" s="38" t="s">
        <v>14</v>
      </c>
      <c r="B117" s="39"/>
      <c r="C117" s="40">
        <f>SUM(C108:C116)</f>
        <v>2620593</v>
      </c>
      <c r="D117" s="40">
        <f>SUM(D108:D116)</f>
        <v>2725050</v>
      </c>
      <c r="E117" s="279">
        <f>(+C117-D117)/D117</f>
        <v>-3.8332140694666152E-2</v>
      </c>
      <c r="F117" s="40">
        <f>SUM(F108:F116)</f>
        <v>1399653</v>
      </c>
      <c r="G117" s="40">
        <f>SUM(G108:G116)</f>
        <v>1427388</v>
      </c>
      <c r="H117" s="41">
        <f>(+F117-G117)/G117</f>
        <v>-1.9430596305979875E-2</v>
      </c>
      <c r="I117" s="42">
        <f>K117/C117</f>
        <v>64.351822949996432</v>
      </c>
      <c r="J117" s="42">
        <f>K117/F117</f>
        <v>120.48696123967869</v>
      </c>
      <c r="K117" s="40">
        <f>SUM(K108:K116)</f>
        <v>168639936.75999999</v>
      </c>
      <c r="L117" s="40">
        <f>SUM(L108:L116)</f>
        <v>163787429.77000001</v>
      </c>
      <c r="M117" s="43">
        <f>(+K117-L117)/L117</f>
        <v>2.9626858403078653E-2</v>
      </c>
      <c r="N117" s="10"/>
      <c r="R117" s="2"/>
    </row>
    <row r="118" spans="1:18" ht="15.75" customHeight="1" thickTop="1" x14ac:dyDescent="0.2">
      <c r="A118" s="57"/>
      <c r="B118" s="58"/>
      <c r="C118" s="58"/>
      <c r="D118" s="58"/>
      <c r="E118" s="59"/>
      <c r="F118" s="58"/>
      <c r="G118" s="58"/>
      <c r="H118" s="59"/>
      <c r="I118" s="58"/>
      <c r="J118" s="58"/>
      <c r="K118" s="196"/>
      <c r="L118" s="196"/>
      <c r="M118" s="60"/>
      <c r="N118" s="10"/>
      <c r="R118" s="2"/>
    </row>
    <row r="119" spans="1:18" ht="15" customHeight="1" x14ac:dyDescent="0.25">
      <c r="A119" s="19" t="s">
        <v>54</v>
      </c>
      <c r="B119" s="20">
        <f>DATE(2024,7,1)</f>
        <v>45474</v>
      </c>
      <c r="C119" s="21">
        <v>39024</v>
      </c>
      <c r="D119" s="21">
        <v>43122</v>
      </c>
      <c r="E119" s="22">
        <f t="shared" ref="E119:E126" si="50">(+C119-D119)/D119</f>
        <v>-9.5032697926812307E-2</v>
      </c>
      <c r="F119" s="21">
        <f>+C119-19863</f>
        <v>19161</v>
      </c>
      <c r="G119" s="21">
        <f>+D119-21874</f>
        <v>21248</v>
      </c>
      <c r="H119" s="22">
        <f t="shared" ref="H119:H126" si="51">(+F119-G119)/G119</f>
        <v>-9.8221009036144571E-2</v>
      </c>
      <c r="I119" s="23">
        <f t="shared" ref="I119:I126" si="52">K119/C119</f>
        <v>72.511592097170976</v>
      </c>
      <c r="J119" s="23">
        <f t="shared" ref="J119:J126" si="53">K119/F119</f>
        <v>147.67978550180055</v>
      </c>
      <c r="K119" s="21">
        <v>2829692.37</v>
      </c>
      <c r="L119" s="21">
        <v>3178378.98</v>
      </c>
      <c r="M119" s="24">
        <f t="shared" ref="M119:M126" si="54">(+K119-L119)/L119</f>
        <v>-0.10970580040772855</v>
      </c>
      <c r="N119" s="10"/>
      <c r="R119" s="2"/>
    </row>
    <row r="120" spans="1:18" ht="15" customHeight="1" x14ac:dyDescent="0.25">
      <c r="A120" s="19"/>
      <c r="B120" s="20">
        <f>DATE(2024,8,1)</f>
        <v>45505</v>
      </c>
      <c r="C120" s="21">
        <v>37405</v>
      </c>
      <c r="D120" s="21">
        <v>38794</v>
      </c>
      <c r="E120" s="22">
        <f t="shared" si="50"/>
        <v>-3.5804505851420323E-2</v>
      </c>
      <c r="F120" s="21">
        <f>+C120-18960</f>
        <v>18445</v>
      </c>
      <c r="G120" s="21">
        <f>+D120-19691</f>
        <v>19103</v>
      </c>
      <c r="H120" s="22">
        <f t="shared" si="51"/>
        <v>-3.4444851593990473E-2</v>
      </c>
      <c r="I120" s="23">
        <f t="shared" si="52"/>
        <v>72.677812591899482</v>
      </c>
      <c r="J120" s="23">
        <f t="shared" si="53"/>
        <v>147.38485117918137</v>
      </c>
      <c r="K120" s="21">
        <v>2718513.58</v>
      </c>
      <c r="L120" s="21">
        <v>2873018.73</v>
      </c>
      <c r="M120" s="24">
        <f t="shared" si="54"/>
        <v>-5.3777982157464009E-2</v>
      </c>
      <c r="N120" s="10"/>
      <c r="R120" s="2"/>
    </row>
    <row r="121" spans="1:18" ht="15" customHeight="1" x14ac:dyDescent="0.25">
      <c r="A121" s="19"/>
      <c r="B121" s="20">
        <f>DATE(2024,9,1)</f>
        <v>45536</v>
      </c>
      <c r="C121" s="21">
        <v>33865</v>
      </c>
      <c r="D121" s="21">
        <v>39024</v>
      </c>
      <c r="E121" s="22">
        <f t="shared" si="50"/>
        <v>-0.13220069700697007</v>
      </c>
      <c r="F121" s="21">
        <f>+C121-17304</f>
        <v>16561</v>
      </c>
      <c r="G121" s="21">
        <f>+D121-19292</f>
        <v>19732</v>
      </c>
      <c r="H121" s="22">
        <f t="shared" si="51"/>
        <v>-0.16070342590715589</v>
      </c>
      <c r="I121" s="23">
        <f t="shared" si="52"/>
        <v>72.919074856046066</v>
      </c>
      <c r="J121" s="23">
        <f t="shared" si="53"/>
        <v>149.10962321115875</v>
      </c>
      <c r="K121" s="21">
        <v>2469404.4700000002</v>
      </c>
      <c r="L121" s="21">
        <v>2876153.41</v>
      </c>
      <c r="M121" s="24">
        <f t="shared" si="54"/>
        <v>-0.14142115597373506</v>
      </c>
      <c r="N121" s="10"/>
      <c r="R121" s="2"/>
    </row>
    <row r="122" spans="1:18" ht="15" customHeight="1" x14ac:dyDescent="0.25">
      <c r="A122" s="19"/>
      <c r="B122" s="20">
        <f>DATE(2024,10,1)</f>
        <v>45566</v>
      </c>
      <c r="C122" s="21">
        <v>33869</v>
      </c>
      <c r="D122" s="21">
        <v>39576</v>
      </c>
      <c r="E122" s="22">
        <f t="shared" si="50"/>
        <v>-0.14420355771174448</v>
      </c>
      <c r="F122" s="21">
        <f>+C122-17511</f>
        <v>16358</v>
      </c>
      <c r="G122" s="21">
        <f>+D122-20256</f>
        <v>19320</v>
      </c>
      <c r="H122" s="22">
        <f t="shared" si="51"/>
        <v>-0.15331262939958593</v>
      </c>
      <c r="I122" s="23">
        <f t="shared" si="52"/>
        <v>73.082074463373587</v>
      </c>
      <c r="J122" s="23">
        <f t="shared" si="53"/>
        <v>151.31536740432816</v>
      </c>
      <c r="K122" s="21">
        <v>2475216.7799999998</v>
      </c>
      <c r="L122" s="21">
        <v>3090058.03</v>
      </c>
      <c r="M122" s="24">
        <f t="shared" si="54"/>
        <v>-0.19897401408995546</v>
      </c>
      <c r="N122" s="10"/>
      <c r="R122" s="2"/>
    </row>
    <row r="123" spans="1:18" ht="15" customHeight="1" x14ac:dyDescent="0.25">
      <c r="A123" s="19"/>
      <c r="B123" s="20">
        <f>DATE(2024,11,1)</f>
        <v>45597</v>
      </c>
      <c r="C123" s="21">
        <v>33707</v>
      </c>
      <c r="D123" s="21">
        <v>38920</v>
      </c>
      <c r="E123" s="22">
        <f t="shared" si="50"/>
        <v>-0.13394141829393627</v>
      </c>
      <c r="F123" s="21">
        <f>+C123-17566</f>
        <v>16141</v>
      </c>
      <c r="G123" s="21">
        <f>+D123-20391</f>
        <v>18529</v>
      </c>
      <c r="H123" s="22">
        <f t="shared" si="51"/>
        <v>-0.12887905445517836</v>
      </c>
      <c r="I123" s="23">
        <f t="shared" si="52"/>
        <v>74.778158542735937</v>
      </c>
      <c r="J123" s="23">
        <f t="shared" si="53"/>
        <v>156.15806889288149</v>
      </c>
      <c r="K123" s="21">
        <v>2520547.39</v>
      </c>
      <c r="L123" s="21">
        <v>2759895.04</v>
      </c>
      <c r="M123" s="24">
        <f t="shared" si="54"/>
        <v>-8.6723461048721584E-2</v>
      </c>
      <c r="N123" s="10"/>
      <c r="R123" s="2"/>
    </row>
    <row r="124" spans="1:18" ht="15" customHeight="1" x14ac:dyDescent="0.25">
      <c r="A124" s="19"/>
      <c r="B124" s="20">
        <f>DATE(2024,12,1)</f>
        <v>45627</v>
      </c>
      <c r="C124" s="21">
        <v>34296</v>
      </c>
      <c r="D124" s="21">
        <v>39936</v>
      </c>
      <c r="E124" s="22">
        <f t="shared" si="50"/>
        <v>-0.14122596153846154</v>
      </c>
      <c r="F124" s="21">
        <f>+C124-18130</f>
        <v>16166</v>
      </c>
      <c r="G124" s="21">
        <f>+D124-21159</f>
        <v>18777</v>
      </c>
      <c r="H124" s="22">
        <f t="shared" si="51"/>
        <v>-0.13905309687383502</v>
      </c>
      <c r="I124" s="23">
        <f t="shared" si="52"/>
        <v>73.762084499650115</v>
      </c>
      <c r="J124" s="23">
        <f t="shared" si="53"/>
        <v>156.48549115427443</v>
      </c>
      <c r="K124" s="21">
        <v>2529744.4500000002</v>
      </c>
      <c r="L124" s="21">
        <v>3202742.31</v>
      </c>
      <c r="M124" s="24">
        <f t="shared" si="54"/>
        <v>-0.21013175424656624</v>
      </c>
      <c r="N124" s="10"/>
      <c r="R124" s="2"/>
    </row>
    <row r="125" spans="1:18" ht="15" customHeight="1" x14ac:dyDescent="0.25">
      <c r="A125" s="19"/>
      <c r="B125" s="20">
        <f>DATE(2025,1,1)</f>
        <v>45658</v>
      </c>
      <c r="C125" s="21">
        <v>31653</v>
      </c>
      <c r="D125" s="21">
        <v>28423</v>
      </c>
      <c r="E125" s="22">
        <f t="shared" si="50"/>
        <v>0.113640361678922</v>
      </c>
      <c r="F125" s="21">
        <f>+C125-16787</f>
        <v>14866</v>
      </c>
      <c r="G125" s="21">
        <f>+D125-15073</f>
        <v>13350</v>
      </c>
      <c r="H125" s="22">
        <f t="shared" si="51"/>
        <v>0.11355805243445694</v>
      </c>
      <c r="I125" s="23">
        <f t="shared" si="52"/>
        <v>73.52763466338105</v>
      </c>
      <c r="J125" s="23">
        <f t="shared" si="53"/>
        <v>156.55658684245932</v>
      </c>
      <c r="K125" s="21">
        <v>2327370.2200000002</v>
      </c>
      <c r="L125" s="21">
        <v>2214416.4300000002</v>
      </c>
      <c r="M125" s="24">
        <f t="shared" si="54"/>
        <v>5.1008377859624185E-2</v>
      </c>
      <c r="N125" s="10"/>
      <c r="R125" s="2"/>
    </row>
    <row r="126" spans="1:18" ht="15" customHeight="1" x14ac:dyDescent="0.25">
      <c r="A126" s="19"/>
      <c r="B126" s="20">
        <f>DATE(2025,2,1)</f>
        <v>45689</v>
      </c>
      <c r="C126" s="21">
        <v>33779</v>
      </c>
      <c r="D126" s="21">
        <v>39444</v>
      </c>
      <c r="E126" s="22">
        <f t="shared" si="50"/>
        <v>-0.14362133657844031</v>
      </c>
      <c r="F126" s="21">
        <f>+C126-18168</f>
        <v>15611</v>
      </c>
      <c r="G126" s="21">
        <f>+D126-20602</f>
        <v>18842</v>
      </c>
      <c r="H126" s="22">
        <f t="shared" si="51"/>
        <v>-0.17147861161235536</v>
      </c>
      <c r="I126" s="23">
        <f t="shared" si="52"/>
        <v>71.015103762692789</v>
      </c>
      <c r="J126" s="23">
        <f t="shared" si="53"/>
        <v>153.66210941003138</v>
      </c>
      <c r="K126" s="21">
        <v>2398819.19</v>
      </c>
      <c r="L126" s="21">
        <v>3115244.86</v>
      </c>
      <c r="M126" s="24">
        <f t="shared" si="54"/>
        <v>-0.22997411189051764</v>
      </c>
      <c r="N126" s="10"/>
      <c r="R126" s="2"/>
    </row>
    <row r="127" spans="1:18" ht="15.75" thickBot="1" x14ac:dyDescent="0.25">
      <c r="A127" s="37"/>
      <c r="B127" s="20"/>
      <c r="C127" s="21"/>
      <c r="D127" s="21"/>
      <c r="E127" s="22"/>
      <c r="F127" s="21"/>
      <c r="G127" s="21"/>
      <c r="H127" s="22"/>
      <c r="I127" s="23"/>
      <c r="J127" s="23"/>
      <c r="K127" s="21"/>
      <c r="L127" s="21"/>
      <c r="M127" s="24"/>
      <c r="N127" s="10"/>
      <c r="R127" s="2"/>
    </row>
    <row r="128" spans="1:18" ht="17.25" thickTop="1" thickBot="1" x14ac:dyDescent="0.3">
      <c r="A128" s="61" t="s">
        <v>14</v>
      </c>
      <c r="B128" s="51"/>
      <c r="C128" s="47">
        <f>SUM(C119:C127)</f>
        <v>277598</v>
      </c>
      <c r="D128" s="47">
        <f>SUM(D119:D127)</f>
        <v>307239</v>
      </c>
      <c r="E128" s="279">
        <f>(+C128-D128)/D128</f>
        <v>-9.6475382357057535E-2</v>
      </c>
      <c r="F128" s="47">
        <f>SUM(F119:F127)</f>
        <v>133309</v>
      </c>
      <c r="G128" s="47">
        <f>SUM(G119:G127)</f>
        <v>148901</v>
      </c>
      <c r="H128" s="41">
        <f>(+F128-G128)/G128</f>
        <v>-0.10471387028965554</v>
      </c>
      <c r="I128" s="49">
        <f>K128/C128</f>
        <v>73.016766871519238</v>
      </c>
      <c r="J128" s="49">
        <f>K128/F128</f>
        <v>152.04756205507505</v>
      </c>
      <c r="K128" s="47">
        <f>SUM(K119:K127)</f>
        <v>20269308.449999999</v>
      </c>
      <c r="L128" s="47">
        <f>SUM(L119:L127)</f>
        <v>23309907.789999999</v>
      </c>
      <c r="M128" s="43">
        <f>(+K128-L128)/L128</f>
        <v>-0.13044235813341243</v>
      </c>
      <c r="N128" s="10"/>
      <c r="R128" s="2"/>
    </row>
    <row r="129" spans="1:18" ht="15.75" customHeight="1" thickTop="1" x14ac:dyDescent="0.25">
      <c r="A129" s="19"/>
      <c r="B129" s="44"/>
      <c r="C129" s="21"/>
      <c r="D129" s="21"/>
      <c r="E129" s="22"/>
      <c r="F129" s="21"/>
      <c r="G129" s="21"/>
      <c r="H129" s="22"/>
      <c r="I129" s="23"/>
      <c r="J129" s="23"/>
      <c r="K129" s="21"/>
      <c r="L129" s="21"/>
      <c r="M129" s="24"/>
      <c r="N129" s="10"/>
      <c r="R129" s="2"/>
    </row>
    <row r="130" spans="1:18" ht="15.75" x14ac:dyDescent="0.25">
      <c r="A130" s="19" t="s">
        <v>17</v>
      </c>
      <c r="B130" s="20">
        <f>DATE(2024,7,1)</f>
        <v>45474</v>
      </c>
      <c r="C130" s="21">
        <v>318851</v>
      </c>
      <c r="D130" s="21">
        <v>341358</v>
      </c>
      <c r="E130" s="22">
        <f t="shared" ref="E130:E137" si="55">(+C130-D130)/D130</f>
        <v>-6.5933711821606636E-2</v>
      </c>
      <c r="F130" s="21">
        <f>+C130-161525</f>
        <v>157326</v>
      </c>
      <c r="G130" s="21">
        <f>+D130-174275</f>
        <v>167083</v>
      </c>
      <c r="H130" s="22">
        <f t="shared" ref="H130:H137" si="56">(+F130-G130)/G130</f>
        <v>-5.8396126476062793E-2</v>
      </c>
      <c r="I130" s="23">
        <f t="shared" ref="I130:I137" si="57">K130/C130</f>
        <v>75.546108025378629</v>
      </c>
      <c r="J130" s="23">
        <f t="shared" ref="J130:J137" si="58">K130/F130</f>
        <v>153.10852681692791</v>
      </c>
      <c r="K130" s="21">
        <v>24087952.09</v>
      </c>
      <c r="L130" s="21">
        <v>25671094.809999999</v>
      </c>
      <c r="M130" s="24">
        <f t="shared" ref="M130:M137" si="59">(+K130-L130)/L130</f>
        <v>-6.1670245531690232E-2</v>
      </c>
      <c r="N130" s="10"/>
      <c r="R130" s="2"/>
    </row>
    <row r="131" spans="1:18" ht="15.75" x14ac:dyDescent="0.25">
      <c r="A131" s="19"/>
      <c r="B131" s="20">
        <f>DATE(2024,8,1)</f>
        <v>45505</v>
      </c>
      <c r="C131" s="21">
        <v>333739</v>
      </c>
      <c r="D131" s="21">
        <v>326253</v>
      </c>
      <c r="E131" s="22">
        <f t="shared" si="55"/>
        <v>2.2945382877705339E-2</v>
      </c>
      <c r="F131" s="21">
        <f>+C131-170693</f>
        <v>163046</v>
      </c>
      <c r="G131" s="21">
        <f>+D131-166627</f>
        <v>159626</v>
      </c>
      <c r="H131" s="22">
        <f t="shared" si="56"/>
        <v>2.1425081127134676E-2</v>
      </c>
      <c r="I131" s="23">
        <f t="shared" si="57"/>
        <v>76.41637737873009</v>
      </c>
      <c r="J131" s="23">
        <f t="shared" si="58"/>
        <v>156.41674969027147</v>
      </c>
      <c r="K131" s="21">
        <v>25503125.370000001</v>
      </c>
      <c r="L131" s="21">
        <v>23346104.670000002</v>
      </c>
      <c r="M131" s="24">
        <f t="shared" si="59"/>
        <v>9.2393173528935404E-2</v>
      </c>
      <c r="N131" s="10"/>
      <c r="R131" s="2"/>
    </row>
    <row r="132" spans="1:18" ht="15.75" x14ac:dyDescent="0.25">
      <c r="A132" s="19"/>
      <c r="B132" s="20">
        <f>DATE(2024,9,1)</f>
        <v>45536</v>
      </c>
      <c r="C132" s="21">
        <v>295322</v>
      </c>
      <c r="D132" s="21">
        <v>330805</v>
      </c>
      <c r="E132" s="22">
        <f t="shared" si="55"/>
        <v>-0.10726258672027328</v>
      </c>
      <c r="F132" s="21">
        <f>+C132-149037</f>
        <v>146285</v>
      </c>
      <c r="G132" s="21">
        <f>+D132-169998</f>
        <v>160807</v>
      </c>
      <c r="H132" s="22">
        <f t="shared" si="56"/>
        <v>-9.0307013998146848E-2</v>
      </c>
      <c r="I132" s="23">
        <f t="shared" si="57"/>
        <v>79.999789043823355</v>
      </c>
      <c r="J132" s="23">
        <f t="shared" si="58"/>
        <v>161.50458146768295</v>
      </c>
      <c r="K132" s="21">
        <v>23625697.699999999</v>
      </c>
      <c r="L132" s="21">
        <v>24603845.010000002</v>
      </c>
      <c r="M132" s="24">
        <f t="shared" si="59"/>
        <v>-3.9755871881100031E-2</v>
      </c>
      <c r="N132" s="10"/>
      <c r="R132" s="2"/>
    </row>
    <row r="133" spans="1:18" ht="15.75" x14ac:dyDescent="0.25">
      <c r="A133" s="19"/>
      <c r="B133" s="20">
        <f>DATE(2024,10,1)</f>
        <v>45566</v>
      </c>
      <c r="C133" s="21">
        <v>292456</v>
      </c>
      <c r="D133" s="21">
        <v>303665</v>
      </c>
      <c r="E133" s="22">
        <f t="shared" si="55"/>
        <v>-3.6912387005417151E-2</v>
      </c>
      <c r="F133" s="21">
        <f>+C133-147740</f>
        <v>144716</v>
      </c>
      <c r="G133" s="21">
        <f>+D133-155149</f>
        <v>148516</v>
      </c>
      <c r="H133" s="22">
        <f t="shared" si="56"/>
        <v>-2.5586468797974628E-2</v>
      </c>
      <c r="I133" s="23">
        <f t="shared" si="57"/>
        <v>80.695007864430892</v>
      </c>
      <c r="J133" s="23">
        <f t="shared" si="58"/>
        <v>163.07622667845988</v>
      </c>
      <c r="K133" s="21">
        <v>23599739.219999999</v>
      </c>
      <c r="L133" s="21">
        <v>23651329.329999998</v>
      </c>
      <c r="M133" s="24">
        <f t="shared" si="59"/>
        <v>-2.1812773937641252E-3</v>
      </c>
      <c r="N133" s="10"/>
      <c r="R133" s="2"/>
    </row>
    <row r="134" spans="1:18" ht="15.75" x14ac:dyDescent="0.25">
      <c r="A134" s="19"/>
      <c r="B134" s="20">
        <f>DATE(2024,11,1)</f>
        <v>45597</v>
      </c>
      <c r="C134" s="21">
        <v>314580</v>
      </c>
      <c r="D134" s="21">
        <v>307303</v>
      </c>
      <c r="E134" s="22">
        <f t="shared" si="55"/>
        <v>2.3680211387457982E-2</v>
      </c>
      <c r="F134" s="21">
        <f>+C134-161325</f>
        <v>153255</v>
      </c>
      <c r="G134" s="21">
        <f>+D134-157952</f>
        <v>149351</v>
      </c>
      <c r="H134" s="22">
        <f t="shared" si="56"/>
        <v>2.6139764715335016E-2</v>
      </c>
      <c r="I134" s="23">
        <f t="shared" si="57"/>
        <v>73.528043232246162</v>
      </c>
      <c r="J134" s="23">
        <f t="shared" si="58"/>
        <v>150.92787732863528</v>
      </c>
      <c r="K134" s="21">
        <v>23130451.84</v>
      </c>
      <c r="L134" s="21">
        <v>22071164.870000001</v>
      </c>
      <c r="M134" s="24">
        <f t="shared" si="59"/>
        <v>4.7994157818096114E-2</v>
      </c>
      <c r="N134" s="10"/>
      <c r="R134" s="2"/>
    </row>
    <row r="135" spans="1:18" ht="15.75" x14ac:dyDescent="0.25">
      <c r="A135" s="19"/>
      <c r="B135" s="20">
        <f>DATE(2024,12,1)</f>
        <v>45627</v>
      </c>
      <c r="C135" s="21">
        <v>346229</v>
      </c>
      <c r="D135" s="21">
        <v>373967</v>
      </c>
      <c r="E135" s="22">
        <f t="shared" si="55"/>
        <v>-7.4172320017541649E-2</v>
      </c>
      <c r="F135" s="21">
        <f>+C135-175725</f>
        <v>170504</v>
      </c>
      <c r="G135" s="21">
        <f>+D135-193643</f>
        <v>180324</v>
      </c>
      <c r="H135" s="22">
        <f t="shared" si="56"/>
        <v>-5.4457531997959226E-2</v>
      </c>
      <c r="I135" s="23">
        <f t="shared" si="57"/>
        <v>76.137219210406982</v>
      </c>
      <c r="J135" s="23">
        <f t="shared" si="58"/>
        <v>154.60583487777413</v>
      </c>
      <c r="K135" s="21">
        <v>26360913.27</v>
      </c>
      <c r="L135" s="21">
        <v>26574750.670000002</v>
      </c>
      <c r="M135" s="24">
        <f t="shared" si="59"/>
        <v>-8.0466380533685076E-3</v>
      </c>
      <c r="N135" s="10"/>
      <c r="R135" s="2"/>
    </row>
    <row r="136" spans="1:18" ht="15.75" x14ac:dyDescent="0.25">
      <c r="A136" s="19"/>
      <c r="B136" s="20">
        <f>DATE(2025,1,1)</f>
        <v>45658</v>
      </c>
      <c r="C136" s="21">
        <v>297466</v>
      </c>
      <c r="D136" s="21">
        <v>295457</v>
      </c>
      <c r="E136" s="22">
        <f t="shared" si="55"/>
        <v>6.7996358184101236E-3</v>
      </c>
      <c r="F136" s="21">
        <f>+C136-154867</f>
        <v>142599</v>
      </c>
      <c r="G136" s="21">
        <f>+D136-151848</f>
        <v>143609</v>
      </c>
      <c r="H136" s="22">
        <f t="shared" si="56"/>
        <v>-7.03298539785111E-3</v>
      </c>
      <c r="I136" s="23">
        <f t="shared" si="57"/>
        <v>75.131692193393533</v>
      </c>
      <c r="J136" s="23">
        <f t="shared" si="58"/>
        <v>156.72707347176348</v>
      </c>
      <c r="K136" s="21">
        <v>22349123.949999999</v>
      </c>
      <c r="L136" s="21">
        <v>21556893.73</v>
      </c>
      <c r="M136" s="24">
        <f t="shared" si="59"/>
        <v>3.675066685964494E-2</v>
      </c>
      <c r="N136" s="10"/>
      <c r="R136" s="2"/>
    </row>
    <row r="137" spans="1:18" ht="15.75" x14ac:dyDescent="0.25">
      <c r="A137" s="19"/>
      <c r="B137" s="20">
        <f>DATE(2025,2,1)</f>
        <v>45689</v>
      </c>
      <c r="C137" s="21">
        <v>289942</v>
      </c>
      <c r="D137" s="21">
        <v>318500</v>
      </c>
      <c r="E137" s="22">
        <f t="shared" si="55"/>
        <v>-8.9664050235478812E-2</v>
      </c>
      <c r="F137" s="21">
        <f>+C137-148885</f>
        <v>141057</v>
      </c>
      <c r="G137" s="21">
        <f>+D137-164134</f>
        <v>154366</v>
      </c>
      <c r="H137" s="22">
        <f t="shared" si="56"/>
        <v>-8.621717217521993E-2</v>
      </c>
      <c r="I137" s="23">
        <f t="shared" si="57"/>
        <v>80.361583109725387</v>
      </c>
      <c r="J137" s="23">
        <f t="shared" si="58"/>
        <v>165.18285607945722</v>
      </c>
      <c r="K137" s="21">
        <v>23300198.129999999</v>
      </c>
      <c r="L137" s="21">
        <v>23936373.27</v>
      </c>
      <c r="M137" s="24">
        <f t="shared" si="59"/>
        <v>-2.6577758160102449E-2</v>
      </c>
      <c r="N137" s="10"/>
      <c r="R137" s="2"/>
    </row>
    <row r="138" spans="1:18" ht="15.75" thickBot="1" x14ac:dyDescent="0.25">
      <c r="A138" s="37"/>
      <c r="B138" s="44"/>
      <c r="C138" s="21"/>
      <c r="D138" s="21"/>
      <c r="E138" s="22"/>
      <c r="F138" s="21"/>
      <c r="G138" s="21"/>
      <c r="H138" s="22"/>
      <c r="I138" s="23"/>
      <c r="J138" s="23"/>
      <c r="K138" s="21"/>
      <c r="L138" s="21"/>
      <c r="M138" s="24"/>
      <c r="N138" s="10"/>
      <c r="R138" s="2"/>
    </row>
    <row r="139" spans="1:18" ht="17.25" thickTop="1" thickBot="1" x14ac:dyDescent="0.3">
      <c r="A139" s="38" t="s">
        <v>14</v>
      </c>
      <c r="B139" s="39"/>
      <c r="C139" s="40">
        <f>SUM(C130:C138)</f>
        <v>2488585</v>
      </c>
      <c r="D139" s="40">
        <f>SUM(D130:D138)</f>
        <v>2597308</v>
      </c>
      <c r="E139" s="279">
        <f>(+C139-D139)/D139</f>
        <v>-4.1859879536812729E-2</v>
      </c>
      <c r="F139" s="40">
        <f>SUM(F130:F138)</f>
        <v>1218788</v>
      </c>
      <c r="G139" s="40">
        <f>SUM(G130:G138)</f>
        <v>1263682</v>
      </c>
      <c r="H139" s="41">
        <f>(+F139-G139)/G139</f>
        <v>-3.5526342861574349E-2</v>
      </c>
      <c r="I139" s="42">
        <f>K139/C139</f>
        <v>77.135079400542878</v>
      </c>
      <c r="J139" s="42">
        <f>K139/F139</f>
        <v>157.49843415754012</v>
      </c>
      <c r="K139" s="40">
        <f>SUM(K130:K138)</f>
        <v>191957201.56999999</v>
      </c>
      <c r="L139" s="40">
        <f>SUM(L130:L138)</f>
        <v>191411556.36000001</v>
      </c>
      <c r="M139" s="43">
        <f>(+K139-L139)/L139</f>
        <v>2.8506388035095882E-3</v>
      </c>
      <c r="N139" s="10"/>
      <c r="R139" s="2"/>
    </row>
    <row r="140" spans="1:18" ht="15.75" customHeight="1" thickTop="1" x14ac:dyDescent="0.25">
      <c r="A140" s="19"/>
      <c r="B140" s="44"/>
      <c r="C140" s="21"/>
      <c r="D140" s="21"/>
      <c r="E140" s="22"/>
      <c r="F140" s="21"/>
      <c r="G140" s="21"/>
      <c r="H140" s="22"/>
      <c r="I140" s="23"/>
      <c r="J140" s="23"/>
      <c r="K140" s="21"/>
      <c r="L140" s="21"/>
      <c r="M140" s="24"/>
      <c r="N140" s="10"/>
      <c r="R140" s="2"/>
    </row>
    <row r="141" spans="1:18" ht="15.75" x14ac:dyDescent="0.25">
      <c r="A141" s="19" t="s">
        <v>56</v>
      </c>
      <c r="B141" s="20">
        <f>DATE(2024,7,1)</f>
        <v>45474</v>
      </c>
      <c r="C141" s="21">
        <v>61692</v>
      </c>
      <c r="D141" s="21">
        <v>66323</v>
      </c>
      <c r="E141" s="22">
        <f t="shared" ref="E141:E148" si="60">(+C141-D141)/D141</f>
        <v>-6.9824947604903279E-2</v>
      </c>
      <c r="F141" s="21">
        <f>+C141-26929</f>
        <v>34763</v>
      </c>
      <c r="G141" s="21">
        <f>+D141-28441</f>
        <v>37882</v>
      </c>
      <c r="H141" s="22">
        <f t="shared" ref="H141:H148" si="61">(+F141-G141)/G141</f>
        <v>-8.2334618024391529E-2</v>
      </c>
      <c r="I141" s="23">
        <f t="shared" ref="I141:I148" si="62">K141/C141</f>
        <v>65.173562212280359</v>
      </c>
      <c r="J141" s="23">
        <f t="shared" ref="J141:J148" si="63">K141/F141</f>
        <v>115.65996605586399</v>
      </c>
      <c r="K141" s="21">
        <v>4020687.4</v>
      </c>
      <c r="L141" s="21">
        <v>3911442.67</v>
      </c>
      <c r="M141" s="24">
        <f t="shared" ref="M141:M148" si="64">(+K141-L141)/L141</f>
        <v>2.7929523507499086E-2</v>
      </c>
      <c r="N141" s="10"/>
      <c r="R141" s="2"/>
    </row>
    <row r="142" spans="1:18" ht="15.75" x14ac:dyDescent="0.25">
      <c r="A142" s="19"/>
      <c r="B142" s="20">
        <f>DATE(2024,8,1)</f>
        <v>45505</v>
      </c>
      <c r="C142" s="21">
        <v>66178</v>
      </c>
      <c r="D142" s="21">
        <v>63894</v>
      </c>
      <c r="E142" s="22">
        <f t="shared" si="60"/>
        <v>3.574670548095283E-2</v>
      </c>
      <c r="F142" s="21">
        <f>+C142-28897</f>
        <v>37281</v>
      </c>
      <c r="G142" s="21">
        <f>+D142-27335</f>
        <v>36559</v>
      </c>
      <c r="H142" s="22">
        <f t="shared" si="61"/>
        <v>1.9748899039908095E-2</v>
      </c>
      <c r="I142" s="23">
        <f t="shared" si="62"/>
        <v>64.714443168424552</v>
      </c>
      <c r="J142" s="23">
        <f t="shared" si="63"/>
        <v>114.8754706150586</v>
      </c>
      <c r="K142" s="21">
        <v>4282672.42</v>
      </c>
      <c r="L142" s="21">
        <v>3862243.47</v>
      </c>
      <c r="M142" s="24">
        <f t="shared" si="64"/>
        <v>0.10885614883310288</v>
      </c>
      <c r="N142" s="10"/>
      <c r="R142" s="2"/>
    </row>
    <row r="143" spans="1:18" ht="15.75" x14ac:dyDescent="0.25">
      <c r="A143" s="19"/>
      <c r="B143" s="20">
        <f>DATE(2024,9,1)</f>
        <v>45536</v>
      </c>
      <c r="C143" s="21">
        <v>57691</v>
      </c>
      <c r="D143" s="21">
        <v>61378</v>
      </c>
      <c r="E143" s="22">
        <f t="shared" si="60"/>
        <v>-6.0070383525041543E-2</v>
      </c>
      <c r="F143" s="21">
        <f>+C143-24805</f>
        <v>32886</v>
      </c>
      <c r="G143" s="21">
        <f>+D143-26751</f>
        <v>34627</v>
      </c>
      <c r="H143" s="22">
        <f t="shared" si="61"/>
        <v>-5.0278684263724838E-2</v>
      </c>
      <c r="I143" s="23">
        <f t="shared" si="62"/>
        <v>61.551120105389053</v>
      </c>
      <c r="J143" s="23">
        <f t="shared" si="63"/>
        <v>107.97742717265706</v>
      </c>
      <c r="K143" s="21">
        <v>3550945.67</v>
      </c>
      <c r="L143" s="21">
        <v>3741315.85</v>
      </c>
      <c r="M143" s="24">
        <f t="shared" si="64"/>
        <v>-5.0883215326500746E-2</v>
      </c>
      <c r="N143" s="10"/>
      <c r="R143" s="2"/>
    </row>
    <row r="144" spans="1:18" ht="15.75" x14ac:dyDescent="0.25">
      <c r="A144" s="19"/>
      <c r="B144" s="20">
        <f>DATE(2024,10,1)</f>
        <v>45566</v>
      </c>
      <c r="C144" s="21">
        <v>57484</v>
      </c>
      <c r="D144" s="21">
        <v>57497</v>
      </c>
      <c r="E144" s="22">
        <f t="shared" si="60"/>
        <v>-2.2609875297841626E-4</v>
      </c>
      <c r="F144" s="21">
        <f>+C144-25116</f>
        <v>32368</v>
      </c>
      <c r="G144" s="21">
        <f>+D144-24805</f>
        <v>32692</v>
      </c>
      <c r="H144" s="22">
        <f t="shared" si="61"/>
        <v>-9.9106815122965864E-3</v>
      </c>
      <c r="I144" s="23">
        <f t="shared" si="62"/>
        <v>63.764629983995547</v>
      </c>
      <c r="J144" s="23">
        <f t="shared" si="63"/>
        <v>113.24289390756303</v>
      </c>
      <c r="K144" s="21">
        <v>3665445.99</v>
      </c>
      <c r="L144" s="21">
        <v>3542371.46</v>
      </c>
      <c r="M144" s="24">
        <f t="shared" si="64"/>
        <v>3.474354154829383E-2</v>
      </c>
      <c r="N144" s="10"/>
      <c r="R144" s="2"/>
    </row>
    <row r="145" spans="1:18" ht="15.75" x14ac:dyDescent="0.25">
      <c r="A145" s="19"/>
      <c r="B145" s="20">
        <f>DATE(2024,11,1)</f>
        <v>45597</v>
      </c>
      <c r="C145" s="21">
        <v>57549</v>
      </c>
      <c r="D145" s="21">
        <v>57953</v>
      </c>
      <c r="E145" s="22">
        <f t="shared" si="60"/>
        <v>-6.9711662899245939E-3</v>
      </c>
      <c r="F145" s="21">
        <f>+C145-26362</f>
        <v>31187</v>
      </c>
      <c r="G145" s="21">
        <f>+D145-25146</f>
        <v>32807</v>
      </c>
      <c r="H145" s="22">
        <f t="shared" si="61"/>
        <v>-4.9379705550644679E-2</v>
      </c>
      <c r="I145" s="23">
        <f t="shared" si="62"/>
        <v>66.247122104641264</v>
      </c>
      <c r="J145" s="23">
        <f t="shared" si="63"/>
        <v>122.24502613268349</v>
      </c>
      <c r="K145" s="21">
        <v>3812455.63</v>
      </c>
      <c r="L145" s="21">
        <v>3644288.52</v>
      </c>
      <c r="M145" s="24">
        <f t="shared" si="64"/>
        <v>4.6145388620327972E-2</v>
      </c>
      <c r="N145" s="10"/>
      <c r="R145" s="2"/>
    </row>
    <row r="146" spans="1:18" ht="15.75" x14ac:dyDescent="0.25">
      <c r="A146" s="19"/>
      <c r="B146" s="20">
        <f>DATE(2024,12,1)</f>
        <v>45627</v>
      </c>
      <c r="C146" s="21">
        <v>59878</v>
      </c>
      <c r="D146" s="21">
        <v>70244</v>
      </c>
      <c r="E146" s="22">
        <f t="shared" si="60"/>
        <v>-0.14757132281760721</v>
      </c>
      <c r="F146" s="21">
        <f>+C146-27490</f>
        <v>32388</v>
      </c>
      <c r="G146" s="21">
        <f>+D146-32047</f>
        <v>38197</v>
      </c>
      <c r="H146" s="22">
        <f t="shared" si="61"/>
        <v>-0.15208000628321597</v>
      </c>
      <c r="I146" s="23">
        <f t="shared" si="62"/>
        <v>64.441575703931321</v>
      </c>
      <c r="J146" s="23">
        <f t="shared" si="63"/>
        <v>119.1377260096332</v>
      </c>
      <c r="K146" s="21">
        <v>3858632.67</v>
      </c>
      <c r="L146" s="21">
        <v>4570250.16</v>
      </c>
      <c r="M146" s="24">
        <f t="shared" si="64"/>
        <v>-0.15570646356041049</v>
      </c>
      <c r="N146" s="10"/>
      <c r="R146" s="2"/>
    </row>
    <row r="147" spans="1:18" ht="15.75" x14ac:dyDescent="0.25">
      <c r="A147" s="19"/>
      <c r="B147" s="20">
        <f>DATE(2025,1,1)</f>
        <v>45658</v>
      </c>
      <c r="C147" s="21">
        <v>47954</v>
      </c>
      <c r="D147" s="21">
        <v>52821</v>
      </c>
      <c r="E147" s="22">
        <f t="shared" si="60"/>
        <v>-9.2141383161999962E-2</v>
      </c>
      <c r="F147" s="21">
        <f>+C147-22140</f>
        <v>25814</v>
      </c>
      <c r="G147" s="21">
        <f>+D147-23841</f>
        <v>28980</v>
      </c>
      <c r="H147" s="22">
        <f t="shared" si="61"/>
        <v>-0.10924775707384403</v>
      </c>
      <c r="I147" s="23">
        <f t="shared" si="62"/>
        <v>69.044240730700253</v>
      </c>
      <c r="J147" s="23">
        <f t="shared" si="63"/>
        <v>128.26169985279307</v>
      </c>
      <c r="K147" s="21">
        <v>3310947.52</v>
      </c>
      <c r="L147" s="21">
        <v>3327862.13</v>
      </c>
      <c r="M147" s="24">
        <f t="shared" si="64"/>
        <v>-5.0827255875530728E-3</v>
      </c>
      <c r="N147" s="10"/>
      <c r="R147" s="2"/>
    </row>
    <row r="148" spans="1:18" ht="15.75" x14ac:dyDescent="0.25">
      <c r="A148" s="19"/>
      <c r="B148" s="20">
        <f>DATE(2025,2,1)</f>
        <v>45689</v>
      </c>
      <c r="C148" s="21">
        <v>54179</v>
      </c>
      <c r="D148" s="21">
        <v>65228</v>
      </c>
      <c r="E148" s="22">
        <f t="shared" si="60"/>
        <v>-0.16939044582081314</v>
      </c>
      <c r="F148" s="21">
        <f>+C148-25152</f>
        <v>29027</v>
      </c>
      <c r="G148" s="21">
        <f>+D148-29615</f>
        <v>35613</v>
      </c>
      <c r="H148" s="22">
        <f t="shared" si="61"/>
        <v>-0.18493246848061101</v>
      </c>
      <c r="I148" s="23">
        <f t="shared" si="62"/>
        <v>67.763736872219866</v>
      </c>
      <c r="J148" s="23">
        <f t="shared" si="63"/>
        <v>126.48125882798773</v>
      </c>
      <c r="K148" s="21">
        <v>3671371.5</v>
      </c>
      <c r="L148" s="21">
        <v>4291397.6100000003</v>
      </c>
      <c r="M148" s="24">
        <f t="shared" si="64"/>
        <v>-0.14448116123176019</v>
      </c>
      <c r="N148" s="10"/>
      <c r="R148" s="2"/>
    </row>
    <row r="149" spans="1:18" ht="15.75" thickBot="1" x14ac:dyDescent="0.25">
      <c r="A149" s="37"/>
      <c r="B149" s="44"/>
      <c r="C149" s="21"/>
      <c r="D149" s="21"/>
      <c r="E149" s="22"/>
      <c r="F149" s="21"/>
      <c r="G149" s="21"/>
      <c r="H149" s="22"/>
      <c r="I149" s="23"/>
      <c r="J149" s="23"/>
      <c r="K149" s="21"/>
      <c r="L149" s="21"/>
      <c r="M149" s="24"/>
      <c r="N149" s="10"/>
      <c r="R149" s="2"/>
    </row>
    <row r="150" spans="1:18" ht="17.25" thickTop="1" thickBot="1" x14ac:dyDescent="0.3">
      <c r="A150" s="25" t="s">
        <v>14</v>
      </c>
      <c r="B150" s="26"/>
      <c r="C150" s="27">
        <f>SUM(C141:C149)</f>
        <v>462605</v>
      </c>
      <c r="D150" s="27">
        <f>SUM(D141:D149)</f>
        <v>495338</v>
      </c>
      <c r="E150" s="279">
        <f>(+C150-D150)/D150</f>
        <v>-6.6082149966285642E-2</v>
      </c>
      <c r="F150" s="27">
        <f>SUM(F141:F149)</f>
        <v>255714</v>
      </c>
      <c r="G150" s="27">
        <f>SUM(G141:G149)</f>
        <v>277357</v>
      </c>
      <c r="H150" s="41">
        <f>(+F150-G150)/G150</f>
        <v>-7.8033004395057629E-2</v>
      </c>
      <c r="I150" s="42">
        <f>K150/C150</f>
        <v>65.224454556262899</v>
      </c>
      <c r="J150" s="42">
        <f>K150/F150</f>
        <v>117.99572491142449</v>
      </c>
      <c r="K150" s="27">
        <f>SUM(K141:K149)</f>
        <v>30173158.800000001</v>
      </c>
      <c r="L150" s="27">
        <f>SUM(L141:L149)</f>
        <v>30891171.869999997</v>
      </c>
      <c r="M150" s="43">
        <f>(+K150-L150)/L150</f>
        <v>-2.3243309545575897E-2</v>
      </c>
      <c r="N150" s="10"/>
      <c r="R150" s="2"/>
    </row>
    <row r="151" spans="1:18" ht="16.5" thickTop="1" thickBot="1" x14ac:dyDescent="0.25">
      <c r="A151" s="62"/>
      <c r="B151" s="33"/>
      <c r="C151" s="34"/>
      <c r="D151" s="34"/>
      <c r="E151" s="28"/>
      <c r="F151" s="34"/>
      <c r="G151" s="34"/>
      <c r="H151" s="28"/>
      <c r="I151" s="35"/>
      <c r="J151" s="35"/>
      <c r="K151" s="34"/>
      <c r="L151" s="34"/>
      <c r="M151" s="36"/>
      <c r="N151" s="10"/>
      <c r="R151" s="2"/>
    </row>
    <row r="152" spans="1:18" ht="17.25" thickTop="1" thickBot="1" x14ac:dyDescent="0.3">
      <c r="A152" s="63" t="s">
        <v>18</v>
      </c>
      <c r="B152" s="64"/>
      <c r="C152" s="27">
        <f>C150+C139+C62+C84+C95+C40+C18+C106+C117+C51+C128+C29+C73</f>
        <v>17977909</v>
      </c>
      <c r="D152" s="27">
        <f>D150+D139+D62+D84+D95+D40+D18+D106+D117+D51+D128+D29+D73</f>
        <v>18727471</v>
      </c>
      <c r="E152" s="278">
        <f>(+C152-D152)/D152</f>
        <v>-4.0024731582817566E-2</v>
      </c>
      <c r="F152" s="27">
        <f>F150+F139+F62+F84+F95+F40+F18+F106+F117+F51+F128+F29+F73</f>
        <v>9270856</v>
      </c>
      <c r="G152" s="27">
        <f>G150+G139+G62+G84+G95+G40+G18+G106+G117+G51+G128+G29+G73</f>
        <v>9603406</v>
      </c>
      <c r="H152" s="29">
        <f>(+F152-G152)/G152</f>
        <v>-3.4628339153837714E-2</v>
      </c>
      <c r="I152" s="30">
        <f>K152/C152</f>
        <v>68.277448624865116</v>
      </c>
      <c r="J152" s="30">
        <f>K152/F152</f>
        <v>132.4026344633117</v>
      </c>
      <c r="K152" s="27">
        <f>K150+K139+K62+K84+K95+K40+K18+K106+K117+K51+K128+K29+K73</f>
        <v>1227485758.1300001</v>
      </c>
      <c r="L152" s="27">
        <f>L150+L139+L62+L84+L95+L40+L18+L106+L117+L51+L128+L29+L73</f>
        <v>1242286456.6199999</v>
      </c>
      <c r="M152" s="31">
        <f>(+K152-L152)/L152</f>
        <v>-1.1914078601701381E-2</v>
      </c>
      <c r="N152" s="10"/>
      <c r="R152" s="2"/>
    </row>
    <row r="153" spans="1:18" ht="17.25" thickTop="1" thickBot="1" x14ac:dyDescent="0.3">
      <c r="A153" s="63"/>
      <c r="B153" s="64"/>
      <c r="C153" s="27"/>
      <c r="D153" s="27"/>
      <c r="E153" s="28"/>
      <c r="F153" s="27"/>
      <c r="G153" s="27"/>
      <c r="H153" s="29"/>
      <c r="I153" s="30"/>
      <c r="J153" s="30"/>
      <c r="K153" s="27"/>
      <c r="L153" s="27"/>
      <c r="M153" s="31"/>
      <c r="N153" s="10"/>
      <c r="R153" s="2"/>
    </row>
    <row r="154" spans="1:18" ht="17.25" thickTop="1" thickBot="1" x14ac:dyDescent="0.3">
      <c r="A154" s="63" t="s">
        <v>19</v>
      </c>
      <c r="B154" s="64"/>
      <c r="C154" s="27">
        <f>+C16+C27+C38+C49+C60+C71+C82+C93+C104+C115+C126+C137+C148</f>
        <v>2103693</v>
      </c>
      <c r="D154" s="27">
        <f>+D16+D27+D38+D49+D60+D71+D82+D93+D104+D115+D126+D137+D148</f>
        <v>2313222</v>
      </c>
      <c r="E154" s="278">
        <f>(+C154-D154)/D154</f>
        <v>-9.0578854947774137E-2</v>
      </c>
      <c r="F154" s="27">
        <f>+F16+F27+F38+F49+F60+F71+F82+F93+F104+F115+F126+F137+F148</f>
        <v>1056581</v>
      </c>
      <c r="G154" s="27">
        <f>+G16+G27+G38+G49+G60+G71+G82+G93+G104+G115+G126+G137+G148</f>
        <v>1180995</v>
      </c>
      <c r="H154" s="29">
        <f>(+F154-G154)/G154</f>
        <v>-0.10534676268739496</v>
      </c>
      <c r="I154" s="292">
        <f>K154/C154</f>
        <v>70.976675755445299</v>
      </c>
      <c r="J154" s="30">
        <f>K154/F154</f>
        <v>141.31726384441893</v>
      </c>
      <c r="K154" s="27">
        <f>+K16+K27+K38+K49+K60+K71+K82+K93+K104+K115+K126+K137+K148</f>
        <v>149313135.94999999</v>
      </c>
      <c r="L154" s="27">
        <f>+L16+L27+L38+L49+L60+L71+L82+L93+L104+L115+L126+L137+L148</f>
        <v>156997593.54999998</v>
      </c>
      <c r="M154" s="31">
        <f>(+K154-L154)/L154</f>
        <v>-4.8946340044076393E-2</v>
      </c>
      <c r="N154" s="10"/>
      <c r="R154" s="2"/>
    </row>
    <row r="155" spans="1:18" ht="15.75" thickTop="1" x14ac:dyDescent="0.2">
      <c r="A155" s="65"/>
      <c r="B155" s="66"/>
      <c r="C155" s="67"/>
      <c r="D155" s="66"/>
      <c r="E155" s="66"/>
      <c r="F155" s="66"/>
      <c r="G155" s="66"/>
      <c r="H155" s="66"/>
      <c r="I155" s="66"/>
      <c r="J155" s="66"/>
      <c r="K155" s="67"/>
      <c r="L155" s="67"/>
      <c r="M155" s="66"/>
      <c r="R155" s="2"/>
    </row>
    <row r="156" spans="1:18" ht="18.75" x14ac:dyDescent="0.3">
      <c r="A156" s="263" t="s">
        <v>20</v>
      </c>
      <c r="B156" s="69"/>
      <c r="C156" s="70"/>
      <c r="D156" s="70"/>
      <c r="E156" s="70"/>
      <c r="F156" s="70"/>
      <c r="G156" s="70"/>
      <c r="H156" s="70"/>
      <c r="I156" s="70"/>
      <c r="J156" s="70"/>
      <c r="K156" s="197"/>
      <c r="L156" s="197"/>
      <c r="M156" s="70"/>
      <c r="N156" s="2"/>
      <c r="O156" s="2"/>
      <c r="P156" s="2"/>
      <c r="Q156" s="2"/>
      <c r="R156" s="2"/>
    </row>
    <row r="157" spans="1:18" ht="18" x14ac:dyDescent="0.25">
      <c r="A157" s="68"/>
      <c r="B157" s="69"/>
      <c r="C157" s="70"/>
      <c r="D157" s="70"/>
      <c r="E157" s="70"/>
      <c r="F157" s="70"/>
      <c r="G157" s="70"/>
      <c r="H157" s="70"/>
      <c r="I157" s="70"/>
      <c r="J157" s="70"/>
      <c r="K157" s="197"/>
      <c r="L157" s="197"/>
      <c r="M157" s="70"/>
      <c r="N157" s="2"/>
      <c r="O157" s="2"/>
      <c r="P157" s="2"/>
      <c r="Q157" s="2"/>
      <c r="R157" s="2"/>
    </row>
    <row r="158" spans="1:18" ht="15.75" x14ac:dyDescent="0.25">
      <c r="A158" s="71"/>
      <c r="B158" s="72"/>
      <c r="C158" s="73"/>
      <c r="D158" s="73"/>
      <c r="E158" s="73"/>
      <c r="F158" s="73"/>
      <c r="G158" s="73"/>
      <c r="H158" s="73"/>
      <c r="I158" s="73"/>
      <c r="J158" s="73"/>
      <c r="K158" s="191"/>
      <c r="L158" s="191"/>
      <c r="M158" s="74"/>
      <c r="N158" s="2"/>
      <c r="O158" s="2"/>
      <c r="P158" s="2"/>
      <c r="Q158" s="2"/>
      <c r="R158" s="2"/>
    </row>
    <row r="159" spans="1:18" x14ac:dyDescent="0.2">
      <c r="A159" s="2"/>
      <c r="B159" s="72"/>
      <c r="C159" s="73"/>
      <c r="D159" s="73"/>
      <c r="E159" s="73"/>
      <c r="F159" s="73"/>
      <c r="G159" s="73"/>
      <c r="H159" s="73"/>
      <c r="I159" s="73"/>
      <c r="J159" s="73"/>
      <c r="K159" s="191"/>
      <c r="L159" s="191"/>
      <c r="M159" s="74"/>
      <c r="N159" s="2"/>
      <c r="O159" s="2"/>
      <c r="P159" s="2"/>
      <c r="Q159" s="2"/>
      <c r="R159" s="2"/>
    </row>
    <row r="160" spans="1:18" x14ac:dyDescent="0.2">
      <c r="A160" s="2"/>
      <c r="B160" s="72"/>
      <c r="C160" s="73"/>
      <c r="D160" s="73"/>
      <c r="E160" s="73"/>
      <c r="F160" s="73"/>
      <c r="G160" s="73"/>
      <c r="H160" s="73"/>
      <c r="I160" s="73"/>
      <c r="J160" s="73"/>
      <c r="K160" s="191"/>
      <c r="L160" s="191"/>
      <c r="M160" s="74"/>
      <c r="N160" s="2"/>
      <c r="O160" s="2"/>
      <c r="P160" s="2"/>
      <c r="Q160" s="2"/>
      <c r="R160" s="2"/>
    </row>
    <row r="161" spans="1:18" x14ac:dyDescent="0.2">
      <c r="A161" s="2"/>
      <c r="B161" s="72"/>
      <c r="C161" s="73"/>
      <c r="D161" s="73"/>
      <c r="E161" s="73"/>
      <c r="F161" s="73"/>
      <c r="G161" s="73"/>
      <c r="H161" s="73"/>
      <c r="I161" s="73"/>
      <c r="J161" s="73"/>
      <c r="K161" s="191"/>
      <c r="L161" s="191"/>
      <c r="M161" s="74"/>
      <c r="N161" s="2"/>
      <c r="O161" s="2"/>
      <c r="P161" s="2"/>
      <c r="Q161" s="2"/>
      <c r="R161" s="2"/>
    </row>
    <row r="162" spans="1:18" x14ac:dyDescent="0.2">
      <c r="A162" s="2"/>
      <c r="B162" s="72"/>
      <c r="C162" s="73"/>
      <c r="D162" s="73"/>
      <c r="E162" s="73"/>
      <c r="F162" s="73"/>
      <c r="G162" s="73"/>
      <c r="H162" s="73"/>
      <c r="I162" s="73"/>
      <c r="J162" s="73"/>
      <c r="K162" s="191"/>
      <c r="L162" s="191"/>
      <c r="M162" s="74"/>
      <c r="N162" s="2"/>
      <c r="O162" s="2"/>
      <c r="P162" s="2"/>
      <c r="Q162" s="2"/>
      <c r="R162" s="2"/>
    </row>
    <row r="163" spans="1:18" x14ac:dyDescent="0.2">
      <c r="A163" s="2"/>
      <c r="B163" s="72"/>
      <c r="C163" s="73"/>
      <c r="D163" s="73"/>
      <c r="E163" s="73"/>
      <c r="F163" s="73"/>
      <c r="G163" s="73"/>
      <c r="H163" s="73"/>
      <c r="I163" s="73"/>
      <c r="J163" s="73"/>
      <c r="K163" s="191"/>
      <c r="L163" s="191"/>
      <c r="M163" s="74"/>
      <c r="N163" s="2"/>
      <c r="O163" s="2"/>
      <c r="P163" s="2"/>
      <c r="Q163" s="2"/>
      <c r="R163" s="2"/>
    </row>
    <row r="164" spans="1:18" x14ac:dyDescent="0.2">
      <c r="A164" s="2"/>
      <c r="B164" s="72"/>
      <c r="C164" s="73"/>
      <c r="D164" s="73"/>
      <c r="E164" s="73"/>
      <c r="F164" s="73"/>
      <c r="G164" s="73"/>
      <c r="H164" s="73"/>
      <c r="I164" s="73"/>
      <c r="J164" s="73"/>
      <c r="K164" s="191"/>
      <c r="L164" s="191"/>
      <c r="M164" s="74"/>
      <c r="N164" s="2"/>
      <c r="O164" s="2"/>
      <c r="P164" s="2"/>
      <c r="Q164" s="2"/>
      <c r="R164" s="2"/>
    </row>
    <row r="165" spans="1:18" x14ac:dyDescent="0.2">
      <c r="A165" s="2"/>
      <c r="B165" s="72"/>
      <c r="C165" s="73"/>
      <c r="D165" s="73"/>
      <c r="E165" s="73"/>
      <c r="F165" s="73"/>
      <c r="G165" s="73"/>
      <c r="H165" s="73"/>
      <c r="I165" s="73"/>
      <c r="J165" s="73"/>
      <c r="K165" s="191"/>
      <c r="L165" s="191"/>
      <c r="M165" s="74"/>
      <c r="N165" s="2"/>
      <c r="O165" s="2"/>
      <c r="P165" s="2"/>
      <c r="Q165" s="2"/>
      <c r="R165" s="2"/>
    </row>
    <row r="166" spans="1:18" x14ac:dyDescent="0.2">
      <c r="A166" s="2"/>
      <c r="B166" s="72"/>
      <c r="C166" s="73"/>
      <c r="D166" s="73"/>
      <c r="E166" s="73"/>
      <c r="F166" s="73"/>
      <c r="G166" s="73"/>
      <c r="H166" s="73"/>
      <c r="I166" s="73"/>
      <c r="J166" s="73"/>
      <c r="K166" s="191"/>
      <c r="L166" s="191"/>
      <c r="M166" s="74"/>
      <c r="N166" s="2"/>
      <c r="O166" s="2"/>
      <c r="P166" s="2"/>
      <c r="Q166" s="2"/>
      <c r="R166" s="2"/>
    </row>
    <row r="167" spans="1:18" x14ac:dyDescent="0.2">
      <c r="A167" s="2"/>
      <c r="B167" s="72"/>
      <c r="C167" s="73"/>
      <c r="D167" s="73"/>
      <c r="E167" s="73"/>
      <c r="F167" s="73"/>
      <c r="G167" s="73"/>
      <c r="H167" s="73"/>
      <c r="I167" s="73"/>
      <c r="J167" s="73"/>
      <c r="K167" s="191"/>
      <c r="L167" s="191"/>
      <c r="M167" s="73"/>
      <c r="N167" s="2"/>
      <c r="O167" s="2"/>
      <c r="P167" s="2"/>
      <c r="Q167" s="2"/>
      <c r="R167" s="2"/>
    </row>
    <row r="168" spans="1:18" x14ac:dyDescent="0.2">
      <c r="A168" s="2"/>
      <c r="B168" s="72"/>
      <c r="C168" s="73"/>
      <c r="D168" s="73"/>
      <c r="E168" s="73"/>
      <c r="F168" s="73"/>
      <c r="G168" s="73"/>
      <c r="H168" s="73"/>
      <c r="I168" s="73"/>
      <c r="J168" s="73"/>
      <c r="K168" s="191"/>
      <c r="L168" s="191"/>
      <c r="M168" s="73"/>
      <c r="N168" s="2"/>
      <c r="O168" s="2"/>
      <c r="P168" s="2"/>
      <c r="Q168" s="2"/>
      <c r="R168" s="2"/>
    </row>
    <row r="169" spans="1:18" x14ac:dyDescent="0.2">
      <c r="A169" s="2"/>
      <c r="B169" s="69"/>
      <c r="C169" s="73"/>
      <c r="D169" s="73"/>
      <c r="E169" s="73"/>
      <c r="F169" s="73"/>
      <c r="G169" s="73"/>
      <c r="H169" s="73"/>
      <c r="I169" s="73"/>
      <c r="J169" s="73"/>
      <c r="K169" s="191"/>
      <c r="L169" s="191"/>
      <c r="M169" s="73"/>
      <c r="N169" s="2"/>
      <c r="O169" s="2"/>
      <c r="P169" s="2"/>
      <c r="Q169" s="2"/>
      <c r="R169" s="2"/>
    </row>
    <row r="170" spans="1:18" ht="15.75" x14ac:dyDescent="0.25">
      <c r="A170" s="75"/>
      <c r="B170" s="69"/>
      <c r="C170" s="73"/>
      <c r="D170" s="73"/>
      <c r="E170" s="73"/>
      <c r="F170" s="73"/>
      <c r="G170" s="73"/>
      <c r="H170" s="73"/>
      <c r="I170" s="73"/>
      <c r="J170" s="73"/>
      <c r="K170" s="191"/>
      <c r="L170" s="191"/>
      <c r="M170" s="74"/>
      <c r="N170" s="2"/>
      <c r="O170" s="2"/>
      <c r="P170" s="2"/>
      <c r="Q170" s="2"/>
      <c r="R170" s="2"/>
    </row>
    <row r="171" spans="1:18" ht="15.75" x14ac:dyDescent="0.25">
      <c r="A171" s="75"/>
      <c r="B171" s="69"/>
      <c r="C171" s="73"/>
      <c r="D171" s="73"/>
      <c r="E171" s="73"/>
      <c r="F171" s="73"/>
      <c r="G171" s="73"/>
      <c r="H171" s="73"/>
      <c r="I171" s="73"/>
      <c r="J171" s="73"/>
      <c r="K171" s="191"/>
      <c r="L171" s="191"/>
      <c r="M171" s="74"/>
      <c r="N171" s="2"/>
      <c r="O171" s="2"/>
      <c r="P171" s="2"/>
      <c r="Q171" s="2"/>
      <c r="R171" s="2"/>
    </row>
    <row r="172" spans="1:18" ht="15.75" x14ac:dyDescent="0.25">
      <c r="A172" s="75"/>
      <c r="B172" s="69"/>
      <c r="C172" s="73"/>
      <c r="D172" s="73"/>
      <c r="E172" s="73"/>
      <c r="F172" s="73"/>
      <c r="G172" s="73"/>
      <c r="H172" s="73"/>
      <c r="I172" s="73"/>
      <c r="J172" s="73"/>
      <c r="K172" s="191"/>
      <c r="L172" s="191"/>
      <c r="M172" s="74"/>
      <c r="N172" s="2"/>
      <c r="O172" s="2"/>
      <c r="P172" s="2"/>
      <c r="Q172" s="2"/>
      <c r="R172" s="2"/>
    </row>
    <row r="173" spans="1:18" x14ac:dyDescent="0.2">
      <c r="A173" s="2"/>
      <c r="B173" s="69"/>
      <c r="C173" s="73"/>
      <c r="D173" s="73"/>
      <c r="E173" s="73"/>
      <c r="F173" s="73"/>
      <c r="G173" s="73"/>
      <c r="H173" s="73"/>
      <c r="I173" s="73"/>
      <c r="J173" s="73"/>
      <c r="K173" s="191"/>
      <c r="L173" s="191"/>
      <c r="M173" s="74"/>
      <c r="N173" s="2"/>
      <c r="O173" s="2"/>
      <c r="P173" s="2"/>
      <c r="Q173" s="2"/>
      <c r="R173" s="2"/>
    </row>
    <row r="174" spans="1:18" ht="15.75" x14ac:dyDescent="0.25">
      <c r="A174" s="75"/>
      <c r="B174" s="72"/>
      <c r="C174" s="73"/>
      <c r="D174" s="73"/>
      <c r="E174" s="73"/>
      <c r="F174" s="73"/>
      <c r="G174" s="73"/>
      <c r="H174" s="73"/>
      <c r="I174" s="73"/>
      <c r="J174" s="73"/>
      <c r="K174" s="191"/>
      <c r="L174" s="191"/>
      <c r="M174" s="74"/>
      <c r="N174" s="2"/>
      <c r="O174" s="2"/>
      <c r="P174" s="2"/>
      <c r="Q174" s="2"/>
      <c r="R174" s="2"/>
    </row>
    <row r="175" spans="1:18" x14ac:dyDescent="0.2">
      <c r="A175" s="2"/>
      <c r="B175" s="72"/>
      <c r="C175" s="73"/>
      <c r="D175" s="73"/>
      <c r="E175" s="73"/>
      <c r="F175" s="73"/>
      <c r="G175" s="73"/>
      <c r="H175" s="73"/>
      <c r="I175" s="73"/>
      <c r="J175" s="73"/>
      <c r="K175" s="191"/>
      <c r="L175" s="191"/>
      <c r="M175" s="74"/>
      <c r="N175" s="2"/>
      <c r="O175" s="2"/>
      <c r="P175" s="2"/>
      <c r="Q175" s="2"/>
      <c r="R175" s="2"/>
    </row>
    <row r="176" spans="1:18" x14ac:dyDescent="0.2">
      <c r="A176" s="2"/>
      <c r="B176" s="72"/>
      <c r="C176" s="73"/>
      <c r="D176" s="73"/>
      <c r="E176" s="73"/>
      <c r="F176" s="73"/>
      <c r="G176" s="73"/>
      <c r="H176" s="73"/>
      <c r="I176" s="73"/>
      <c r="J176" s="73"/>
      <c r="K176" s="191"/>
      <c r="L176" s="191"/>
      <c r="M176" s="74"/>
      <c r="N176" s="2"/>
      <c r="O176" s="2"/>
      <c r="P176" s="2"/>
      <c r="Q176" s="2"/>
      <c r="R176" s="2"/>
    </row>
    <row r="177" spans="1:18" x14ac:dyDescent="0.2">
      <c r="A177" s="2"/>
      <c r="B177" s="76"/>
      <c r="C177" s="73"/>
      <c r="D177" s="73"/>
      <c r="E177" s="73"/>
      <c r="F177" s="73"/>
      <c r="G177" s="73"/>
      <c r="H177" s="73"/>
      <c r="I177" s="73"/>
      <c r="J177" s="73"/>
      <c r="K177" s="191"/>
      <c r="L177" s="191"/>
      <c r="M177" s="74"/>
      <c r="N177" s="2"/>
      <c r="O177" s="2"/>
      <c r="P177" s="2"/>
      <c r="Q177" s="2"/>
      <c r="R177" s="2"/>
    </row>
    <row r="178" spans="1:18" x14ac:dyDescent="0.2">
      <c r="A178" s="2"/>
      <c r="B178" s="76"/>
      <c r="C178" s="73"/>
      <c r="D178" s="73"/>
      <c r="E178" s="73"/>
      <c r="F178" s="73"/>
      <c r="G178" s="73"/>
      <c r="H178" s="73"/>
      <c r="I178" s="73"/>
      <c r="J178" s="73"/>
      <c r="K178" s="191"/>
      <c r="L178" s="191"/>
      <c r="M178" s="74"/>
      <c r="N178" s="2"/>
      <c r="O178" s="2"/>
      <c r="P178" s="2"/>
      <c r="Q178" s="2"/>
      <c r="R178" s="2"/>
    </row>
    <row r="179" spans="1:18" x14ac:dyDescent="0.2">
      <c r="A179" s="2"/>
      <c r="B179" s="76"/>
      <c r="C179" s="73"/>
      <c r="D179" s="73"/>
      <c r="E179" s="73"/>
      <c r="F179" s="73"/>
      <c r="G179" s="73"/>
      <c r="H179" s="73"/>
      <c r="I179" s="73"/>
      <c r="J179" s="73"/>
      <c r="K179" s="191"/>
      <c r="L179" s="191"/>
      <c r="M179" s="74"/>
      <c r="N179" s="2"/>
      <c r="O179" s="2"/>
      <c r="P179" s="2"/>
      <c r="Q179" s="2"/>
      <c r="R179" s="2"/>
    </row>
    <row r="180" spans="1:18" x14ac:dyDescent="0.2">
      <c r="A180" s="2"/>
      <c r="B180" s="76"/>
      <c r="C180" s="73"/>
      <c r="D180" s="73"/>
      <c r="E180" s="73"/>
      <c r="F180" s="73"/>
      <c r="G180" s="73"/>
      <c r="H180" s="73"/>
      <c r="I180" s="73"/>
      <c r="J180" s="73"/>
      <c r="K180" s="191"/>
      <c r="L180" s="191"/>
      <c r="M180" s="74"/>
      <c r="N180" s="2"/>
      <c r="O180" s="2"/>
      <c r="P180" s="2"/>
      <c r="Q180" s="2"/>
      <c r="R180" s="2"/>
    </row>
    <row r="181" spans="1:18" x14ac:dyDescent="0.2">
      <c r="A181" s="2"/>
      <c r="B181" s="76"/>
      <c r="C181" s="73"/>
      <c r="D181" s="73"/>
      <c r="E181" s="73"/>
      <c r="F181" s="73"/>
      <c r="G181" s="73"/>
      <c r="H181" s="73"/>
      <c r="I181" s="73"/>
      <c r="J181" s="73"/>
      <c r="K181" s="191"/>
      <c r="L181" s="191"/>
      <c r="M181" s="74"/>
      <c r="N181" s="2"/>
      <c r="O181" s="2"/>
      <c r="P181" s="2"/>
      <c r="Q181" s="2"/>
      <c r="R181" s="2"/>
    </row>
    <row r="182" spans="1:18" x14ac:dyDescent="0.2">
      <c r="A182" s="2"/>
      <c r="B182" s="76"/>
      <c r="C182" s="73"/>
      <c r="D182" s="73"/>
      <c r="E182" s="73"/>
      <c r="F182" s="73"/>
      <c r="G182" s="73"/>
      <c r="H182" s="73"/>
      <c r="I182" s="73"/>
      <c r="J182" s="73"/>
      <c r="K182" s="191"/>
      <c r="L182" s="191"/>
      <c r="M182" s="74"/>
      <c r="N182" s="2"/>
      <c r="O182" s="2"/>
      <c r="P182" s="2"/>
      <c r="Q182" s="2"/>
      <c r="R182" s="2"/>
    </row>
    <row r="183" spans="1:18" x14ac:dyDescent="0.2">
      <c r="A183" s="2"/>
      <c r="B183" s="76"/>
      <c r="C183" s="73"/>
      <c r="D183" s="73"/>
      <c r="E183" s="73"/>
      <c r="F183" s="73"/>
      <c r="G183" s="73"/>
      <c r="H183" s="73"/>
      <c r="I183" s="73"/>
      <c r="J183" s="73"/>
      <c r="K183" s="191"/>
      <c r="L183" s="191"/>
      <c r="M183" s="74"/>
      <c r="N183" s="2"/>
      <c r="O183" s="2"/>
      <c r="P183" s="2"/>
      <c r="Q183" s="2"/>
      <c r="R183" s="2"/>
    </row>
    <row r="184" spans="1:18" x14ac:dyDescent="0.2">
      <c r="A184" s="2"/>
      <c r="B184" s="76"/>
      <c r="C184" s="73"/>
      <c r="D184" s="73"/>
      <c r="E184" s="73"/>
      <c r="F184" s="73"/>
      <c r="G184" s="73"/>
      <c r="H184" s="73"/>
      <c r="I184" s="73"/>
      <c r="J184" s="73"/>
      <c r="K184" s="191"/>
      <c r="L184" s="191"/>
      <c r="M184" s="74"/>
      <c r="N184" s="2"/>
      <c r="O184" s="2"/>
      <c r="P184" s="2"/>
      <c r="Q184" s="2"/>
      <c r="R184" s="2"/>
    </row>
    <row r="185" spans="1:18" x14ac:dyDescent="0.2">
      <c r="A185" s="2"/>
      <c r="B185" s="76"/>
      <c r="C185" s="73"/>
      <c r="D185" s="73"/>
      <c r="E185" s="73"/>
      <c r="F185" s="73"/>
      <c r="G185" s="73"/>
      <c r="H185" s="73"/>
      <c r="I185" s="73"/>
      <c r="J185" s="73"/>
      <c r="K185" s="191"/>
      <c r="L185" s="191"/>
      <c r="M185" s="74"/>
      <c r="N185" s="2"/>
      <c r="O185" s="2"/>
      <c r="P185" s="2"/>
      <c r="Q185" s="2"/>
      <c r="R185" s="2"/>
    </row>
    <row r="186" spans="1:18" x14ac:dyDescent="0.2">
      <c r="A186" s="2"/>
      <c r="B186" s="2"/>
      <c r="C186" s="73"/>
      <c r="D186" s="73"/>
      <c r="E186" s="73"/>
      <c r="F186" s="73"/>
      <c r="G186" s="73"/>
      <c r="H186" s="73"/>
      <c r="I186" s="73"/>
      <c r="J186" s="73"/>
      <c r="K186" s="191"/>
      <c r="L186" s="191"/>
      <c r="M186" s="74"/>
      <c r="N186" s="2"/>
      <c r="O186" s="2"/>
      <c r="P186" s="2"/>
      <c r="Q186" s="2"/>
      <c r="R186" s="2"/>
    </row>
    <row r="187" spans="1:18" ht="15.75" x14ac:dyDescent="0.25">
      <c r="A187" s="75"/>
      <c r="B187" s="2"/>
      <c r="C187" s="73"/>
      <c r="D187" s="73"/>
      <c r="E187" s="73"/>
      <c r="F187" s="73"/>
      <c r="G187" s="73"/>
      <c r="H187" s="73"/>
      <c r="I187" s="73"/>
      <c r="J187" s="73"/>
      <c r="K187" s="191"/>
      <c r="L187" s="191"/>
      <c r="M187" s="74"/>
      <c r="N187" s="2"/>
      <c r="O187" s="2"/>
      <c r="P187" s="2"/>
      <c r="Q187" s="2"/>
      <c r="R187" s="2"/>
    </row>
    <row r="188" spans="1:18" x14ac:dyDescent="0.2">
      <c r="A188" s="2"/>
      <c r="B188" s="2"/>
      <c r="C188" s="73"/>
      <c r="D188" s="73"/>
      <c r="E188" s="73"/>
      <c r="F188" s="73"/>
      <c r="G188" s="73"/>
      <c r="H188" s="73"/>
      <c r="I188" s="73"/>
      <c r="J188" s="73"/>
      <c r="K188" s="191"/>
      <c r="L188" s="191"/>
      <c r="M188" s="74"/>
      <c r="N188" s="2"/>
      <c r="O188" s="2"/>
      <c r="P188" s="2"/>
      <c r="Q188" s="2"/>
      <c r="R188" s="2"/>
    </row>
    <row r="189" spans="1:18" x14ac:dyDescent="0.2">
      <c r="A189" s="2"/>
      <c r="B189" s="2"/>
      <c r="C189" s="73"/>
      <c r="D189" s="73"/>
      <c r="E189" s="73"/>
      <c r="F189" s="73"/>
      <c r="G189" s="73"/>
      <c r="H189" s="73"/>
      <c r="I189" s="73"/>
      <c r="J189" s="73"/>
      <c r="K189" s="191"/>
      <c r="L189" s="191"/>
      <c r="M189" s="74"/>
      <c r="N189" s="2"/>
      <c r="O189" s="2"/>
      <c r="P189" s="2"/>
      <c r="Q189" s="2"/>
      <c r="R189" s="2"/>
    </row>
    <row r="190" spans="1:18" ht="15.75" x14ac:dyDescent="0.25">
      <c r="A190" s="75"/>
      <c r="B190" s="2"/>
      <c r="C190" s="73"/>
      <c r="D190" s="73"/>
      <c r="E190" s="73"/>
      <c r="F190" s="73"/>
      <c r="G190" s="73"/>
      <c r="H190" s="73"/>
      <c r="I190" s="73"/>
      <c r="J190" s="73"/>
      <c r="K190" s="191"/>
      <c r="L190" s="191"/>
      <c r="M190" s="74"/>
      <c r="N190" s="2"/>
      <c r="O190" s="2"/>
      <c r="P190" s="2"/>
      <c r="Q190" s="2"/>
      <c r="R190" s="2"/>
    </row>
    <row r="191" spans="1:18" ht="15.75" x14ac:dyDescent="0.25">
      <c r="A191" s="75"/>
      <c r="B191" s="2"/>
      <c r="C191" s="73"/>
      <c r="D191" s="73"/>
      <c r="E191" s="73"/>
      <c r="F191" s="73"/>
      <c r="G191" s="73"/>
      <c r="H191" s="73"/>
      <c r="I191" s="73"/>
      <c r="J191" s="73"/>
      <c r="K191" s="191"/>
      <c r="L191" s="191"/>
      <c r="M191" s="74"/>
      <c r="N191" s="2"/>
      <c r="O191" s="2"/>
      <c r="P191" s="2"/>
      <c r="Q191" s="2"/>
      <c r="R191" s="2"/>
    </row>
    <row r="192" spans="1:18" ht="15.75" x14ac:dyDescent="0.25">
      <c r="A192" s="75"/>
      <c r="B192" s="76"/>
      <c r="C192" s="73"/>
      <c r="D192" s="73"/>
      <c r="E192" s="73"/>
      <c r="F192" s="73"/>
      <c r="G192" s="73"/>
      <c r="H192" s="73"/>
      <c r="I192" s="73"/>
      <c r="J192" s="73"/>
      <c r="K192" s="191"/>
      <c r="L192" s="191"/>
      <c r="M192" s="74"/>
      <c r="N192" s="2"/>
      <c r="O192" s="2"/>
      <c r="P192" s="2"/>
      <c r="Q192" s="2"/>
      <c r="R192" s="2"/>
    </row>
    <row r="193" spans="1:18" x14ac:dyDescent="0.2">
      <c r="A193" s="2"/>
      <c r="B193" s="76"/>
      <c r="C193" s="73"/>
      <c r="D193" s="73"/>
      <c r="E193" s="73"/>
      <c r="F193" s="73"/>
      <c r="G193" s="73"/>
      <c r="H193" s="73"/>
      <c r="I193" s="73"/>
      <c r="J193" s="73"/>
      <c r="K193" s="191"/>
      <c r="L193" s="191"/>
      <c r="M193" s="74"/>
      <c r="N193" s="2"/>
      <c r="O193" s="2"/>
      <c r="P193" s="2"/>
      <c r="Q193" s="2"/>
      <c r="R193" s="2"/>
    </row>
    <row r="194" spans="1:18" x14ac:dyDescent="0.2">
      <c r="A194" s="2"/>
      <c r="B194" s="76"/>
      <c r="C194" s="73"/>
      <c r="D194" s="73"/>
      <c r="E194" s="73"/>
      <c r="F194" s="73"/>
      <c r="G194" s="73"/>
      <c r="H194" s="73"/>
      <c r="I194" s="73"/>
      <c r="J194" s="73"/>
      <c r="K194" s="191"/>
      <c r="L194" s="191"/>
      <c r="M194" s="74"/>
      <c r="N194" s="2"/>
      <c r="O194" s="2"/>
      <c r="P194" s="2"/>
      <c r="Q194" s="2"/>
      <c r="R194" s="2"/>
    </row>
    <row r="195" spans="1:18" x14ac:dyDescent="0.2">
      <c r="A195" s="2"/>
      <c r="B195" s="76"/>
      <c r="C195" s="73"/>
      <c r="D195" s="73"/>
      <c r="E195" s="73"/>
      <c r="F195" s="73"/>
      <c r="G195" s="73"/>
      <c r="H195" s="73"/>
      <c r="I195" s="73"/>
      <c r="J195" s="73"/>
      <c r="K195" s="191"/>
      <c r="L195" s="191"/>
      <c r="M195" s="74"/>
      <c r="N195" s="2"/>
      <c r="O195" s="2"/>
      <c r="P195" s="2"/>
      <c r="Q195" s="2"/>
      <c r="R195" s="2"/>
    </row>
    <row r="196" spans="1:18" x14ac:dyDescent="0.2">
      <c r="A196" s="2"/>
      <c r="B196" s="76"/>
      <c r="C196" s="73"/>
      <c r="D196" s="73"/>
      <c r="E196" s="73"/>
      <c r="F196" s="73"/>
      <c r="G196" s="73"/>
      <c r="H196" s="73"/>
      <c r="I196" s="73"/>
      <c r="J196" s="73"/>
      <c r="K196" s="191"/>
      <c r="L196" s="191"/>
      <c r="M196" s="74"/>
      <c r="N196" s="2"/>
      <c r="O196" s="2"/>
      <c r="P196" s="2"/>
      <c r="Q196" s="2"/>
      <c r="R196" s="2"/>
    </row>
    <row r="197" spans="1:18" x14ac:dyDescent="0.2">
      <c r="A197" s="2"/>
      <c r="B197" s="76"/>
      <c r="C197" s="73"/>
      <c r="D197" s="73"/>
      <c r="E197" s="73"/>
      <c r="F197" s="73"/>
      <c r="G197" s="73"/>
      <c r="H197" s="73"/>
      <c r="I197" s="73"/>
      <c r="J197" s="73"/>
      <c r="K197" s="191"/>
      <c r="L197" s="191"/>
      <c r="M197" s="74"/>
      <c r="N197" s="2"/>
      <c r="O197" s="2"/>
      <c r="P197" s="2"/>
      <c r="Q197" s="2"/>
      <c r="R197" s="2"/>
    </row>
    <row r="198" spans="1:18" x14ac:dyDescent="0.2">
      <c r="A198" s="2"/>
      <c r="B198" s="76"/>
      <c r="C198" s="73"/>
      <c r="D198" s="73"/>
      <c r="E198" s="73"/>
      <c r="F198" s="73"/>
      <c r="G198" s="73"/>
      <c r="H198" s="73"/>
      <c r="I198" s="73"/>
      <c r="J198" s="73"/>
      <c r="K198" s="191"/>
      <c r="L198" s="191"/>
      <c r="M198" s="74"/>
      <c r="N198" s="2"/>
      <c r="O198" s="2"/>
      <c r="P198" s="2"/>
      <c r="Q198" s="2"/>
      <c r="R198" s="2"/>
    </row>
    <row r="199" spans="1:18" x14ac:dyDescent="0.2">
      <c r="A199" s="2"/>
      <c r="B199" s="76"/>
      <c r="C199" s="73"/>
      <c r="D199" s="73"/>
      <c r="E199" s="73"/>
      <c r="F199" s="73"/>
      <c r="G199" s="73"/>
      <c r="H199" s="73"/>
      <c r="I199" s="73"/>
      <c r="J199" s="73"/>
      <c r="K199" s="191"/>
      <c r="L199" s="191"/>
      <c r="M199" s="74"/>
      <c r="N199" s="2"/>
      <c r="O199" s="2"/>
      <c r="P199" s="2"/>
      <c r="Q199" s="2"/>
      <c r="R199" s="2"/>
    </row>
    <row r="200" spans="1:18" x14ac:dyDescent="0.2">
      <c r="A200" s="2"/>
      <c r="B200" s="76"/>
      <c r="C200" s="73"/>
      <c r="D200" s="73"/>
      <c r="E200" s="73"/>
      <c r="F200" s="73"/>
      <c r="G200" s="73"/>
      <c r="H200" s="73"/>
      <c r="I200" s="73"/>
      <c r="J200" s="73"/>
      <c r="K200" s="191"/>
      <c r="L200" s="191"/>
      <c r="M200" s="74"/>
      <c r="N200" s="2"/>
      <c r="O200" s="2"/>
      <c r="P200" s="2"/>
      <c r="Q200" s="2"/>
      <c r="R200" s="2"/>
    </row>
    <row r="201" spans="1:18" x14ac:dyDescent="0.2">
      <c r="A201" s="2"/>
      <c r="B201" s="76"/>
      <c r="C201" s="73"/>
      <c r="D201" s="73"/>
      <c r="E201" s="73"/>
      <c r="F201" s="73"/>
      <c r="G201" s="73"/>
      <c r="H201" s="73"/>
      <c r="I201" s="73"/>
      <c r="J201" s="73"/>
      <c r="K201" s="191"/>
      <c r="L201" s="191"/>
      <c r="M201" s="74"/>
      <c r="N201" s="2"/>
      <c r="O201" s="2"/>
      <c r="P201" s="2"/>
      <c r="Q201" s="2"/>
      <c r="R201" s="2"/>
    </row>
    <row r="202" spans="1:18" x14ac:dyDescent="0.2">
      <c r="A202" s="2"/>
      <c r="B202" s="76"/>
      <c r="C202" s="73"/>
      <c r="D202" s="73"/>
      <c r="E202" s="73"/>
      <c r="F202" s="73"/>
      <c r="G202" s="73"/>
      <c r="H202" s="73"/>
      <c r="I202" s="73"/>
      <c r="J202" s="73"/>
      <c r="K202" s="191"/>
      <c r="L202" s="191"/>
      <c r="M202" s="74"/>
      <c r="N202" s="2"/>
      <c r="O202" s="2"/>
      <c r="P202" s="2"/>
      <c r="Q202" s="2"/>
      <c r="R202" s="2"/>
    </row>
    <row r="203" spans="1:18" x14ac:dyDescent="0.2">
      <c r="A203" s="2"/>
      <c r="B203" s="76"/>
      <c r="C203" s="73"/>
      <c r="D203" s="73"/>
      <c r="E203" s="73"/>
      <c r="F203" s="73"/>
      <c r="G203" s="73"/>
      <c r="H203" s="73"/>
      <c r="I203" s="73"/>
      <c r="J203" s="73"/>
      <c r="K203" s="191"/>
      <c r="L203" s="191"/>
      <c r="M203" s="74"/>
      <c r="N203" s="2"/>
      <c r="O203" s="2"/>
      <c r="P203" s="2"/>
      <c r="Q203" s="2"/>
      <c r="R203" s="2"/>
    </row>
    <row r="204" spans="1:18" x14ac:dyDescent="0.2">
      <c r="A204" s="2"/>
      <c r="B204" s="2"/>
      <c r="C204" s="73"/>
      <c r="D204" s="73"/>
      <c r="E204" s="73"/>
      <c r="F204" s="73"/>
      <c r="G204" s="73"/>
      <c r="H204" s="73"/>
      <c r="I204" s="73"/>
      <c r="J204" s="73"/>
      <c r="K204" s="191"/>
      <c r="L204" s="191"/>
      <c r="M204" s="74"/>
      <c r="N204" s="2"/>
      <c r="O204" s="2"/>
      <c r="P204" s="2"/>
      <c r="Q204" s="2"/>
      <c r="R204" s="2"/>
    </row>
    <row r="205" spans="1:18" ht="15.75" x14ac:dyDescent="0.25">
      <c r="A205" s="75"/>
      <c r="B205" s="2"/>
      <c r="C205" s="73"/>
      <c r="D205" s="73"/>
      <c r="E205" s="73"/>
      <c r="F205" s="73"/>
      <c r="G205" s="73"/>
      <c r="H205" s="73"/>
      <c r="I205" s="73"/>
      <c r="J205" s="73"/>
      <c r="K205" s="191"/>
      <c r="L205" s="191"/>
      <c r="M205" s="74"/>
      <c r="N205" s="2"/>
      <c r="O205" s="2"/>
      <c r="P205" s="2"/>
      <c r="Q205" s="2"/>
      <c r="R205" s="2"/>
    </row>
    <row r="206" spans="1:18" x14ac:dyDescent="0.2">
      <c r="A206" s="2"/>
      <c r="B206" s="2"/>
      <c r="C206" s="73"/>
      <c r="D206" s="73"/>
      <c r="E206" s="73"/>
      <c r="F206" s="73"/>
      <c r="G206" s="73"/>
      <c r="H206" s="73"/>
      <c r="I206" s="73"/>
      <c r="J206" s="73"/>
      <c r="K206" s="191"/>
      <c r="L206" s="191"/>
      <c r="M206" s="74"/>
      <c r="N206" s="2"/>
      <c r="O206" s="2"/>
      <c r="P206" s="2"/>
      <c r="Q206" s="2"/>
      <c r="R206" s="2"/>
    </row>
    <row r="207" spans="1:18" x14ac:dyDescent="0.2">
      <c r="A207" s="2"/>
      <c r="B207" s="2"/>
      <c r="C207" s="73"/>
      <c r="D207" s="73"/>
      <c r="E207" s="73"/>
      <c r="F207" s="73"/>
      <c r="G207" s="73"/>
      <c r="H207" s="73"/>
      <c r="I207" s="73"/>
      <c r="J207" s="73"/>
      <c r="K207" s="191"/>
      <c r="L207" s="191"/>
      <c r="M207" s="74"/>
      <c r="N207" s="2"/>
      <c r="O207" s="2"/>
      <c r="P207" s="2"/>
      <c r="Q207" s="2"/>
      <c r="R207" s="2"/>
    </row>
    <row r="208" spans="1:18" ht="15.75" x14ac:dyDescent="0.25">
      <c r="A208" s="75"/>
      <c r="B208" s="76"/>
      <c r="C208" s="73"/>
      <c r="D208" s="73"/>
      <c r="E208" s="73"/>
      <c r="F208" s="73"/>
      <c r="G208" s="73"/>
      <c r="H208" s="73"/>
      <c r="I208" s="73"/>
      <c r="J208" s="73"/>
      <c r="K208" s="191"/>
      <c r="L208" s="191"/>
      <c r="M208" s="74"/>
      <c r="N208" s="2"/>
      <c r="O208" s="2"/>
      <c r="P208" s="2"/>
      <c r="Q208" s="2"/>
      <c r="R208" s="2"/>
    </row>
    <row r="209" spans="1:18" x14ac:dyDescent="0.2">
      <c r="A209" s="2"/>
      <c r="B209" s="76"/>
      <c r="C209" s="73"/>
      <c r="D209" s="73"/>
      <c r="E209" s="73"/>
      <c r="F209" s="73"/>
      <c r="G209" s="73"/>
      <c r="H209" s="73"/>
      <c r="I209" s="73"/>
      <c r="J209" s="73"/>
      <c r="K209" s="191"/>
      <c r="L209" s="191"/>
      <c r="M209" s="74"/>
      <c r="N209" s="2"/>
      <c r="O209" s="2"/>
      <c r="P209" s="2"/>
      <c r="Q209" s="2"/>
      <c r="R209" s="2"/>
    </row>
    <row r="210" spans="1:18" x14ac:dyDescent="0.2">
      <c r="A210" s="2"/>
      <c r="B210" s="76"/>
      <c r="C210" s="73"/>
      <c r="D210" s="73"/>
      <c r="E210" s="73"/>
      <c r="F210" s="73"/>
      <c r="G210" s="73"/>
      <c r="H210" s="73"/>
      <c r="I210" s="73"/>
      <c r="J210" s="73"/>
      <c r="K210" s="191"/>
      <c r="L210" s="191"/>
      <c r="M210" s="74"/>
      <c r="N210" s="2"/>
      <c r="O210" s="2"/>
      <c r="P210" s="2"/>
      <c r="Q210" s="2"/>
      <c r="R210" s="2"/>
    </row>
    <row r="211" spans="1:18" x14ac:dyDescent="0.2">
      <c r="A211" s="2"/>
      <c r="B211" s="2"/>
      <c r="C211" s="73"/>
      <c r="D211" s="73"/>
      <c r="E211" s="73"/>
      <c r="F211" s="73"/>
      <c r="G211" s="73"/>
      <c r="H211" s="73"/>
      <c r="I211" s="73"/>
      <c r="J211" s="73"/>
      <c r="K211" s="191"/>
      <c r="L211" s="191"/>
      <c r="M211" s="74"/>
      <c r="N211" s="2"/>
      <c r="O211" s="2"/>
      <c r="P211" s="2"/>
      <c r="Q211" s="2"/>
      <c r="R211" s="2"/>
    </row>
    <row r="212" spans="1:18" x14ac:dyDescent="0.2">
      <c r="A212" s="2"/>
      <c r="B212" s="2"/>
      <c r="C212" s="73"/>
      <c r="D212" s="73"/>
      <c r="E212" s="73"/>
      <c r="F212" s="73"/>
      <c r="G212" s="73"/>
      <c r="H212" s="73"/>
      <c r="I212" s="73"/>
      <c r="J212" s="73"/>
      <c r="K212" s="191"/>
      <c r="L212" s="191"/>
      <c r="M212" s="74"/>
      <c r="N212" s="2"/>
      <c r="O212" s="2"/>
      <c r="P212" s="2"/>
      <c r="Q212" s="2"/>
      <c r="R212" s="2"/>
    </row>
    <row r="213" spans="1:18" x14ac:dyDescent="0.2">
      <c r="A213" s="2"/>
      <c r="B213" s="2"/>
      <c r="C213" s="73"/>
      <c r="D213" s="73"/>
      <c r="E213" s="73"/>
      <c r="F213" s="73"/>
      <c r="G213" s="73"/>
      <c r="H213" s="73"/>
      <c r="I213" s="73"/>
      <c r="J213" s="73"/>
      <c r="K213" s="191"/>
      <c r="L213" s="191"/>
      <c r="M213" s="74"/>
      <c r="N213" s="2"/>
      <c r="O213" s="2"/>
      <c r="P213" s="2"/>
      <c r="Q213" s="2"/>
      <c r="R213" s="2"/>
    </row>
    <row r="214" spans="1:18" ht="15.75" x14ac:dyDescent="0.25">
      <c r="A214" s="75"/>
      <c r="B214" s="2"/>
      <c r="C214" s="73"/>
      <c r="D214" s="73"/>
      <c r="E214" s="73"/>
      <c r="F214" s="73"/>
      <c r="G214" s="73"/>
      <c r="H214" s="73"/>
      <c r="I214" s="73"/>
      <c r="J214" s="73"/>
      <c r="K214" s="191"/>
      <c r="L214" s="191"/>
      <c r="M214" s="74"/>
      <c r="N214" s="2"/>
      <c r="O214" s="2"/>
      <c r="P214" s="2"/>
      <c r="Q214" s="2"/>
      <c r="R214" s="2"/>
    </row>
    <row r="215" spans="1:18" x14ac:dyDescent="0.2">
      <c r="A215" s="2"/>
      <c r="B215" s="2"/>
      <c r="C215" s="73"/>
      <c r="D215" s="73"/>
      <c r="E215" s="73"/>
      <c r="F215" s="73"/>
      <c r="G215" s="73"/>
      <c r="H215" s="73"/>
      <c r="I215" s="73"/>
      <c r="J215" s="73"/>
      <c r="K215" s="191"/>
      <c r="L215" s="191"/>
      <c r="M215" s="74"/>
      <c r="N215" s="2"/>
      <c r="O215" s="2"/>
      <c r="P215" s="2"/>
      <c r="Q215" s="2"/>
      <c r="R215" s="2"/>
    </row>
    <row r="216" spans="1:18" x14ac:dyDescent="0.2">
      <c r="A216" s="2"/>
      <c r="B216" s="2"/>
      <c r="C216" s="73"/>
      <c r="D216" s="73"/>
      <c r="E216" s="73"/>
      <c r="F216" s="73"/>
      <c r="G216" s="73"/>
      <c r="H216" s="73"/>
      <c r="I216" s="73"/>
      <c r="J216" s="73"/>
      <c r="K216" s="191"/>
      <c r="L216" s="191"/>
      <c r="M216" s="74"/>
      <c r="N216" s="2"/>
      <c r="O216" s="2"/>
      <c r="P216" s="2"/>
      <c r="Q216" s="2"/>
      <c r="R216" s="2"/>
    </row>
    <row r="217" spans="1:18" ht="15.75" x14ac:dyDescent="0.25">
      <c r="A217" s="75"/>
      <c r="B217" s="75"/>
      <c r="C217" s="73"/>
      <c r="D217" s="73"/>
      <c r="E217" s="73"/>
      <c r="F217" s="73"/>
      <c r="G217" s="73"/>
      <c r="H217" s="73"/>
      <c r="I217" s="73"/>
      <c r="J217" s="73"/>
      <c r="K217" s="191"/>
      <c r="L217" s="191"/>
      <c r="M217" s="74"/>
      <c r="N217" s="2"/>
      <c r="O217" s="2"/>
      <c r="P217" s="2"/>
      <c r="Q217" s="2"/>
      <c r="R217" s="2"/>
    </row>
    <row r="218" spans="1:18" x14ac:dyDescent="0.2">
      <c r="A218" s="2"/>
      <c r="B218" s="2"/>
      <c r="C218" s="73"/>
      <c r="D218" s="73"/>
      <c r="E218" s="73"/>
      <c r="F218" s="73"/>
      <c r="G218" s="73"/>
      <c r="H218" s="73"/>
      <c r="I218" s="73"/>
      <c r="J218" s="73"/>
      <c r="K218" s="191"/>
      <c r="L218" s="191"/>
      <c r="M218" s="74"/>
      <c r="N218" s="2"/>
      <c r="O218" s="2"/>
      <c r="P218" s="2"/>
      <c r="Q218" s="2"/>
      <c r="R218" s="2"/>
    </row>
    <row r="219" spans="1:18" x14ac:dyDescent="0.2">
      <c r="A219" s="2"/>
      <c r="B219" s="2"/>
      <c r="C219" s="73"/>
      <c r="D219" s="73"/>
      <c r="E219" s="73"/>
      <c r="F219" s="73"/>
      <c r="G219" s="73"/>
      <c r="H219" s="73"/>
      <c r="I219" s="73"/>
      <c r="J219" s="73"/>
      <c r="K219" s="191"/>
      <c r="L219" s="191"/>
      <c r="M219" s="74"/>
      <c r="N219" s="2"/>
      <c r="O219" s="2"/>
      <c r="P219" s="2"/>
      <c r="Q219" s="2"/>
      <c r="R219" s="2"/>
    </row>
    <row r="220" spans="1:18" x14ac:dyDescent="0.2">
      <c r="A220" s="2"/>
      <c r="B220" s="2"/>
      <c r="C220" s="73"/>
      <c r="D220" s="73"/>
      <c r="E220" s="73"/>
      <c r="F220" s="73"/>
      <c r="G220" s="73"/>
      <c r="H220" s="73"/>
      <c r="I220" s="73"/>
      <c r="J220" s="73"/>
      <c r="K220" s="191"/>
      <c r="L220" s="191"/>
      <c r="M220" s="74"/>
      <c r="N220" s="2"/>
      <c r="O220" s="2"/>
      <c r="P220" s="2"/>
      <c r="Q220" s="2"/>
      <c r="R220" s="2"/>
    </row>
    <row r="221" spans="1:18" x14ac:dyDescent="0.2">
      <c r="A221" s="2"/>
      <c r="B221" s="2"/>
      <c r="C221" s="73"/>
      <c r="D221" s="73"/>
      <c r="E221" s="73"/>
      <c r="F221" s="73"/>
      <c r="G221" s="73"/>
      <c r="H221" s="73"/>
      <c r="I221" s="73"/>
      <c r="J221" s="73"/>
      <c r="K221" s="191"/>
      <c r="L221" s="191"/>
      <c r="M221" s="74"/>
      <c r="N221" s="2"/>
      <c r="O221" s="2"/>
      <c r="P221" s="2"/>
      <c r="Q221" s="2"/>
      <c r="R221" s="2"/>
    </row>
    <row r="222" spans="1:18" x14ac:dyDescent="0.2">
      <c r="A222" s="2"/>
      <c r="B222" s="2"/>
      <c r="C222" s="73"/>
      <c r="D222" s="73"/>
      <c r="E222" s="73"/>
      <c r="F222" s="73"/>
      <c r="G222" s="73"/>
      <c r="H222" s="73"/>
      <c r="I222" s="73"/>
      <c r="J222" s="73"/>
      <c r="K222" s="191"/>
      <c r="L222" s="191"/>
      <c r="M222" s="74"/>
      <c r="N222" s="2"/>
      <c r="O222" s="2"/>
      <c r="P222" s="2"/>
      <c r="Q222" s="2"/>
      <c r="R222" s="2"/>
    </row>
    <row r="223" spans="1:18" x14ac:dyDescent="0.2">
      <c r="A223" s="2"/>
      <c r="B223" s="2"/>
      <c r="C223" s="73"/>
      <c r="D223" s="73"/>
      <c r="E223" s="73"/>
      <c r="F223" s="73"/>
      <c r="G223" s="73"/>
      <c r="H223" s="73"/>
      <c r="I223" s="73"/>
      <c r="J223" s="73"/>
      <c r="K223" s="191"/>
      <c r="L223" s="191"/>
      <c r="M223" s="74"/>
      <c r="N223" s="2"/>
      <c r="O223" s="2"/>
      <c r="P223" s="2"/>
      <c r="Q223" s="2"/>
      <c r="R223" s="2"/>
    </row>
    <row r="224" spans="1:18" x14ac:dyDescent="0.2">
      <c r="A224" s="2"/>
      <c r="B224" s="2"/>
      <c r="C224" s="73"/>
      <c r="D224" s="73"/>
      <c r="E224" s="73"/>
      <c r="F224" s="73"/>
      <c r="G224" s="73"/>
      <c r="H224" s="73"/>
      <c r="I224" s="73"/>
      <c r="J224" s="73"/>
      <c r="K224" s="191"/>
      <c r="L224" s="191"/>
      <c r="M224" s="74"/>
      <c r="N224" s="2"/>
      <c r="O224" s="2"/>
      <c r="P224" s="2"/>
      <c r="Q224" s="2"/>
      <c r="R224" s="2"/>
    </row>
    <row r="225" spans="1:18" x14ac:dyDescent="0.2">
      <c r="A225" s="2"/>
      <c r="B225" s="2"/>
      <c r="C225" s="73"/>
      <c r="D225" s="73"/>
      <c r="E225" s="73"/>
      <c r="F225" s="73"/>
      <c r="G225" s="73"/>
      <c r="H225" s="73"/>
      <c r="I225" s="73"/>
      <c r="J225" s="73"/>
      <c r="K225" s="191"/>
      <c r="L225" s="191"/>
      <c r="M225" s="74"/>
      <c r="N225" s="2"/>
      <c r="O225" s="2"/>
      <c r="P225" s="2"/>
      <c r="Q225" s="2"/>
      <c r="R225" s="2"/>
    </row>
    <row r="226" spans="1:18" x14ac:dyDescent="0.2">
      <c r="A226" s="2"/>
      <c r="B226" s="2"/>
      <c r="C226" s="73"/>
      <c r="D226" s="73"/>
      <c r="E226" s="73"/>
      <c r="F226" s="73"/>
      <c r="G226" s="73"/>
      <c r="H226" s="73"/>
      <c r="I226" s="73"/>
      <c r="J226" s="73"/>
      <c r="K226" s="191"/>
      <c r="L226" s="191"/>
      <c r="M226" s="74"/>
      <c r="N226" s="2"/>
      <c r="O226" s="2"/>
      <c r="P226" s="2"/>
      <c r="Q226" s="2"/>
      <c r="R226" s="2"/>
    </row>
    <row r="227" spans="1:18" x14ac:dyDescent="0.2">
      <c r="A227" s="2"/>
      <c r="B227" s="2"/>
      <c r="C227" s="73"/>
      <c r="D227" s="73"/>
      <c r="E227" s="73"/>
      <c r="F227" s="73"/>
      <c r="G227" s="73"/>
      <c r="H227" s="73"/>
      <c r="I227" s="73"/>
      <c r="J227" s="73"/>
      <c r="K227" s="191"/>
      <c r="L227" s="191"/>
      <c r="M227" s="74"/>
      <c r="N227" s="2"/>
      <c r="O227" s="2"/>
      <c r="P227" s="2"/>
      <c r="Q227" s="2"/>
      <c r="R227" s="2"/>
    </row>
    <row r="228" spans="1:18" x14ac:dyDescent="0.2">
      <c r="A228" s="2"/>
      <c r="B228" s="2"/>
      <c r="C228" s="73"/>
      <c r="D228" s="73"/>
      <c r="E228" s="73"/>
      <c r="F228" s="73"/>
      <c r="G228" s="73"/>
      <c r="H228" s="73"/>
      <c r="I228" s="73"/>
      <c r="J228" s="73"/>
      <c r="K228" s="191"/>
      <c r="L228" s="191"/>
      <c r="M228" s="74"/>
      <c r="N228" s="2"/>
      <c r="O228" s="2"/>
      <c r="P228" s="2"/>
      <c r="Q228" s="2"/>
      <c r="R228" s="2"/>
    </row>
    <row r="229" spans="1:18" x14ac:dyDescent="0.2">
      <c r="A229" s="2"/>
      <c r="B229" s="2"/>
      <c r="C229" s="73"/>
      <c r="D229" s="73"/>
      <c r="E229" s="73"/>
      <c r="F229" s="73"/>
      <c r="G229" s="73"/>
      <c r="H229" s="73"/>
      <c r="I229" s="73"/>
      <c r="J229" s="73"/>
      <c r="K229" s="191"/>
      <c r="L229" s="191"/>
      <c r="M229" s="74"/>
      <c r="N229" s="2"/>
      <c r="O229" s="2"/>
      <c r="P229" s="2"/>
      <c r="Q229" s="2"/>
      <c r="R229" s="2"/>
    </row>
    <row r="230" spans="1:18" x14ac:dyDescent="0.2">
      <c r="A230" s="2"/>
      <c r="B230" s="2"/>
      <c r="C230" s="73"/>
      <c r="D230" s="73"/>
      <c r="E230" s="73"/>
      <c r="F230" s="73"/>
      <c r="G230" s="73"/>
      <c r="H230" s="73"/>
      <c r="I230" s="73"/>
      <c r="J230" s="73"/>
      <c r="K230" s="191"/>
      <c r="L230" s="191"/>
      <c r="M230" s="74"/>
      <c r="N230" s="2"/>
      <c r="O230" s="2"/>
      <c r="P230" s="2"/>
      <c r="Q230" s="2"/>
      <c r="R230" s="2"/>
    </row>
    <row r="231" spans="1:18" x14ac:dyDescent="0.2">
      <c r="A231" s="2"/>
      <c r="B231" s="2"/>
      <c r="C231" s="73"/>
      <c r="D231" s="73"/>
      <c r="E231" s="73"/>
      <c r="F231" s="73"/>
      <c r="G231" s="73"/>
      <c r="H231" s="73"/>
      <c r="I231" s="73"/>
      <c r="J231" s="73"/>
      <c r="K231" s="191"/>
      <c r="L231" s="191"/>
      <c r="M231" s="74"/>
      <c r="N231" s="2"/>
      <c r="O231" s="2"/>
      <c r="P231" s="2"/>
      <c r="Q231" s="2"/>
      <c r="R231" s="2"/>
    </row>
    <row r="232" spans="1:18" x14ac:dyDescent="0.2">
      <c r="A232" s="2"/>
      <c r="B232" s="2"/>
      <c r="C232" s="73"/>
      <c r="D232" s="73"/>
      <c r="E232" s="73"/>
      <c r="F232" s="73"/>
      <c r="G232" s="73"/>
      <c r="H232" s="73"/>
      <c r="I232" s="73"/>
      <c r="J232" s="73"/>
      <c r="K232" s="191"/>
      <c r="L232" s="191"/>
      <c r="M232" s="74"/>
      <c r="N232" s="2"/>
      <c r="O232" s="2"/>
      <c r="P232" s="2"/>
      <c r="Q232" s="2"/>
      <c r="R232" s="2"/>
    </row>
    <row r="233" spans="1:18" x14ac:dyDescent="0.2">
      <c r="A233" s="2"/>
      <c r="B233" s="2"/>
      <c r="C233" s="73"/>
      <c r="D233" s="73"/>
      <c r="E233" s="73"/>
      <c r="F233" s="73"/>
      <c r="G233" s="73"/>
      <c r="H233" s="73"/>
      <c r="I233" s="73"/>
      <c r="J233" s="73"/>
      <c r="K233" s="191"/>
      <c r="L233" s="191"/>
      <c r="M233" s="74"/>
      <c r="N233" s="2"/>
      <c r="O233" s="2"/>
      <c r="P233" s="2"/>
      <c r="Q233" s="2"/>
      <c r="R233" s="2"/>
    </row>
    <row r="234" spans="1:18" x14ac:dyDescent="0.2">
      <c r="A234" s="2"/>
      <c r="B234" s="2"/>
      <c r="C234" s="73"/>
      <c r="D234" s="73"/>
      <c r="E234" s="73"/>
      <c r="F234" s="73"/>
      <c r="G234" s="73"/>
      <c r="H234" s="73"/>
      <c r="I234" s="73"/>
      <c r="J234" s="73"/>
      <c r="K234" s="191"/>
      <c r="L234" s="191"/>
      <c r="M234" s="74"/>
      <c r="N234" s="2"/>
      <c r="O234" s="2"/>
      <c r="P234" s="2"/>
      <c r="Q234" s="2"/>
      <c r="R234" s="2"/>
    </row>
    <row r="235" spans="1:18" x14ac:dyDescent="0.2">
      <c r="A235" s="2"/>
      <c r="B235" s="2"/>
      <c r="C235" s="73"/>
      <c r="D235" s="73"/>
      <c r="E235" s="73"/>
      <c r="F235" s="73"/>
      <c r="G235" s="73"/>
      <c r="H235" s="73"/>
      <c r="I235" s="73"/>
      <c r="J235" s="73"/>
      <c r="K235" s="191"/>
      <c r="L235" s="191"/>
      <c r="M235" s="74"/>
      <c r="N235" s="2"/>
      <c r="O235" s="2"/>
      <c r="P235" s="2"/>
      <c r="Q235" s="2"/>
      <c r="R235" s="2"/>
    </row>
    <row r="236" spans="1:18" x14ac:dyDescent="0.2">
      <c r="A236" s="2"/>
      <c r="B236" s="2"/>
      <c r="C236" s="73"/>
      <c r="D236" s="73"/>
      <c r="E236" s="73"/>
      <c r="F236" s="73"/>
      <c r="G236" s="73"/>
      <c r="H236" s="73"/>
      <c r="I236" s="73"/>
      <c r="J236" s="73"/>
      <c r="K236" s="191"/>
      <c r="L236" s="191"/>
      <c r="M236" s="74"/>
      <c r="N236" s="2"/>
      <c r="O236" s="2"/>
      <c r="P236" s="2"/>
      <c r="Q236" s="2"/>
      <c r="R236" s="2"/>
    </row>
    <row r="237" spans="1:18" x14ac:dyDescent="0.2">
      <c r="A237" s="2"/>
      <c r="B237" s="2"/>
      <c r="C237" s="73"/>
      <c r="D237" s="73"/>
      <c r="E237" s="73"/>
      <c r="F237" s="73"/>
      <c r="G237" s="73"/>
      <c r="H237" s="73"/>
      <c r="I237" s="73"/>
      <c r="J237" s="73"/>
      <c r="K237" s="191"/>
      <c r="L237" s="191"/>
      <c r="M237" s="74"/>
      <c r="N237" s="2"/>
      <c r="O237" s="2"/>
      <c r="P237" s="2"/>
      <c r="Q237" s="2"/>
      <c r="R237" s="2"/>
    </row>
    <row r="238" spans="1:18" x14ac:dyDescent="0.2">
      <c r="A238" s="2"/>
      <c r="B238" s="2"/>
      <c r="C238" s="73"/>
      <c r="D238" s="73"/>
      <c r="E238" s="73"/>
      <c r="F238" s="73"/>
      <c r="G238" s="73"/>
      <c r="H238" s="73"/>
      <c r="I238" s="73"/>
      <c r="J238" s="73"/>
      <c r="K238" s="191"/>
      <c r="L238" s="191"/>
      <c r="M238" s="74"/>
      <c r="N238" s="2"/>
      <c r="O238" s="2"/>
      <c r="P238" s="2"/>
      <c r="Q238" s="2"/>
      <c r="R238" s="2"/>
    </row>
    <row r="239" spans="1:18" x14ac:dyDescent="0.2">
      <c r="A239" s="2"/>
      <c r="B239" s="2"/>
      <c r="C239" s="73"/>
      <c r="D239" s="73"/>
      <c r="E239" s="73"/>
      <c r="F239" s="73"/>
      <c r="G239" s="73"/>
      <c r="H239" s="73"/>
      <c r="I239" s="73"/>
      <c r="J239" s="73"/>
      <c r="K239" s="191"/>
      <c r="L239" s="191"/>
      <c r="M239" s="74"/>
      <c r="N239" s="2"/>
      <c r="O239" s="2"/>
      <c r="P239" s="2"/>
      <c r="Q239" s="2"/>
      <c r="R239" s="2"/>
    </row>
    <row r="240" spans="1:18" x14ac:dyDescent="0.2">
      <c r="A240" s="2"/>
      <c r="B240" s="2"/>
      <c r="C240" s="73"/>
      <c r="D240" s="73"/>
      <c r="E240" s="73"/>
      <c r="F240" s="73"/>
      <c r="G240" s="73"/>
      <c r="H240" s="73"/>
      <c r="I240" s="73"/>
      <c r="J240" s="73"/>
      <c r="K240" s="191"/>
      <c r="L240" s="191"/>
      <c r="M240" s="74"/>
      <c r="N240" s="2"/>
      <c r="O240" s="2"/>
      <c r="P240" s="2"/>
      <c r="Q240" s="2"/>
      <c r="R240" s="2"/>
    </row>
    <row r="241" spans="1:18" x14ac:dyDescent="0.2">
      <c r="A241" s="2"/>
      <c r="B241" s="2"/>
      <c r="C241" s="73"/>
      <c r="D241" s="73"/>
      <c r="E241" s="73"/>
      <c r="F241" s="73"/>
      <c r="G241" s="73"/>
      <c r="H241" s="73"/>
      <c r="I241" s="73"/>
      <c r="J241" s="73"/>
      <c r="K241" s="191"/>
      <c r="L241" s="191"/>
      <c r="M241" s="74"/>
      <c r="N241" s="2"/>
      <c r="O241" s="2"/>
      <c r="P241" s="2"/>
      <c r="Q241" s="2"/>
      <c r="R241" s="2"/>
    </row>
    <row r="242" spans="1:18" x14ac:dyDescent="0.2">
      <c r="A242" s="2"/>
      <c r="B242" s="2"/>
      <c r="C242" s="73"/>
      <c r="D242" s="73"/>
      <c r="E242" s="73"/>
      <c r="F242" s="73"/>
      <c r="G242" s="73"/>
      <c r="H242" s="73"/>
      <c r="I242" s="73"/>
      <c r="J242" s="73"/>
      <c r="K242" s="191"/>
      <c r="L242" s="191"/>
      <c r="M242" s="74"/>
      <c r="N242" s="2"/>
      <c r="O242" s="2"/>
      <c r="P242" s="2"/>
      <c r="Q242" s="2"/>
      <c r="R242" s="2"/>
    </row>
    <row r="243" spans="1:18" x14ac:dyDescent="0.2">
      <c r="A243" s="2"/>
      <c r="B243" s="2"/>
      <c r="C243" s="73"/>
      <c r="D243" s="73"/>
      <c r="E243" s="73"/>
      <c r="F243" s="73"/>
      <c r="G243" s="73"/>
      <c r="H243" s="73"/>
      <c r="I243" s="73"/>
      <c r="J243" s="73"/>
      <c r="K243" s="191"/>
      <c r="L243" s="191"/>
      <c r="M243" s="74"/>
      <c r="N243" s="2"/>
      <c r="O243" s="2"/>
      <c r="P243" s="2"/>
      <c r="Q243" s="2"/>
      <c r="R243" s="2"/>
    </row>
    <row r="244" spans="1:18" x14ac:dyDescent="0.2">
      <c r="A244" s="2"/>
      <c r="B244" s="2"/>
      <c r="C244" s="73"/>
      <c r="D244" s="73"/>
      <c r="E244" s="73"/>
      <c r="F244" s="73"/>
      <c r="G244" s="73"/>
      <c r="H244" s="73"/>
      <c r="I244" s="73"/>
      <c r="J244" s="73"/>
      <c r="K244" s="191"/>
      <c r="L244" s="191"/>
      <c r="M244" s="74"/>
      <c r="N244" s="2"/>
      <c r="O244" s="2"/>
      <c r="P244" s="2"/>
      <c r="Q244" s="2"/>
      <c r="R244" s="2"/>
    </row>
    <row r="245" spans="1:18" x14ac:dyDescent="0.2">
      <c r="A245" s="2"/>
      <c r="B245" s="2"/>
      <c r="C245" s="73"/>
      <c r="D245" s="73"/>
      <c r="E245" s="73"/>
      <c r="F245" s="73"/>
      <c r="G245" s="73"/>
      <c r="H245" s="73"/>
      <c r="I245" s="73"/>
      <c r="J245" s="73"/>
      <c r="K245" s="191"/>
      <c r="L245" s="191"/>
      <c r="M245" s="74"/>
      <c r="N245" s="2"/>
      <c r="O245" s="2"/>
      <c r="P245" s="2"/>
      <c r="Q245" s="2"/>
      <c r="R245" s="2"/>
    </row>
    <row r="246" spans="1:18" x14ac:dyDescent="0.2">
      <c r="A246" s="2"/>
      <c r="B246" s="2"/>
      <c r="C246" s="73"/>
      <c r="D246" s="73"/>
      <c r="E246" s="73"/>
      <c r="F246" s="73"/>
      <c r="G246" s="73"/>
      <c r="H246" s="73"/>
      <c r="I246" s="73"/>
      <c r="J246" s="73"/>
      <c r="K246" s="191"/>
      <c r="L246" s="191"/>
      <c r="M246" s="74"/>
      <c r="N246" s="2"/>
      <c r="O246" s="2"/>
      <c r="P246" s="2"/>
      <c r="Q246" s="2"/>
      <c r="R246" s="2"/>
    </row>
    <row r="247" spans="1:18" x14ac:dyDescent="0.2">
      <c r="A247" s="2"/>
      <c r="B247" s="2"/>
      <c r="C247" s="73"/>
      <c r="D247" s="73"/>
      <c r="E247" s="73"/>
      <c r="F247" s="73"/>
      <c r="G247" s="73"/>
      <c r="H247" s="73"/>
      <c r="I247" s="73"/>
      <c r="J247" s="73"/>
      <c r="K247" s="191"/>
      <c r="L247" s="191"/>
      <c r="M247" s="74"/>
      <c r="N247" s="2"/>
      <c r="O247" s="2"/>
      <c r="P247" s="2"/>
      <c r="Q247" s="2"/>
      <c r="R247" s="2"/>
    </row>
    <row r="248" spans="1:18" x14ac:dyDescent="0.2">
      <c r="A248" s="2"/>
      <c r="B248" s="2"/>
      <c r="C248" s="73"/>
      <c r="D248" s="73"/>
      <c r="E248" s="73"/>
      <c r="F248" s="73"/>
      <c r="G248" s="73"/>
      <c r="H248" s="73"/>
      <c r="I248" s="73"/>
      <c r="J248" s="73"/>
      <c r="K248" s="191"/>
      <c r="L248" s="191"/>
      <c r="M248" s="74"/>
      <c r="N248" s="2"/>
      <c r="O248" s="2"/>
      <c r="P248" s="2"/>
      <c r="Q248" s="2"/>
      <c r="R248" s="2"/>
    </row>
    <row r="249" spans="1:18" x14ac:dyDescent="0.2">
      <c r="A249" s="2"/>
      <c r="B249" s="2"/>
      <c r="C249" s="73"/>
      <c r="D249" s="73"/>
      <c r="E249" s="73"/>
      <c r="F249" s="73"/>
      <c r="G249" s="73"/>
      <c r="H249" s="73"/>
      <c r="I249" s="73"/>
      <c r="J249" s="73"/>
      <c r="K249" s="191"/>
      <c r="L249" s="191"/>
      <c r="M249" s="74"/>
      <c r="N249" s="2"/>
      <c r="O249" s="2"/>
      <c r="P249" s="2"/>
      <c r="Q249" s="2"/>
      <c r="R249" s="2"/>
    </row>
    <row r="250" spans="1:18" x14ac:dyDescent="0.2">
      <c r="A250" s="2"/>
      <c r="B250" s="2"/>
      <c r="C250" s="73"/>
      <c r="D250" s="73"/>
      <c r="E250" s="73"/>
      <c r="F250" s="73"/>
      <c r="G250" s="73"/>
      <c r="H250" s="73"/>
      <c r="I250" s="73"/>
      <c r="J250" s="73"/>
      <c r="K250" s="191"/>
      <c r="L250" s="191"/>
      <c r="M250" s="74"/>
      <c r="N250" s="2"/>
      <c r="O250" s="2"/>
      <c r="P250" s="2"/>
      <c r="Q250" s="2"/>
      <c r="R250" s="2"/>
    </row>
    <row r="251" spans="1:18" x14ac:dyDescent="0.2">
      <c r="A251" s="2"/>
      <c r="B251" s="2"/>
      <c r="C251" s="73"/>
      <c r="D251" s="73"/>
      <c r="E251" s="73"/>
      <c r="F251" s="73"/>
      <c r="G251" s="73"/>
      <c r="H251" s="73"/>
      <c r="I251" s="73"/>
      <c r="J251" s="73"/>
      <c r="K251" s="191"/>
      <c r="L251" s="191"/>
      <c r="M251" s="74"/>
      <c r="N251" s="2"/>
      <c r="O251" s="2"/>
      <c r="P251" s="2"/>
      <c r="Q251" s="2"/>
      <c r="R251" s="2"/>
    </row>
    <row r="252" spans="1:18" x14ac:dyDescent="0.2">
      <c r="A252" s="2"/>
      <c r="B252" s="2"/>
      <c r="C252" s="73"/>
      <c r="D252" s="73"/>
      <c r="E252" s="73"/>
      <c r="F252" s="73"/>
      <c r="G252" s="73"/>
      <c r="H252" s="73"/>
      <c r="I252" s="73"/>
      <c r="J252" s="73"/>
      <c r="K252" s="191"/>
      <c r="L252" s="191"/>
      <c r="M252" s="74"/>
      <c r="N252" s="2"/>
      <c r="O252" s="2"/>
      <c r="P252" s="2"/>
      <c r="Q252" s="2"/>
      <c r="R252" s="2"/>
    </row>
    <row r="253" spans="1:18" x14ac:dyDescent="0.2">
      <c r="A253" s="2"/>
      <c r="B253" s="2"/>
      <c r="C253" s="73"/>
      <c r="D253" s="73"/>
      <c r="E253" s="73"/>
      <c r="F253" s="73"/>
      <c r="G253" s="73"/>
      <c r="H253" s="73"/>
      <c r="I253" s="73"/>
      <c r="J253" s="73"/>
      <c r="K253" s="191"/>
      <c r="L253" s="191"/>
      <c r="M253" s="74"/>
      <c r="N253" s="2"/>
      <c r="O253" s="2"/>
      <c r="P253" s="2"/>
      <c r="Q253" s="2"/>
      <c r="R253" s="2"/>
    </row>
    <row r="254" spans="1:18" x14ac:dyDescent="0.2">
      <c r="A254" s="2"/>
      <c r="B254" s="2"/>
      <c r="C254" s="73"/>
      <c r="D254" s="73"/>
      <c r="E254" s="73"/>
      <c r="F254" s="73"/>
      <c r="G254" s="73"/>
      <c r="H254" s="73"/>
      <c r="I254" s="73"/>
      <c r="J254" s="73"/>
      <c r="K254" s="191"/>
      <c r="L254" s="191"/>
      <c r="M254" s="74"/>
      <c r="N254" s="2"/>
      <c r="O254" s="2"/>
      <c r="P254" s="2"/>
      <c r="Q254" s="2"/>
      <c r="R254" s="2"/>
    </row>
    <row r="255" spans="1:18" x14ac:dyDescent="0.2">
      <c r="A255" s="2"/>
      <c r="B255" s="2"/>
      <c r="C255" s="73"/>
      <c r="D255" s="73"/>
      <c r="E255" s="73"/>
      <c r="F255" s="73"/>
      <c r="G255" s="73"/>
      <c r="H255" s="73"/>
      <c r="I255" s="73"/>
      <c r="J255" s="73"/>
      <c r="K255" s="191"/>
      <c r="L255" s="191"/>
      <c r="M255" s="74"/>
      <c r="N255" s="2"/>
      <c r="O255" s="2"/>
      <c r="P255" s="2"/>
      <c r="Q255" s="2"/>
      <c r="R255" s="2"/>
    </row>
    <row r="256" spans="1:18" x14ac:dyDescent="0.2">
      <c r="A256" s="2"/>
      <c r="B256" s="2"/>
      <c r="C256" s="73"/>
      <c r="D256" s="73"/>
      <c r="E256" s="73"/>
      <c r="F256" s="73"/>
      <c r="G256" s="73"/>
      <c r="H256" s="73"/>
      <c r="I256" s="73"/>
      <c r="J256" s="73"/>
      <c r="K256" s="191"/>
      <c r="L256" s="191"/>
      <c r="M256" s="74"/>
      <c r="N256" s="2"/>
      <c r="O256" s="2"/>
      <c r="P256" s="2"/>
      <c r="Q256" s="2"/>
      <c r="R256" s="2"/>
    </row>
    <row r="257" spans="1:18" x14ac:dyDescent="0.2">
      <c r="A257" s="2"/>
      <c r="B257" s="2"/>
      <c r="C257" s="73"/>
      <c r="D257" s="73"/>
      <c r="E257" s="73"/>
      <c r="F257" s="73"/>
      <c r="G257" s="73"/>
      <c r="H257" s="73"/>
      <c r="I257" s="73"/>
      <c r="J257" s="73"/>
      <c r="K257" s="191"/>
      <c r="L257" s="191"/>
      <c r="M257" s="74"/>
      <c r="N257" s="2"/>
      <c r="O257" s="2"/>
      <c r="P257" s="2"/>
      <c r="Q257" s="2"/>
      <c r="R257" s="2"/>
    </row>
    <row r="258" spans="1:18" x14ac:dyDescent="0.2">
      <c r="A258" s="2"/>
      <c r="B258" s="2"/>
      <c r="C258" s="73"/>
      <c r="D258" s="73"/>
      <c r="E258" s="73"/>
      <c r="F258" s="73"/>
      <c r="G258" s="73"/>
      <c r="H258" s="73"/>
      <c r="I258" s="73"/>
      <c r="J258" s="73"/>
      <c r="K258" s="191"/>
      <c r="L258" s="191"/>
      <c r="M258" s="74"/>
      <c r="N258" s="2"/>
      <c r="O258" s="2"/>
      <c r="P258" s="2"/>
      <c r="Q258" s="2"/>
      <c r="R258" s="2"/>
    </row>
    <row r="259" spans="1:18" x14ac:dyDescent="0.2">
      <c r="A259" s="2"/>
      <c r="B259" s="2"/>
      <c r="C259" s="73"/>
      <c r="D259" s="73"/>
      <c r="E259" s="73"/>
      <c r="F259" s="73"/>
      <c r="G259" s="73"/>
      <c r="H259" s="73"/>
      <c r="I259" s="73"/>
      <c r="J259" s="73"/>
      <c r="K259" s="191"/>
      <c r="L259" s="191"/>
      <c r="M259" s="74"/>
      <c r="N259" s="2"/>
      <c r="O259" s="2"/>
      <c r="P259" s="2"/>
      <c r="Q259" s="2"/>
      <c r="R259" s="2"/>
    </row>
    <row r="260" spans="1:18" x14ac:dyDescent="0.2">
      <c r="A260" s="2"/>
      <c r="B260" s="2"/>
      <c r="C260" s="73"/>
      <c r="D260" s="73"/>
      <c r="E260" s="73"/>
      <c r="F260" s="73"/>
      <c r="G260" s="73"/>
      <c r="H260" s="73"/>
      <c r="I260" s="73"/>
      <c r="J260" s="73"/>
      <c r="K260" s="191"/>
      <c r="L260" s="191"/>
      <c r="M260" s="74"/>
      <c r="N260" s="2"/>
      <c r="O260" s="2"/>
      <c r="P260" s="2"/>
      <c r="Q260" s="2"/>
      <c r="R260" s="2"/>
    </row>
    <row r="261" spans="1:18" x14ac:dyDescent="0.2">
      <c r="A261" s="2"/>
      <c r="B261" s="2"/>
      <c r="C261" s="73"/>
      <c r="D261" s="73"/>
      <c r="E261" s="73"/>
      <c r="F261" s="73"/>
      <c r="G261" s="73"/>
      <c r="H261" s="73"/>
      <c r="I261" s="73"/>
      <c r="J261" s="73"/>
      <c r="K261" s="191"/>
      <c r="L261" s="191"/>
      <c r="M261" s="74"/>
      <c r="N261" s="2"/>
      <c r="O261" s="2"/>
      <c r="P261" s="2"/>
      <c r="Q261" s="2"/>
      <c r="R261" s="2"/>
    </row>
    <row r="262" spans="1:18" x14ac:dyDescent="0.2">
      <c r="A262" s="2"/>
      <c r="B262" s="2"/>
      <c r="C262" s="73"/>
      <c r="D262" s="73"/>
      <c r="E262" s="73"/>
      <c r="F262" s="73"/>
      <c r="G262" s="73"/>
      <c r="H262" s="73"/>
      <c r="I262" s="73"/>
      <c r="J262" s="73"/>
      <c r="K262" s="191"/>
      <c r="L262" s="191"/>
      <c r="M262" s="74"/>
      <c r="N262" s="2"/>
      <c r="O262" s="2"/>
      <c r="P262" s="2"/>
      <c r="Q262" s="2"/>
      <c r="R262" s="2"/>
    </row>
    <row r="263" spans="1:18" x14ac:dyDescent="0.2">
      <c r="A263" s="2"/>
      <c r="B263" s="2"/>
      <c r="C263" s="73"/>
      <c r="D263" s="73"/>
      <c r="E263" s="73"/>
      <c r="F263" s="73"/>
      <c r="G263" s="73"/>
      <c r="H263" s="73"/>
      <c r="I263" s="73"/>
      <c r="J263" s="73"/>
      <c r="K263" s="191"/>
      <c r="L263" s="191"/>
      <c r="M263" s="74"/>
      <c r="N263" s="2"/>
      <c r="O263" s="2"/>
      <c r="P263" s="2"/>
      <c r="Q263" s="2"/>
      <c r="R263" s="2"/>
    </row>
    <row r="264" spans="1:18" x14ac:dyDescent="0.2">
      <c r="A264" s="2"/>
      <c r="B264" s="2"/>
      <c r="C264" s="73"/>
      <c r="D264" s="73"/>
      <c r="E264" s="73"/>
      <c r="F264" s="73"/>
      <c r="G264" s="73"/>
      <c r="H264" s="73"/>
      <c r="I264" s="73"/>
      <c r="J264" s="73"/>
      <c r="K264" s="191"/>
      <c r="L264" s="191"/>
      <c r="M264" s="74"/>
      <c r="N264" s="2"/>
      <c r="O264" s="2"/>
      <c r="P264" s="2"/>
      <c r="Q264" s="2"/>
      <c r="R264" s="2"/>
    </row>
    <row r="265" spans="1:18" x14ac:dyDescent="0.2">
      <c r="A265" s="2"/>
      <c r="B265" s="2"/>
      <c r="C265" s="73"/>
      <c r="D265" s="73"/>
      <c r="E265" s="73"/>
      <c r="F265" s="73"/>
      <c r="G265" s="73"/>
      <c r="H265" s="73"/>
      <c r="I265" s="73"/>
      <c r="J265" s="73"/>
      <c r="K265" s="191"/>
      <c r="L265" s="191"/>
      <c r="M265" s="74"/>
      <c r="N265" s="2"/>
      <c r="O265" s="2"/>
      <c r="P265" s="2"/>
      <c r="Q265" s="2"/>
      <c r="R265" s="2"/>
    </row>
    <row r="266" spans="1:18" x14ac:dyDescent="0.2">
      <c r="A266" s="2"/>
      <c r="B266" s="2"/>
      <c r="C266" s="73"/>
      <c r="D266" s="73"/>
      <c r="E266" s="73"/>
      <c r="F266" s="73"/>
      <c r="G266" s="73"/>
      <c r="H266" s="73"/>
      <c r="I266" s="73"/>
      <c r="J266" s="73"/>
      <c r="K266" s="191"/>
      <c r="L266" s="191"/>
      <c r="M266" s="74"/>
      <c r="N266" s="2"/>
      <c r="O266" s="2"/>
      <c r="P266" s="2"/>
      <c r="Q266" s="2"/>
      <c r="R266" s="2"/>
    </row>
    <row r="267" spans="1:18" x14ac:dyDescent="0.2">
      <c r="A267" s="2"/>
      <c r="B267" s="2"/>
      <c r="C267" s="73"/>
      <c r="D267" s="73"/>
      <c r="E267" s="73"/>
      <c r="F267" s="73"/>
      <c r="G267" s="73"/>
      <c r="H267" s="73"/>
      <c r="I267" s="73"/>
      <c r="J267" s="73"/>
      <c r="K267" s="191"/>
      <c r="L267" s="191"/>
      <c r="M267" s="74"/>
      <c r="N267" s="2"/>
      <c r="O267" s="2"/>
      <c r="P267" s="2"/>
      <c r="Q267" s="2"/>
      <c r="R267" s="2"/>
    </row>
    <row r="268" spans="1:18" x14ac:dyDescent="0.2">
      <c r="A268" s="2"/>
      <c r="B268" s="2"/>
      <c r="C268" s="73"/>
      <c r="D268" s="73"/>
      <c r="E268" s="73"/>
      <c r="F268" s="73"/>
      <c r="G268" s="73"/>
      <c r="H268" s="73"/>
      <c r="I268" s="73"/>
      <c r="J268" s="73"/>
      <c r="K268" s="191"/>
      <c r="L268" s="191"/>
      <c r="M268" s="74"/>
      <c r="N268" s="2"/>
      <c r="O268" s="2"/>
      <c r="P268" s="2"/>
      <c r="Q268" s="2"/>
      <c r="R268" s="2"/>
    </row>
    <row r="269" spans="1:18" x14ac:dyDescent="0.2">
      <c r="A269" s="2"/>
      <c r="B269" s="2"/>
      <c r="C269" s="73"/>
      <c r="D269" s="73"/>
      <c r="E269" s="73"/>
      <c r="F269" s="73"/>
      <c r="G269" s="73"/>
      <c r="H269" s="73"/>
      <c r="I269" s="73"/>
      <c r="J269" s="73"/>
      <c r="K269" s="191"/>
      <c r="L269" s="191"/>
      <c r="M269" s="74"/>
      <c r="N269" s="2"/>
      <c r="O269" s="2"/>
      <c r="P269" s="2"/>
      <c r="Q269" s="2"/>
      <c r="R269" s="2"/>
    </row>
    <row r="270" spans="1:18" x14ac:dyDescent="0.2">
      <c r="A270" s="2"/>
      <c r="B270" s="2"/>
      <c r="C270" s="73"/>
      <c r="D270" s="73"/>
      <c r="E270" s="73"/>
      <c r="F270" s="73"/>
      <c r="G270" s="73"/>
      <c r="H270" s="73"/>
      <c r="I270" s="73"/>
      <c r="J270" s="73"/>
      <c r="K270" s="191"/>
      <c r="L270" s="191"/>
      <c r="M270" s="74"/>
      <c r="N270" s="2"/>
      <c r="O270" s="2"/>
      <c r="P270" s="2"/>
      <c r="Q270" s="2"/>
      <c r="R270" s="2"/>
    </row>
    <row r="271" spans="1:18" x14ac:dyDescent="0.2">
      <c r="A271" s="2"/>
      <c r="B271" s="2"/>
      <c r="C271" s="73"/>
      <c r="D271" s="73"/>
      <c r="E271" s="73"/>
      <c r="F271" s="73"/>
      <c r="G271" s="73"/>
      <c r="H271" s="73"/>
      <c r="I271" s="73"/>
      <c r="J271" s="73"/>
      <c r="K271" s="191"/>
      <c r="L271" s="191"/>
      <c r="M271" s="74"/>
      <c r="N271" s="2"/>
      <c r="O271" s="2"/>
      <c r="P271" s="2"/>
      <c r="Q271" s="2"/>
      <c r="R271" s="2"/>
    </row>
    <row r="272" spans="1:18" x14ac:dyDescent="0.2">
      <c r="A272" s="2"/>
      <c r="B272" s="2"/>
      <c r="C272" s="73"/>
      <c r="D272" s="73"/>
      <c r="E272" s="73"/>
      <c r="F272" s="73"/>
      <c r="G272" s="73"/>
      <c r="H272" s="73"/>
      <c r="I272" s="73"/>
      <c r="J272" s="73"/>
      <c r="K272" s="191"/>
      <c r="L272" s="191"/>
      <c r="M272" s="74"/>
      <c r="N272" s="2"/>
      <c r="O272" s="2"/>
      <c r="P272" s="2"/>
      <c r="Q272" s="2"/>
      <c r="R272" s="2"/>
    </row>
    <row r="273" spans="1:18" x14ac:dyDescent="0.2">
      <c r="A273" s="2"/>
      <c r="B273" s="2"/>
      <c r="C273" s="73"/>
      <c r="D273" s="73"/>
      <c r="E273" s="73"/>
      <c r="F273" s="73"/>
      <c r="G273" s="73"/>
      <c r="H273" s="73"/>
      <c r="I273" s="73"/>
      <c r="J273" s="73"/>
      <c r="K273" s="191"/>
      <c r="L273" s="191"/>
      <c r="M273" s="74"/>
      <c r="N273" s="2"/>
      <c r="O273" s="2"/>
      <c r="P273" s="2"/>
      <c r="Q273" s="2"/>
      <c r="R273" s="2"/>
    </row>
    <row r="274" spans="1:18" x14ac:dyDescent="0.2">
      <c r="A274" s="2"/>
      <c r="B274" s="2"/>
      <c r="C274" s="73"/>
      <c r="D274" s="73"/>
      <c r="E274" s="73"/>
      <c r="F274" s="73"/>
      <c r="G274" s="73"/>
      <c r="H274" s="73"/>
      <c r="I274" s="73"/>
      <c r="J274" s="73"/>
      <c r="K274" s="191"/>
      <c r="L274" s="191"/>
      <c r="M274" s="74"/>
      <c r="N274" s="2"/>
      <c r="O274" s="2"/>
      <c r="P274" s="2"/>
      <c r="Q274" s="2"/>
      <c r="R274" s="2"/>
    </row>
    <row r="275" spans="1:18" x14ac:dyDescent="0.2">
      <c r="A275" s="2"/>
      <c r="B275" s="2"/>
      <c r="C275" s="73"/>
      <c r="D275" s="73"/>
      <c r="E275" s="73"/>
      <c r="F275" s="73"/>
      <c r="G275" s="73"/>
      <c r="H275" s="73"/>
      <c r="I275" s="73"/>
      <c r="J275" s="73"/>
      <c r="K275" s="191"/>
      <c r="L275" s="191"/>
      <c r="M275" s="74"/>
      <c r="N275" s="2"/>
      <c r="O275" s="2"/>
      <c r="P275" s="2"/>
      <c r="Q275" s="2"/>
      <c r="R275" s="2"/>
    </row>
    <row r="276" spans="1:18" x14ac:dyDescent="0.2">
      <c r="A276" s="2"/>
      <c r="B276" s="2"/>
      <c r="C276" s="73"/>
      <c r="D276" s="73"/>
      <c r="E276" s="73"/>
      <c r="F276" s="73"/>
      <c r="G276" s="73"/>
      <c r="H276" s="73"/>
      <c r="I276" s="73"/>
      <c r="J276" s="73"/>
      <c r="K276" s="191"/>
      <c r="L276" s="191"/>
      <c r="M276" s="74"/>
      <c r="N276" s="2"/>
      <c r="O276" s="2"/>
      <c r="P276" s="2"/>
      <c r="Q276" s="2"/>
      <c r="R276" s="2"/>
    </row>
    <row r="277" spans="1:18" x14ac:dyDescent="0.2">
      <c r="A277" s="2"/>
      <c r="B277" s="2"/>
      <c r="C277" s="73"/>
      <c r="D277" s="73"/>
      <c r="E277" s="73"/>
      <c r="F277" s="73"/>
      <c r="G277" s="73"/>
      <c r="H277" s="73"/>
      <c r="I277" s="73"/>
      <c r="J277" s="73"/>
      <c r="K277" s="191"/>
      <c r="L277" s="191"/>
      <c r="M277" s="74"/>
      <c r="N277" s="2"/>
      <c r="O277" s="2"/>
      <c r="P277" s="2"/>
      <c r="Q277" s="2"/>
      <c r="R277" s="2"/>
    </row>
    <row r="278" spans="1:18" x14ac:dyDescent="0.2">
      <c r="A278" s="2"/>
      <c r="B278" s="2"/>
      <c r="C278" s="73"/>
      <c r="D278" s="73"/>
      <c r="E278" s="73"/>
      <c r="F278" s="73"/>
      <c r="G278" s="73"/>
      <c r="H278" s="73"/>
      <c r="I278" s="73"/>
      <c r="J278" s="73"/>
      <c r="K278" s="191"/>
      <c r="L278" s="191"/>
      <c r="M278" s="74"/>
      <c r="N278" s="2"/>
      <c r="O278" s="2"/>
      <c r="P278" s="2"/>
      <c r="Q278" s="2"/>
      <c r="R278" s="2"/>
    </row>
    <row r="279" spans="1:18" x14ac:dyDescent="0.2">
      <c r="A279" s="2"/>
      <c r="B279" s="2"/>
      <c r="C279" s="73"/>
      <c r="D279" s="73"/>
      <c r="E279" s="73"/>
      <c r="F279" s="73"/>
      <c r="G279" s="73"/>
      <c r="H279" s="73"/>
      <c r="I279" s="73"/>
      <c r="J279" s="73"/>
      <c r="K279" s="191"/>
      <c r="L279" s="191"/>
      <c r="M279" s="74"/>
      <c r="N279" s="2"/>
      <c r="O279" s="2"/>
      <c r="P279" s="2"/>
      <c r="Q279" s="2"/>
      <c r="R279" s="2"/>
    </row>
    <row r="280" spans="1:18" x14ac:dyDescent="0.2">
      <c r="A280" s="2"/>
      <c r="B280" s="2"/>
      <c r="C280" s="73"/>
      <c r="D280" s="73"/>
      <c r="E280" s="73"/>
      <c r="F280" s="73"/>
      <c r="G280" s="73"/>
      <c r="H280" s="73"/>
      <c r="I280" s="73"/>
      <c r="J280" s="73"/>
      <c r="K280" s="191"/>
      <c r="L280" s="191"/>
      <c r="M280" s="74"/>
      <c r="N280" s="2"/>
      <c r="O280" s="2"/>
      <c r="P280" s="2"/>
      <c r="Q280" s="2"/>
      <c r="R280" s="2"/>
    </row>
    <row r="281" spans="1:18" x14ac:dyDescent="0.2">
      <c r="A281" s="2"/>
      <c r="B281" s="2"/>
      <c r="C281" s="73"/>
      <c r="D281" s="73"/>
      <c r="E281" s="73"/>
      <c r="F281" s="73"/>
      <c r="G281" s="73"/>
      <c r="H281" s="73"/>
      <c r="I281" s="73"/>
      <c r="J281" s="73"/>
      <c r="K281" s="191"/>
      <c r="L281" s="191"/>
      <c r="M281" s="74"/>
      <c r="N281" s="2"/>
      <c r="O281" s="2"/>
      <c r="P281" s="2"/>
      <c r="Q281" s="2"/>
      <c r="R281" s="2"/>
    </row>
    <row r="282" spans="1:18" x14ac:dyDescent="0.2">
      <c r="A282" s="2"/>
      <c r="B282" s="2"/>
      <c r="C282" s="73"/>
      <c r="D282" s="73"/>
      <c r="E282" s="73"/>
      <c r="F282" s="73"/>
      <c r="G282" s="73"/>
      <c r="H282" s="73"/>
      <c r="I282" s="73"/>
      <c r="J282" s="73"/>
      <c r="K282" s="191"/>
      <c r="L282" s="191"/>
      <c r="M282" s="74"/>
      <c r="N282" s="2"/>
      <c r="O282" s="2"/>
      <c r="P282" s="2"/>
      <c r="Q282" s="2"/>
      <c r="R282" s="2"/>
    </row>
    <row r="283" spans="1:18" x14ac:dyDescent="0.2">
      <c r="A283" s="2"/>
      <c r="B283" s="2"/>
      <c r="C283" s="73"/>
      <c r="D283" s="73"/>
      <c r="E283" s="73"/>
      <c r="F283" s="73"/>
      <c r="G283" s="73"/>
      <c r="H283" s="73"/>
      <c r="I283" s="73"/>
      <c r="J283" s="73"/>
      <c r="K283" s="191"/>
      <c r="L283" s="191"/>
      <c r="M283" s="74"/>
      <c r="N283" s="2"/>
      <c r="O283" s="2"/>
      <c r="P283" s="2"/>
      <c r="Q283" s="2"/>
      <c r="R283" s="2"/>
    </row>
    <row r="284" spans="1:18" x14ac:dyDescent="0.2">
      <c r="A284" s="2"/>
      <c r="B284" s="2"/>
      <c r="C284" s="73"/>
      <c r="D284" s="73"/>
      <c r="E284" s="73"/>
      <c r="F284" s="73"/>
      <c r="G284" s="73"/>
      <c r="H284" s="73"/>
      <c r="I284" s="73"/>
      <c r="J284" s="73"/>
      <c r="K284" s="191"/>
      <c r="L284" s="191"/>
      <c r="M284" s="74"/>
      <c r="N284" s="2"/>
      <c r="O284" s="2"/>
      <c r="P284" s="2"/>
      <c r="Q284" s="2"/>
      <c r="R284" s="2"/>
    </row>
    <row r="285" spans="1:18" x14ac:dyDescent="0.2">
      <c r="A285" s="2"/>
      <c r="B285" s="2"/>
      <c r="C285" s="73"/>
      <c r="D285" s="73"/>
      <c r="E285" s="73"/>
      <c r="F285" s="73"/>
      <c r="G285" s="73"/>
      <c r="H285" s="73"/>
      <c r="I285" s="73"/>
      <c r="J285" s="73"/>
      <c r="K285" s="191"/>
      <c r="L285" s="191"/>
      <c r="M285" s="74"/>
      <c r="N285" s="2"/>
      <c r="O285" s="2"/>
      <c r="P285" s="2"/>
      <c r="Q285" s="2"/>
      <c r="R285" s="2"/>
    </row>
    <row r="286" spans="1:18" x14ac:dyDescent="0.2">
      <c r="A286" s="2"/>
      <c r="B286" s="2"/>
      <c r="C286" s="73"/>
      <c r="D286" s="73"/>
      <c r="E286" s="73"/>
      <c r="F286" s="73"/>
      <c r="G286" s="73"/>
      <c r="H286" s="73"/>
      <c r="I286" s="73"/>
      <c r="J286" s="73"/>
      <c r="K286" s="191"/>
      <c r="L286" s="191"/>
      <c r="M286" s="74"/>
      <c r="N286" s="2"/>
      <c r="O286" s="2"/>
      <c r="P286" s="2"/>
      <c r="Q286" s="2"/>
      <c r="R286" s="2"/>
    </row>
    <row r="287" spans="1:18" x14ac:dyDescent="0.2">
      <c r="A287" s="2"/>
      <c r="B287" s="2"/>
      <c r="C287" s="73"/>
      <c r="D287" s="73"/>
      <c r="E287" s="73"/>
      <c r="F287" s="73"/>
      <c r="G287" s="73"/>
      <c r="H287" s="73"/>
      <c r="I287" s="73"/>
      <c r="J287" s="73"/>
      <c r="K287" s="191"/>
      <c r="L287" s="191"/>
      <c r="M287" s="74"/>
      <c r="N287" s="2"/>
      <c r="O287" s="2"/>
      <c r="P287" s="2"/>
      <c r="Q287" s="2"/>
      <c r="R287" s="2"/>
    </row>
    <row r="288" spans="1:18" x14ac:dyDescent="0.2">
      <c r="A288" s="2"/>
      <c r="B288" s="2"/>
      <c r="C288" s="73"/>
      <c r="D288" s="73"/>
      <c r="E288" s="73"/>
      <c r="F288" s="73"/>
      <c r="G288" s="73"/>
      <c r="H288" s="73"/>
      <c r="I288" s="73"/>
      <c r="J288" s="73"/>
      <c r="K288" s="191"/>
      <c r="L288" s="191"/>
      <c r="M288" s="74"/>
      <c r="N288" s="2"/>
      <c r="O288" s="2"/>
      <c r="P288" s="2"/>
      <c r="Q288" s="2"/>
      <c r="R288" s="2"/>
    </row>
    <row r="289" spans="1:18" x14ac:dyDescent="0.2">
      <c r="A289" s="2"/>
      <c r="B289" s="2"/>
      <c r="C289" s="73"/>
      <c r="D289" s="73"/>
      <c r="E289" s="73"/>
      <c r="F289" s="73"/>
      <c r="G289" s="73"/>
      <c r="H289" s="73"/>
      <c r="I289" s="73"/>
      <c r="J289" s="73"/>
      <c r="K289" s="191"/>
      <c r="L289" s="191"/>
      <c r="M289" s="74"/>
      <c r="N289" s="2"/>
      <c r="O289" s="2"/>
      <c r="P289" s="2"/>
      <c r="Q289" s="2"/>
      <c r="R289" s="2"/>
    </row>
    <row r="290" spans="1:18" x14ac:dyDescent="0.2">
      <c r="A290" s="2"/>
      <c r="B290" s="2"/>
      <c r="C290" s="73"/>
      <c r="D290" s="73"/>
      <c r="E290" s="73"/>
      <c r="F290" s="73"/>
      <c r="G290" s="73"/>
      <c r="H290" s="73"/>
      <c r="I290" s="73"/>
      <c r="J290" s="73"/>
      <c r="K290" s="191"/>
      <c r="L290" s="191"/>
      <c r="M290" s="74"/>
      <c r="N290" s="2"/>
      <c r="O290" s="2"/>
      <c r="P290" s="2"/>
      <c r="Q290" s="2"/>
      <c r="R290" s="2"/>
    </row>
    <row r="291" spans="1:18" x14ac:dyDescent="0.2">
      <c r="A291" s="2"/>
      <c r="B291" s="2"/>
      <c r="C291" s="73"/>
      <c r="D291" s="73"/>
      <c r="E291" s="73"/>
      <c r="F291" s="73"/>
      <c r="G291" s="73"/>
      <c r="H291" s="73"/>
      <c r="I291" s="73"/>
      <c r="J291" s="73"/>
      <c r="K291" s="191"/>
      <c r="L291" s="191"/>
      <c r="M291" s="74"/>
      <c r="N291" s="2"/>
      <c r="O291" s="2"/>
      <c r="P291" s="2"/>
      <c r="Q291" s="2"/>
      <c r="R291" s="2"/>
    </row>
    <row r="292" spans="1:18" x14ac:dyDescent="0.2">
      <c r="A292" s="2"/>
      <c r="B292" s="2"/>
      <c r="C292" s="73"/>
      <c r="D292" s="73"/>
      <c r="E292" s="73"/>
      <c r="F292" s="73"/>
      <c r="G292" s="73"/>
      <c r="H292" s="73"/>
      <c r="I292" s="73"/>
      <c r="J292" s="73"/>
      <c r="K292" s="191"/>
      <c r="L292" s="191"/>
      <c r="M292" s="74"/>
      <c r="N292" s="2"/>
      <c r="O292" s="2"/>
      <c r="P292" s="2"/>
      <c r="Q292" s="2"/>
      <c r="R292" s="2"/>
    </row>
    <row r="293" spans="1:18" x14ac:dyDescent="0.2">
      <c r="A293" s="2"/>
      <c r="B293" s="2"/>
      <c r="C293" s="73"/>
      <c r="D293" s="73"/>
      <c r="E293" s="73"/>
      <c r="F293" s="73"/>
      <c r="G293" s="73"/>
      <c r="H293" s="73"/>
      <c r="I293" s="73"/>
      <c r="J293" s="73"/>
      <c r="K293" s="191"/>
      <c r="L293" s="191"/>
      <c r="M293" s="74"/>
      <c r="N293" s="2"/>
      <c r="O293" s="2"/>
      <c r="P293" s="2"/>
      <c r="Q293" s="2"/>
      <c r="R293" s="2"/>
    </row>
    <row r="294" spans="1:18" x14ac:dyDescent="0.2">
      <c r="A294" s="2"/>
      <c r="B294" s="2"/>
      <c r="C294" s="73"/>
      <c r="D294" s="73"/>
      <c r="E294" s="73"/>
      <c r="F294" s="73"/>
      <c r="G294" s="73"/>
      <c r="H294" s="73"/>
      <c r="I294" s="73"/>
      <c r="J294" s="73"/>
      <c r="K294" s="191"/>
      <c r="L294" s="191"/>
      <c r="M294" s="74"/>
      <c r="N294" s="2"/>
      <c r="O294" s="2"/>
      <c r="P294" s="2"/>
      <c r="Q294" s="2"/>
      <c r="R294" s="2"/>
    </row>
    <row r="295" spans="1:18" x14ac:dyDescent="0.2">
      <c r="A295" s="2"/>
      <c r="B295" s="2"/>
      <c r="C295" s="73"/>
      <c r="D295" s="73"/>
      <c r="E295" s="73"/>
      <c r="F295" s="73"/>
      <c r="G295" s="73"/>
      <c r="H295" s="73"/>
      <c r="I295" s="73"/>
      <c r="J295" s="73"/>
      <c r="K295" s="191"/>
      <c r="L295" s="191"/>
      <c r="M295" s="74"/>
      <c r="N295" s="2"/>
      <c r="O295" s="2"/>
      <c r="P295" s="2"/>
      <c r="Q295" s="2"/>
      <c r="R295" s="2"/>
    </row>
    <row r="296" spans="1:18" x14ac:dyDescent="0.2">
      <c r="A296" s="2"/>
      <c r="B296" s="2"/>
      <c r="C296" s="73"/>
      <c r="D296" s="73"/>
      <c r="E296" s="73"/>
      <c r="F296" s="73"/>
      <c r="G296" s="73"/>
      <c r="H296" s="73"/>
      <c r="I296" s="73"/>
      <c r="J296" s="73"/>
      <c r="K296" s="191"/>
      <c r="L296" s="191"/>
      <c r="M296" s="74"/>
      <c r="N296" s="2"/>
      <c r="O296" s="2"/>
      <c r="P296" s="2"/>
      <c r="Q296" s="2"/>
      <c r="R296" s="2"/>
    </row>
    <row r="297" spans="1:18" x14ac:dyDescent="0.2">
      <c r="A297" s="2"/>
      <c r="B297" s="2"/>
      <c r="C297" s="73"/>
      <c r="D297" s="73"/>
      <c r="E297" s="73"/>
      <c r="F297" s="73"/>
      <c r="G297" s="73"/>
      <c r="H297" s="73"/>
      <c r="I297" s="73"/>
      <c r="J297" s="73"/>
      <c r="K297" s="191"/>
      <c r="L297" s="191"/>
      <c r="M297" s="74"/>
      <c r="N297" s="2"/>
      <c r="O297" s="2"/>
      <c r="P297" s="2"/>
      <c r="Q297" s="2"/>
      <c r="R297" s="2"/>
    </row>
    <row r="298" spans="1:18" x14ac:dyDescent="0.2">
      <c r="A298" s="2"/>
      <c r="B298" s="2"/>
      <c r="C298" s="73"/>
      <c r="D298" s="73"/>
      <c r="E298" s="73"/>
      <c r="F298" s="73"/>
      <c r="G298" s="73"/>
      <c r="H298" s="73"/>
      <c r="I298" s="73"/>
      <c r="J298" s="73"/>
      <c r="K298" s="191"/>
      <c r="L298" s="191"/>
      <c r="M298" s="74"/>
      <c r="N298" s="2"/>
      <c r="O298" s="2"/>
      <c r="P298" s="2"/>
      <c r="Q298" s="2"/>
      <c r="R298" s="2"/>
    </row>
    <row r="299" spans="1:18" x14ac:dyDescent="0.2">
      <c r="A299" s="2"/>
      <c r="B299" s="2"/>
      <c r="C299" s="73"/>
      <c r="D299" s="73"/>
      <c r="E299" s="73"/>
      <c r="F299" s="73"/>
      <c r="G299" s="73"/>
      <c r="H299" s="73"/>
      <c r="I299" s="73"/>
      <c r="J299" s="73"/>
      <c r="K299" s="191"/>
      <c r="L299" s="191"/>
      <c r="M299" s="74"/>
      <c r="N299" s="2"/>
      <c r="O299" s="2"/>
      <c r="P299" s="2"/>
      <c r="Q299" s="2"/>
      <c r="R299" s="2"/>
    </row>
    <row r="300" spans="1:18" x14ac:dyDescent="0.2">
      <c r="A300" s="2"/>
      <c r="B300" s="2"/>
      <c r="C300" s="73"/>
      <c r="D300" s="73"/>
      <c r="E300" s="73"/>
      <c r="F300" s="73"/>
      <c r="G300" s="73"/>
      <c r="H300" s="73"/>
      <c r="I300" s="73"/>
      <c r="J300" s="73"/>
      <c r="K300" s="191"/>
      <c r="L300" s="191"/>
      <c r="M300" s="74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1"/>
      <c r="L301" s="191"/>
      <c r="M301" s="74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1"/>
      <c r="L302" s="191"/>
      <c r="M302" s="74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1"/>
      <c r="L303" s="191"/>
      <c r="M303" s="74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1"/>
      <c r="L304" s="191"/>
      <c r="M304" s="74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1"/>
      <c r="L305" s="191"/>
      <c r="M305" s="74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1"/>
      <c r="L306" s="191"/>
      <c r="M306" s="74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1"/>
      <c r="L307" s="191"/>
      <c r="M307" s="74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1"/>
      <c r="L308" s="191"/>
      <c r="M308" s="74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1"/>
      <c r="L309" s="191"/>
      <c r="M309" s="74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1"/>
      <c r="L310" s="191"/>
      <c r="M310" s="74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1"/>
      <c r="L311" s="191"/>
      <c r="M311" s="74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1"/>
      <c r="L312" s="191"/>
      <c r="M312" s="74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1"/>
      <c r="L313" s="191"/>
      <c r="M313" s="74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1"/>
      <c r="L314" s="191"/>
      <c r="M314" s="74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1"/>
      <c r="L315" s="191"/>
      <c r="M315" s="74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1"/>
      <c r="L316" s="191"/>
      <c r="M316" s="74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1"/>
      <c r="L317" s="191"/>
      <c r="M317" s="74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1"/>
      <c r="L318" s="191"/>
      <c r="M318" s="74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1"/>
      <c r="L319" s="191"/>
      <c r="M319" s="74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1"/>
      <c r="L320" s="191"/>
      <c r="M320" s="74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1"/>
      <c r="L321" s="191"/>
      <c r="M321" s="74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1"/>
      <c r="L322" s="191"/>
      <c r="M322" s="74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1"/>
      <c r="L323" s="191"/>
      <c r="M323" s="74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1"/>
      <c r="L324" s="191"/>
      <c r="M324" s="74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1"/>
      <c r="L325" s="191"/>
      <c r="M325" s="74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1"/>
      <c r="L326" s="191"/>
      <c r="M326" s="74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1"/>
      <c r="L327" s="191"/>
      <c r="M327" s="74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1"/>
      <c r="L328" s="191"/>
      <c r="M328" s="74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1"/>
      <c r="L329" s="191"/>
      <c r="M329" s="74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1"/>
      <c r="L330" s="191"/>
      <c r="M330" s="74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1"/>
      <c r="L331" s="191"/>
      <c r="M331" s="74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1"/>
      <c r="L332" s="191"/>
      <c r="M332" s="74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1"/>
      <c r="L333" s="191"/>
      <c r="M333" s="74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1"/>
      <c r="L334" s="191"/>
      <c r="M334" s="74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1"/>
      <c r="L335" s="191"/>
      <c r="M335" s="74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1"/>
      <c r="L336" s="191"/>
      <c r="M336" s="74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1"/>
      <c r="L337" s="191"/>
      <c r="M337" s="74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1"/>
      <c r="L338" s="191"/>
      <c r="M338" s="74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1"/>
      <c r="L339" s="191"/>
      <c r="M339" s="74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1"/>
      <c r="L340" s="191"/>
      <c r="M340" s="74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1"/>
      <c r="L341" s="191"/>
      <c r="M341" s="74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1"/>
      <c r="L342" s="191"/>
      <c r="M342" s="74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1"/>
      <c r="L343" s="191"/>
      <c r="M343" s="74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1"/>
      <c r="L344" s="191"/>
      <c r="M344" s="74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1"/>
      <c r="L345" s="191"/>
      <c r="M345" s="74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1"/>
      <c r="L346" s="191"/>
      <c r="M346" s="74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1"/>
      <c r="L347" s="191"/>
      <c r="M347" s="74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1"/>
      <c r="L348" s="191"/>
      <c r="M348" s="74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1"/>
      <c r="L349" s="191"/>
      <c r="M349" s="74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1"/>
      <c r="L350" s="191"/>
      <c r="M350" s="74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1"/>
      <c r="L351" s="191"/>
      <c r="M351" s="74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1"/>
      <c r="L352" s="191"/>
      <c r="M352" s="74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1"/>
      <c r="L353" s="191"/>
      <c r="M353" s="74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1"/>
      <c r="L354" s="191"/>
      <c r="M354" s="74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1"/>
      <c r="L355" s="191"/>
      <c r="M355" s="74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1"/>
      <c r="L356" s="191"/>
      <c r="M356" s="74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1"/>
      <c r="L357" s="191"/>
      <c r="M357" s="74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1"/>
      <c r="L358" s="191"/>
      <c r="M358" s="74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1"/>
      <c r="L359" s="191"/>
      <c r="M359" s="74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1"/>
      <c r="L360" s="191"/>
      <c r="M360" s="74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1"/>
      <c r="L361" s="191"/>
      <c r="M361" s="74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1"/>
      <c r="L362" s="191"/>
      <c r="M362" s="74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1"/>
      <c r="L363" s="191"/>
      <c r="M363" s="74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1"/>
      <c r="L364" s="191"/>
      <c r="M364" s="74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1"/>
      <c r="L365" s="191"/>
      <c r="M365" s="74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1"/>
      <c r="L366" s="191"/>
      <c r="M366" s="74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1"/>
      <c r="L367" s="191"/>
      <c r="M367" s="74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1"/>
      <c r="L368" s="191"/>
      <c r="M368" s="74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1"/>
      <c r="L369" s="191"/>
      <c r="M369" s="74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1"/>
      <c r="L370" s="191"/>
      <c r="M370" s="74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1"/>
      <c r="L371" s="191"/>
      <c r="M371" s="74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1"/>
      <c r="L372" s="191"/>
      <c r="M372" s="74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1"/>
      <c r="L373" s="191"/>
      <c r="M373" s="74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1"/>
      <c r="L374" s="191"/>
      <c r="M374" s="74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1"/>
      <c r="L375" s="191"/>
      <c r="M375" s="74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1"/>
      <c r="L376" s="191"/>
      <c r="M376" s="74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1"/>
      <c r="L377" s="191"/>
      <c r="M377" s="74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1"/>
      <c r="L378" s="191"/>
      <c r="M378" s="74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1"/>
      <c r="L379" s="191"/>
      <c r="M379" s="74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1"/>
      <c r="L380" s="191"/>
      <c r="M380" s="74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1"/>
      <c r="L381" s="191"/>
      <c r="M381" s="74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1"/>
      <c r="L382" s="191"/>
      <c r="M382" s="74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1"/>
      <c r="L383" s="191"/>
      <c r="M383" s="74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1"/>
      <c r="L384" s="191"/>
      <c r="M384" s="74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1"/>
      <c r="L385" s="191"/>
      <c r="M385" s="74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1"/>
      <c r="L386" s="191"/>
      <c r="M386" s="74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1"/>
      <c r="L387" s="191"/>
      <c r="M387" s="74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1"/>
      <c r="L388" s="191"/>
      <c r="M388" s="74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1"/>
      <c r="L389" s="191"/>
      <c r="M389" s="74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1"/>
      <c r="L390" s="191"/>
      <c r="M390" s="74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1"/>
      <c r="L391" s="191"/>
      <c r="M391" s="74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1"/>
      <c r="L392" s="191"/>
      <c r="M392" s="74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1"/>
      <c r="L393" s="191"/>
      <c r="M393" s="74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1"/>
      <c r="L394" s="191"/>
      <c r="M394" s="74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1"/>
      <c r="L395" s="191"/>
      <c r="M395" s="74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1"/>
      <c r="L396" s="191"/>
      <c r="M396" s="74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1"/>
      <c r="L397" s="191"/>
      <c r="M397" s="74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1"/>
      <c r="L398" s="191"/>
      <c r="M398" s="74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1"/>
      <c r="L399" s="191"/>
      <c r="M399" s="74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1"/>
      <c r="L400" s="191"/>
      <c r="M400" s="74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1"/>
      <c r="L401" s="191"/>
      <c r="M401" s="74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1"/>
      <c r="L402" s="191"/>
      <c r="M402" s="74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1"/>
      <c r="L403" s="191"/>
      <c r="M403" s="74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1"/>
      <c r="L404" s="191"/>
      <c r="M404" s="74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1"/>
      <c r="L405" s="191"/>
      <c r="M405" s="74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1"/>
      <c r="L406" s="191"/>
      <c r="M406" s="74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1"/>
      <c r="L407" s="191"/>
      <c r="M407" s="74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1"/>
      <c r="L408" s="191"/>
      <c r="M408" s="74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1"/>
      <c r="L409" s="191"/>
      <c r="M409" s="74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1"/>
      <c r="L410" s="191"/>
      <c r="M410" s="74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1"/>
      <c r="L411" s="191"/>
      <c r="M411" s="74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1"/>
      <c r="L412" s="191"/>
      <c r="M412" s="74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1"/>
      <c r="L413" s="191"/>
      <c r="M413" s="74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1"/>
      <c r="L414" s="191"/>
      <c r="M414" s="74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1"/>
      <c r="L415" s="191"/>
      <c r="M415" s="74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1"/>
      <c r="L416" s="191"/>
      <c r="M416" s="74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1"/>
      <c r="L417" s="191"/>
      <c r="M417" s="74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1"/>
      <c r="L418" s="191"/>
      <c r="M418" s="74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1"/>
      <c r="L419" s="191"/>
      <c r="M419" s="74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1"/>
      <c r="L420" s="191"/>
      <c r="M420" s="74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1"/>
      <c r="L421" s="191"/>
      <c r="M421" s="74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1"/>
      <c r="L422" s="191"/>
      <c r="M422" s="74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1"/>
      <c r="L423" s="191"/>
      <c r="M423" s="74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1"/>
      <c r="L424" s="191"/>
      <c r="M424" s="74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1"/>
      <c r="L425" s="191"/>
      <c r="M425" s="74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1"/>
      <c r="L426" s="191"/>
      <c r="M426" s="74"/>
      <c r="N426" s="2"/>
      <c r="O426" s="2"/>
      <c r="P426" s="2"/>
      <c r="Q426" s="2"/>
      <c r="R426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3" manualBreakCount="3">
    <brk id="51" max="12" man="1"/>
    <brk id="95" max="12" man="1"/>
    <brk id="13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79" customWidth="1"/>
    <col min="2" max="2" width="9.77734375" style="79" customWidth="1"/>
    <col min="3" max="3" width="16.109375" style="79" customWidth="1"/>
    <col min="4" max="4" width="26.21875" style="79" customWidth="1"/>
    <col min="5" max="6" width="13.6640625" style="79" customWidth="1"/>
    <col min="7" max="7" width="16" style="79" customWidth="1"/>
    <col min="8" max="8" width="12.44140625" style="79" customWidth="1"/>
    <col min="9" max="9" width="15.88671875" style="79" customWidth="1"/>
    <col min="10" max="10" width="14.6640625" style="79" customWidth="1"/>
    <col min="11" max="11" width="11.5546875" style="79" customWidth="1"/>
    <col min="12" max="12" width="12.77734375" style="79" customWidth="1"/>
    <col min="13" max="13" width="14.5546875" style="79" customWidth="1"/>
    <col min="14" max="14" width="10.109375" style="79" customWidth="1"/>
    <col min="15" max="15" width="13.44140625" style="79" customWidth="1"/>
    <col min="16" max="16" width="3.77734375" style="79" customWidth="1"/>
    <col min="17" max="16384" width="9.6640625" style="79"/>
  </cols>
  <sheetData>
    <row r="1" spans="1:16" ht="23.25" x14ac:dyDescent="0.35">
      <c r="A1" s="77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23.25" x14ac:dyDescent="0.35">
      <c r="A2" s="77" t="s">
        <v>21</v>
      </c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23.25" x14ac:dyDescent="0.35">
      <c r="A3" s="281" t="s">
        <v>74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23.25" x14ac:dyDescent="0.35">
      <c r="A4" s="77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24" thickBot="1" x14ac:dyDescent="0.4">
      <c r="A5" s="77" t="s">
        <v>22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6.5" thickTop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 t="s">
        <v>23</v>
      </c>
      <c r="P6" s="82"/>
    </row>
    <row r="7" spans="1:16" ht="15.75" x14ac:dyDescent="0.25">
      <c r="A7" s="104" t="s">
        <v>24</v>
      </c>
      <c r="B7" s="83" t="s">
        <v>13</v>
      </c>
      <c r="C7" s="83" t="s">
        <v>15</v>
      </c>
      <c r="D7" s="83" t="s">
        <v>62</v>
      </c>
      <c r="E7" s="274" t="s">
        <v>55</v>
      </c>
      <c r="F7" s="83" t="s">
        <v>60</v>
      </c>
      <c r="G7" s="83" t="s">
        <v>63</v>
      </c>
      <c r="H7" s="83" t="s">
        <v>68</v>
      </c>
      <c r="I7" s="83" t="s">
        <v>70</v>
      </c>
      <c r="J7" s="83" t="s">
        <v>25</v>
      </c>
      <c r="K7" s="83" t="s">
        <v>52</v>
      </c>
      <c r="L7" s="83" t="s">
        <v>50</v>
      </c>
      <c r="M7" s="83" t="s">
        <v>17</v>
      </c>
      <c r="N7" s="83" t="s">
        <v>51</v>
      </c>
      <c r="O7" s="83" t="s">
        <v>26</v>
      </c>
      <c r="P7" s="82"/>
    </row>
    <row r="8" spans="1:16" ht="16.5" thickBot="1" x14ac:dyDescent="0.3">
      <c r="A8" s="84"/>
      <c r="B8" s="84"/>
      <c r="C8" s="84"/>
      <c r="D8" s="84"/>
      <c r="E8" s="275"/>
      <c r="F8" s="84"/>
      <c r="G8" s="84"/>
      <c r="H8" s="84"/>
      <c r="I8" s="84"/>
      <c r="J8" s="84"/>
      <c r="K8" s="84"/>
      <c r="L8" s="84"/>
      <c r="M8" s="84"/>
      <c r="N8" s="84"/>
      <c r="O8" s="84"/>
      <c r="P8" s="82"/>
    </row>
    <row r="9" spans="1:16" ht="15.75" thickTop="1" x14ac:dyDescent="0.2">
      <c r="A9" s="85"/>
      <c r="B9" s="85"/>
      <c r="C9" s="85"/>
      <c r="D9" s="85"/>
      <c r="E9" s="86"/>
      <c r="F9" s="86"/>
      <c r="G9" s="86"/>
      <c r="H9" s="86"/>
      <c r="I9" s="86"/>
      <c r="J9" s="85"/>
      <c r="K9" s="85"/>
      <c r="L9" s="85"/>
      <c r="M9" s="85"/>
      <c r="N9" s="85"/>
      <c r="O9" s="85"/>
      <c r="P9" s="82"/>
    </row>
    <row r="10" spans="1:16" ht="15.75" x14ac:dyDescent="0.25">
      <c r="A10" s="87">
        <f>DATE(2024,7,1)</f>
        <v>45474</v>
      </c>
      <c r="B10" s="88">
        <f>'MONTHLY STATS'!$C$9*2</f>
        <v>365746</v>
      </c>
      <c r="C10" s="88">
        <f>'MONTHLY STATS'!$C$20*2</f>
        <v>188554</v>
      </c>
      <c r="D10" s="88">
        <f>'MONTHLY STATS'!$C$31*2</f>
        <v>107512</v>
      </c>
      <c r="E10" s="88">
        <f>'MONTHLY STATS'!$C$42*2</f>
        <v>636194</v>
      </c>
      <c r="F10" s="88">
        <f>'MONTHLY STATS'!$C$53*2</f>
        <v>329676</v>
      </c>
      <c r="G10" s="88">
        <f>'MONTHLY STATS'!$C$64*2</f>
        <v>185296</v>
      </c>
      <c r="H10" s="88">
        <f>'MONTHLY STATS'!$C$75*2</f>
        <v>515552</v>
      </c>
      <c r="I10" s="88">
        <f>'MONTHLY STATS'!$C$86*2</f>
        <v>359064</v>
      </c>
      <c r="J10" s="88">
        <f>'MONTHLY STATS'!$C$97*2</f>
        <v>482500</v>
      </c>
      <c r="K10" s="88">
        <f>'MONTHLY STATS'!$C$108*2</f>
        <v>662984</v>
      </c>
      <c r="L10" s="88">
        <f>'MONTHLY STATS'!$C$119*2</f>
        <v>78048</v>
      </c>
      <c r="M10" s="88">
        <f>'MONTHLY STATS'!$C$130*2</f>
        <v>637702</v>
      </c>
      <c r="N10" s="88">
        <f>'MONTHLY STATS'!$C$141*2</f>
        <v>123384</v>
      </c>
      <c r="O10" s="89">
        <f t="shared" ref="O10:O15" si="0">SUM(B10:N10)</f>
        <v>4672212</v>
      </c>
      <c r="P10" s="82"/>
    </row>
    <row r="11" spans="1:16" ht="15.75" x14ac:dyDescent="0.25">
      <c r="A11" s="87">
        <f>DATE(2024,8,1)</f>
        <v>45505</v>
      </c>
      <c r="B11" s="88">
        <f>'MONTHLY STATS'!$C$10*2</f>
        <v>387190</v>
      </c>
      <c r="C11" s="88">
        <f>'MONTHLY STATS'!$C$21*2</f>
        <v>191396</v>
      </c>
      <c r="D11" s="88">
        <f>'MONTHLY STATS'!$C$32*2</f>
        <v>109040</v>
      </c>
      <c r="E11" s="88">
        <f>'MONTHLY STATS'!$C$43*2</f>
        <v>680530</v>
      </c>
      <c r="F11" s="88">
        <f>'MONTHLY STATS'!$C$54*2</f>
        <v>350696</v>
      </c>
      <c r="G11" s="88">
        <f>'MONTHLY STATS'!$C$65*2</f>
        <v>190612</v>
      </c>
      <c r="H11" s="88">
        <f>'MONTHLY STATS'!$C$76*2</f>
        <v>524420</v>
      </c>
      <c r="I11" s="88">
        <f>'MONTHLY STATS'!$C$87*2</f>
        <v>369866</v>
      </c>
      <c r="J11" s="88">
        <f>'MONTHLY STATS'!$C$98*2</f>
        <v>504774</v>
      </c>
      <c r="K11" s="88">
        <f>'MONTHLY STATS'!$C$109*2</f>
        <v>714686</v>
      </c>
      <c r="L11" s="88">
        <f>'MONTHLY STATS'!$C$120*2</f>
        <v>74810</v>
      </c>
      <c r="M11" s="88">
        <f>'MONTHLY STATS'!$C$131*2</f>
        <v>667478</v>
      </c>
      <c r="N11" s="88">
        <f>'MONTHLY STATS'!$C$142*2</f>
        <v>132356</v>
      </c>
      <c r="O11" s="89">
        <f t="shared" si="0"/>
        <v>4897854</v>
      </c>
      <c r="P11" s="82"/>
    </row>
    <row r="12" spans="1:16" ht="15.75" x14ac:dyDescent="0.25">
      <c r="A12" s="87">
        <f>DATE(2024,9,1)</f>
        <v>45536</v>
      </c>
      <c r="B12" s="88">
        <f>'MONTHLY STATS'!$C$11*2</f>
        <v>351386</v>
      </c>
      <c r="C12" s="88">
        <f>'MONTHLY STATS'!$C$22*2</f>
        <v>182320</v>
      </c>
      <c r="D12" s="88">
        <f>'MONTHLY STATS'!$C$33*2</f>
        <v>100240</v>
      </c>
      <c r="E12" s="88">
        <f>'MONTHLY STATS'!$C$44*2</f>
        <v>612854</v>
      </c>
      <c r="F12" s="88">
        <f>'MONTHLY STATS'!$C$55*2</f>
        <v>321766</v>
      </c>
      <c r="G12" s="88">
        <f>'MONTHLY STATS'!$C$66*2</f>
        <v>183232</v>
      </c>
      <c r="H12" s="88">
        <f>'MONTHLY STATS'!$C$77*2</f>
        <v>482426</v>
      </c>
      <c r="I12" s="88">
        <f>'MONTHLY STATS'!$C$88*2</f>
        <v>338566</v>
      </c>
      <c r="J12" s="88">
        <f>'MONTHLY STATS'!$C$99*2</f>
        <v>452412</v>
      </c>
      <c r="K12" s="88">
        <f>'MONTHLY STATS'!$C$110*2</f>
        <v>641438</v>
      </c>
      <c r="L12" s="88">
        <f>'MONTHLY STATS'!$C$121*2</f>
        <v>67730</v>
      </c>
      <c r="M12" s="88">
        <f>'MONTHLY STATS'!$C$132*2</f>
        <v>590644</v>
      </c>
      <c r="N12" s="88">
        <f>'MONTHLY STATS'!$C$143*2</f>
        <v>115382</v>
      </c>
      <c r="O12" s="89">
        <f t="shared" si="0"/>
        <v>4440396</v>
      </c>
      <c r="P12" s="82"/>
    </row>
    <row r="13" spans="1:16" ht="15.75" x14ac:dyDescent="0.25">
      <c r="A13" s="87">
        <f>DATE(2024,10,1)</f>
        <v>45566</v>
      </c>
      <c r="B13" s="88">
        <f>'MONTHLY STATS'!$C$12*2</f>
        <v>339810</v>
      </c>
      <c r="C13" s="88">
        <f>'MONTHLY STATS'!$C$23*2</f>
        <v>184276</v>
      </c>
      <c r="D13" s="88">
        <f>'MONTHLY STATS'!$C$34*2</f>
        <v>85114</v>
      </c>
      <c r="E13" s="88">
        <f>'MONTHLY STATS'!$C$45*2</f>
        <v>571300</v>
      </c>
      <c r="F13" s="88">
        <f>'MONTHLY STATS'!$C$56*2</f>
        <v>347508</v>
      </c>
      <c r="G13" s="88">
        <f>'MONTHLY STATS'!$C$67*2</f>
        <v>175004</v>
      </c>
      <c r="H13" s="88">
        <f>'MONTHLY STATS'!$C$78*2</f>
        <v>463114</v>
      </c>
      <c r="I13" s="88">
        <f>'MONTHLY STATS'!$C$89*2</f>
        <v>341770</v>
      </c>
      <c r="J13" s="88">
        <f>'MONTHLY STATS'!$C$100*2</f>
        <v>450250</v>
      </c>
      <c r="K13" s="88">
        <f>'MONTHLY STATS'!$C$111*2</f>
        <v>654860</v>
      </c>
      <c r="L13" s="88">
        <f>'MONTHLY STATS'!$C$122*2</f>
        <v>67738</v>
      </c>
      <c r="M13" s="88">
        <f>'MONTHLY STATS'!$C$133*2</f>
        <v>584912</v>
      </c>
      <c r="N13" s="88">
        <f>'MONTHLY STATS'!$C$144*2</f>
        <v>114968</v>
      </c>
      <c r="O13" s="89">
        <f t="shared" si="0"/>
        <v>4380624</v>
      </c>
      <c r="P13" s="82"/>
    </row>
    <row r="14" spans="1:16" ht="15.75" x14ac:dyDescent="0.25">
      <c r="A14" s="87">
        <f>DATE(2024,11,1)</f>
        <v>45597</v>
      </c>
      <c r="B14" s="88">
        <f>'MONTHLY STATS'!$C$13*2</f>
        <v>368468</v>
      </c>
      <c r="C14" s="88">
        <f>'MONTHLY STATS'!$C$24*2</f>
        <v>185198</v>
      </c>
      <c r="D14" s="88">
        <f>'MONTHLY STATS'!$C$35*2</f>
        <v>156964</v>
      </c>
      <c r="E14" s="88">
        <f>'MONTHLY STATS'!$C$46*2</f>
        <v>578846</v>
      </c>
      <c r="F14" s="88">
        <f>'MONTHLY STATS'!$C$57*2</f>
        <v>340308</v>
      </c>
      <c r="G14" s="88">
        <f>'MONTHLY STATS'!$C$68*2</f>
        <v>181676</v>
      </c>
      <c r="H14" s="88">
        <f>'MONTHLY STATS'!$C$79*2</f>
        <v>410420</v>
      </c>
      <c r="I14" s="88">
        <f>'MONTHLY STATS'!$C$90*2</f>
        <v>327670</v>
      </c>
      <c r="J14" s="88">
        <f>'MONTHLY STATS'!$C$101*2</f>
        <v>479160</v>
      </c>
      <c r="K14" s="88">
        <f>'MONTHLY STATS'!$C$112*2</f>
        <v>667366</v>
      </c>
      <c r="L14" s="88">
        <f>'MONTHLY STATS'!$C$123*2</f>
        <v>67414</v>
      </c>
      <c r="M14" s="88">
        <f>'MONTHLY STATS'!$C$134*2</f>
        <v>629160</v>
      </c>
      <c r="N14" s="88">
        <f>'MONTHLY STATS'!$C$145*2</f>
        <v>115098</v>
      </c>
      <c r="O14" s="89">
        <f t="shared" si="0"/>
        <v>4507748</v>
      </c>
      <c r="P14" s="82"/>
    </row>
    <row r="15" spans="1:16" ht="15.75" x14ac:dyDescent="0.25">
      <c r="A15" s="87">
        <f>DATE(2024,12,1)</f>
        <v>45627</v>
      </c>
      <c r="B15" s="88">
        <f>'MONTHLY STATS'!$C$14*2</f>
        <v>391952</v>
      </c>
      <c r="C15" s="88">
        <f>'MONTHLY STATS'!$C$25*2</f>
        <v>193504</v>
      </c>
      <c r="D15" s="88">
        <f>'MONTHLY STATS'!$C$36*2</f>
        <v>131306</v>
      </c>
      <c r="E15" s="88">
        <f>'MONTHLY STATS'!$C$47*2</f>
        <v>611062</v>
      </c>
      <c r="F15" s="88">
        <f>'MONTHLY STATS'!$C$58*2</f>
        <v>366140</v>
      </c>
      <c r="G15" s="88">
        <f>'MONTHLY STATS'!$C$69*2</f>
        <v>194356</v>
      </c>
      <c r="H15" s="88">
        <f>'MONTHLY STATS'!$C$80*2</f>
        <v>414388</v>
      </c>
      <c r="I15" s="88">
        <f>'MONTHLY STATS'!$C$91*2</f>
        <v>375104</v>
      </c>
      <c r="J15" s="88">
        <f>'MONTHLY STATS'!$C$102*2</f>
        <v>519002</v>
      </c>
      <c r="K15" s="88">
        <f>'MONTHLY STATS'!$C$113*2</f>
        <v>702980</v>
      </c>
      <c r="L15" s="88">
        <f>'MONTHLY STATS'!$C$124*2</f>
        <v>68592</v>
      </c>
      <c r="M15" s="88">
        <f>'MONTHLY STATS'!$C$135*2</f>
        <v>692458</v>
      </c>
      <c r="N15" s="88">
        <f>'MONTHLY STATS'!$C$146*2</f>
        <v>119756</v>
      </c>
      <c r="O15" s="89">
        <f t="shared" si="0"/>
        <v>4780600</v>
      </c>
      <c r="P15" s="82"/>
    </row>
    <row r="16" spans="1:16" ht="15.75" x14ac:dyDescent="0.25">
      <c r="A16" s="87">
        <f>DATE(2025,1,1)</f>
        <v>45658</v>
      </c>
      <c r="B16" s="88">
        <f>'MONTHLY STATS'!$C$15*2</f>
        <v>331314</v>
      </c>
      <c r="C16" s="88">
        <f>'MONTHLY STATS'!$C$26*2</f>
        <v>161756</v>
      </c>
      <c r="D16" s="88">
        <f>'MONTHLY STATS'!$C$37*2</f>
        <v>118230</v>
      </c>
      <c r="E16" s="88">
        <f>'MONTHLY STATS'!$C$48*2</f>
        <v>536948</v>
      </c>
      <c r="F16" s="88">
        <f>'MONTHLY STATS'!$C$59*2</f>
        <v>310514</v>
      </c>
      <c r="G16" s="88">
        <f>'MONTHLY STATS'!$C$70*2</f>
        <v>159486</v>
      </c>
      <c r="H16" s="88">
        <f>'MONTHLY STATS'!$C$81*2</f>
        <v>345278</v>
      </c>
      <c r="I16" s="88">
        <f>'MONTHLY STATS'!$C$92*2</f>
        <v>324180</v>
      </c>
      <c r="J16" s="88">
        <f>'MONTHLY STATS'!$C$103*2</f>
        <v>423210</v>
      </c>
      <c r="K16" s="88">
        <f>'MONTHLY STATS'!$C$114*2</f>
        <v>603936</v>
      </c>
      <c r="L16" s="88">
        <f>'MONTHLY STATS'!$C$125*2</f>
        <v>63306</v>
      </c>
      <c r="M16" s="88">
        <f>'MONTHLY STATS'!$C$136*2</f>
        <v>594932</v>
      </c>
      <c r="N16" s="88">
        <f>'MONTHLY STATS'!$C$147*2</f>
        <v>95908</v>
      </c>
      <c r="O16" s="89">
        <f>SUM(B16:N16)</f>
        <v>4068998</v>
      </c>
      <c r="P16" s="82"/>
    </row>
    <row r="17" spans="1:16" ht="15.75" x14ac:dyDescent="0.25">
      <c r="A17" s="87">
        <f>DATE(2025,2,1)</f>
        <v>45689</v>
      </c>
      <c r="B17" s="88">
        <f>'MONTHLY STATS'!$C$16*2</f>
        <v>335862</v>
      </c>
      <c r="C17" s="88">
        <f>'MONTHLY STATS'!$C$27*2</f>
        <v>172890</v>
      </c>
      <c r="D17" s="88">
        <f>'MONTHLY STATS'!$C$38*2</f>
        <v>123076</v>
      </c>
      <c r="E17" s="88">
        <f>'MONTHLY STATS'!$C$49*2</f>
        <v>548952</v>
      </c>
      <c r="F17" s="88">
        <f>'MONTHLY STATS'!$C$60*2</f>
        <v>319224</v>
      </c>
      <c r="G17" s="88">
        <f>'MONTHLY STATS'!$C$71*2</f>
        <v>175466</v>
      </c>
      <c r="H17" s="88">
        <f>'MONTHLY STATS'!$C$82*2</f>
        <v>359620</v>
      </c>
      <c r="I17" s="88">
        <f>'MONTHLY STATS'!$C$93*2</f>
        <v>379924</v>
      </c>
      <c r="J17" s="88">
        <f>'MONTHLY STATS'!$C$104*2</f>
        <v>443636</v>
      </c>
      <c r="K17" s="88">
        <f>'MONTHLY STATS'!$C$115*2</f>
        <v>592936</v>
      </c>
      <c r="L17" s="88">
        <f>'MONTHLY STATS'!$C$126*2</f>
        <v>67558</v>
      </c>
      <c r="M17" s="88">
        <f>'MONTHLY STATS'!$C$137*2</f>
        <v>579884</v>
      </c>
      <c r="N17" s="88">
        <f>'MONTHLY STATS'!$C$148*2</f>
        <v>108358</v>
      </c>
      <c r="O17" s="89">
        <f>SUM(B17:N17)</f>
        <v>4207386</v>
      </c>
      <c r="P17" s="82"/>
    </row>
    <row r="18" spans="1:16" ht="15.75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  <c r="P18" s="82"/>
    </row>
    <row r="19" spans="1:16" ht="15.75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82"/>
    </row>
    <row r="20" spans="1:16" ht="15.75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82"/>
    </row>
    <row r="21" spans="1:16" ht="15.75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82"/>
    </row>
    <row r="22" spans="1:16" ht="15.75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2"/>
    </row>
    <row r="23" spans="1:16" ht="15.75" x14ac:dyDescent="0.25">
      <c r="A23" s="90" t="s">
        <v>27</v>
      </c>
      <c r="B23" s="89">
        <f t="shared" ref="B23:O23" si="1">SUM(B10:B21)</f>
        <v>2871728</v>
      </c>
      <c r="C23" s="89">
        <f t="shared" si="1"/>
        <v>1459894</v>
      </c>
      <c r="D23" s="89">
        <f t="shared" si="1"/>
        <v>931482</v>
      </c>
      <c r="E23" s="89">
        <f t="shared" si="1"/>
        <v>4776686</v>
      </c>
      <c r="F23" s="89">
        <f t="shared" si="1"/>
        <v>2685832</v>
      </c>
      <c r="G23" s="89">
        <f>SUM(G10:G21)</f>
        <v>1445128</v>
      </c>
      <c r="H23" s="89">
        <f t="shared" si="1"/>
        <v>3515218</v>
      </c>
      <c r="I23" s="89">
        <f>SUM(I10:I21)</f>
        <v>2816144</v>
      </c>
      <c r="J23" s="89">
        <f t="shared" si="1"/>
        <v>3754944</v>
      </c>
      <c r="K23" s="89">
        <f>SUM(K10:K21)</f>
        <v>5241186</v>
      </c>
      <c r="L23" s="89">
        <f t="shared" si="1"/>
        <v>555196</v>
      </c>
      <c r="M23" s="89">
        <f t="shared" si="1"/>
        <v>4977170</v>
      </c>
      <c r="N23" s="89">
        <f t="shared" si="1"/>
        <v>925210</v>
      </c>
      <c r="O23" s="89">
        <f t="shared" si="1"/>
        <v>35955818</v>
      </c>
      <c r="P23" s="82"/>
    </row>
    <row r="24" spans="1:16" ht="16.5" thickBot="1" x14ac:dyDescent="0.3">
      <c r="A24" s="91"/>
      <c r="B24" s="89"/>
      <c r="C24" s="89"/>
      <c r="D24" s="89"/>
      <c r="E24" s="88"/>
      <c r="F24" s="88"/>
      <c r="G24" s="88"/>
      <c r="H24" s="88"/>
      <c r="I24" s="88"/>
      <c r="J24" s="89"/>
      <c r="K24" s="89"/>
      <c r="L24" s="89"/>
      <c r="M24" s="89"/>
      <c r="N24" s="89"/>
      <c r="O24" s="89"/>
      <c r="P24" s="82"/>
    </row>
    <row r="25" spans="1:16" ht="15.75" thickTop="1" x14ac:dyDescent="0.2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94"/>
      <c r="M25" s="94"/>
      <c r="N25" s="94"/>
      <c r="O25" s="94"/>
    </row>
    <row r="26" spans="1:16" ht="24" thickBot="1" x14ac:dyDescent="0.4">
      <c r="A26" s="95" t="s">
        <v>28</v>
      </c>
      <c r="B26" s="96"/>
      <c r="C26" s="97"/>
      <c r="D26" s="97"/>
      <c r="E26" s="97"/>
      <c r="F26" s="97"/>
      <c r="G26" s="97"/>
      <c r="H26" s="97"/>
      <c r="I26" s="97"/>
      <c r="J26" s="97"/>
      <c r="K26" s="98"/>
      <c r="L26" s="98"/>
      <c r="M26" s="98"/>
      <c r="N26" s="98"/>
      <c r="O26" s="98"/>
    </row>
    <row r="27" spans="1:16" ht="16.5" thickTop="1" x14ac:dyDescent="0.25">
      <c r="A27" s="99"/>
      <c r="B27" s="100"/>
      <c r="C27" s="100"/>
      <c r="D27" s="100"/>
      <c r="E27" s="101"/>
      <c r="F27" s="101"/>
      <c r="G27" s="101"/>
      <c r="H27" s="101"/>
      <c r="I27" s="101"/>
      <c r="J27" s="100"/>
      <c r="K27" s="102"/>
      <c r="L27" s="102"/>
      <c r="M27" s="102"/>
      <c r="N27" s="102"/>
      <c r="O27" s="103" t="s">
        <v>23</v>
      </c>
      <c r="P27" s="82"/>
    </row>
    <row r="28" spans="1:16" ht="15.75" x14ac:dyDescent="0.25">
      <c r="A28" s="104" t="s">
        <v>24</v>
      </c>
      <c r="B28" s="83" t="s">
        <v>13</v>
      </c>
      <c r="C28" s="83" t="s">
        <v>15</v>
      </c>
      <c r="D28" s="83" t="s">
        <v>62</v>
      </c>
      <c r="E28" s="274" t="s">
        <v>55</v>
      </c>
      <c r="F28" s="83" t="s">
        <v>60</v>
      </c>
      <c r="G28" s="83" t="s">
        <v>63</v>
      </c>
      <c r="H28" s="83" t="s">
        <v>68</v>
      </c>
      <c r="I28" s="83" t="s">
        <v>70</v>
      </c>
      <c r="J28" s="83" t="s">
        <v>25</v>
      </c>
      <c r="K28" s="105" t="s">
        <v>52</v>
      </c>
      <c r="L28" s="105" t="s">
        <v>50</v>
      </c>
      <c r="M28" s="105" t="s">
        <v>17</v>
      </c>
      <c r="N28" s="105" t="s">
        <v>51</v>
      </c>
      <c r="O28" s="105" t="s">
        <v>26</v>
      </c>
      <c r="P28" s="82"/>
    </row>
    <row r="29" spans="1:16" ht="16.5" thickBot="1" x14ac:dyDescent="0.3">
      <c r="A29" s="106"/>
      <c r="B29" s="107"/>
      <c r="C29" s="107"/>
      <c r="D29" s="107"/>
      <c r="E29" s="275"/>
      <c r="F29" s="83"/>
      <c r="G29" s="83"/>
      <c r="H29" s="83"/>
      <c r="I29" s="83"/>
      <c r="J29" s="107"/>
      <c r="K29" s="108"/>
      <c r="L29" s="108"/>
      <c r="M29" s="108"/>
      <c r="N29" s="108"/>
      <c r="O29" s="108"/>
      <c r="P29" s="82"/>
    </row>
    <row r="30" spans="1:16" ht="15.75" thickTop="1" x14ac:dyDescent="0.2">
      <c r="A30" s="109"/>
      <c r="B30" s="110"/>
      <c r="C30" s="110"/>
      <c r="D30" s="110"/>
      <c r="E30" s="111"/>
      <c r="F30" s="111"/>
      <c r="G30" s="111"/>
      <c r="H30" s="111"/>
      <c r="I30" s="111"/>
      <c r="J30" s="110"/>
      <c r="K30" s="112"/>
      <c r="L30" s="112"/>
      <c r="M30" s="112"/>
      <c r="N30" s="112"/>
      <c r="O30" s="112"/>
      <c r="P30" s="82"/>
    </row>
    <row r="31" spans="1:16" ht="15.75" x14ac:dyDescent="0.25">
      <c r="A31" s="87">
        <f>DATE(2024,7,1)</f>
        <v>45474</v>
      </c>
      <c r="B31" s="88">
        <f>'MONTHLY STATS'!$K$9*0.21</f>
        <v>2807728.0476000002</v>
      </c>
      <c r="C31" s="88">
        <f>'MONTHLY STATS'!$K$20*0.21</f>
        <v>1403139.9395999999</v>
      </c>
      <c r="D31" s="88">
        <f>'MONTHLY STATS'!$K$31*0.21</f>
        <v>812098.99889999989</v>
      </c>
      <c r="E31" s="88">
        <f>'MONTHLY STATS'!$K$42*0.21</f>
        <v>4317520.4750999995</v>
      </c>
      <c r="F31" s="88">
        <f>'MONTHLY STATS'!$K$53*0.21</f>
        <v>2672148.2087999997</v>
      </c>
      <c r="G31" s="88">
        <f>'MONTHLY STATS'!$K$64*0.21</f>
        <v>1227660.7833</v>
      </c>
      <c r="H31" s="88">
        <f>'MONTHLY STATS'!$K$75*0.21</f>
        <v>2467762.7226</v>
      </c>
      <c r="I31" s="88">
        <f>'MONTHLY STATS'!$K$86*0.21</f>
        <v>2507634.5490000001</v>
      </c>
      <c r="J31" s="88">
        <f>'MONTHLY STATS'!$K$97*0.21</f>
        <v>3535118.2944</v>
      </c>
      <c r="K31" s="88">
        <f>'MONTHLY STATS'!$K$108*0.21</f>
        <v>4342159.0505999997</v>
      </c>
      <c r="L31" s="88">
        <f>'MONTHLY STATS'!$K$119*0.21</f>
        <v>594235.39769999997</v>
      </c>
      <c r="M31" s="88">
        <f>'MONTHLY STATS'!$K$130*0.21</f>
        <v>5058469.9388999995</v>
      </c>
      <c r="N31" s="88">
        <f>'MONTHLY STATS'!$K$141*0.21</f>
        <v>844344.35399999993</v>
      </c>
      <c r="O31" s="89">
        <f t="shared" ref="O31:O36" si="2">SUM(B31:N31)</f>
        <v>32590020.760499995</v>
      </c>
      <c r="P31" s="82"/>
    </row>
    <row r="32" spans="1:16" ht="15.75" x14ac:dyDescent="0.25">
      <c r="A32" s="87">
        <f>DATE(2024,8,1)</f>
        <v>45505</v>
      </c>
      <c r="B32" s="88">
        <f>'MONTHLY STATS'!$K$10*0.21</f>
        <v>2938563.7050000001</v>
      </c>
      <c r="C32" s="88">
        <f>'MONTHLY STATS'!$K$21*0.21</f>
        <v>1517222.0279999999</v>
      </c>
      <c r="D32" s="88">
        <f>'MONTHLY STATS'!$K$32*0.21</f>
        <v>824302.82129999995</v>
      </c>
      <c r="E32" s="88">
        <f>'MONTHLY STATS'!$K$43*0.21</f>
        <v>4815352.5861</v>
      </c>
      <c r="F32" s="88">
        <f>'MONTHLY STATS'!$K$54*0.21</f>
        <v>2899883.0027999999</v>
      </c>
      <c r="G32" s="88">
        <f>'MONTHLY STATS'!$K$65*0.21</f>
        <v>1282179.5448</v>
      </c>
      <c r="H32" s="88">
        <f>'MONTHLY STATS'!$K$76*0.21</f>
        <v>2490679.6529999999</v>
      </c>
      <c r="I32" s="88">
        <f>'MONTHLY STATS'!$K$87*0.21</f>
        <v>2439859.9826999996</v>
      </c>
      <c r="J32" s="88">
        <f>'MONTHLY STATS'!$K$98*0.21</f>
        <v>3725145.4547999995</v>
      </c>
      <c r="K32" s="88">
        <f>'MONTHLY STATS'!$K$109*0.21</f>
        <v>4543998.7298999997</v>
      </c>
      <c r="L32" s="88">
        <f>'MONTHLY STATS'!$K$120*0.21</f>
        <v>570887.85179999995</v>
      </c>
      <c r="M32" s="88">
        <f>'MONTHLY STATS'!$K$131*0.21</f>
        <v>5355656.3277000003</v>
      </c>
      <c r="N32" s="88">
        <f>'MONTHLY STATS'!$K$142*0.21</f>
        <v>899361.20819999999</v>
      </c>
      <c r="O32" s="89">
        <f t="shared" si="2"/>
        <v>34303092.896099992</v>
      </c>
      <c r="P32" s="82"/>
    </row>
    <row r="33" spans="1:16" ht="15.75" x14ac:dyDescent="0.25">
      <c r="A33" s="87">
        <f>DATE(2024,9,1)</f>
        <v>45536</v>
      </c>
      <c r="B33" s="88">
        <f>'MONTHLY STATS'!$K$11*0.21</f>
        <v>2626037.4525000001</v>
      </c>
      <c r="C33" s="88">
        <f>'MONTHLY STATS'!$K$22*0.21</f>
        <v>1432403.8784999999</v>
      </c>
      <c r="D33" s="88">
        <f>'MONTHLY STATS'!$K$33*0.21</f>
        <v>799855.30379999988</v>
      </c>
      <c r="E33" s="88">
        <f>'MONTHLY STATS'!$K$44*0.21</f>
        <v>4252175.6319000004</v>
      </c>
      <c r="F33" s="88">
        <f>'MONTHLY STATS'!$K$55*0.21</f>
        <v>2631985.3076999998</v>
      </c>
      <c r="G33" s="88">
        <f>'MONTHLY STATS'!$K$66*0.21</f>
        <v>1237701.7548</v>
      </c>
      <c r="H33" s="88">
        <f>'MONTHLY STATS'!$K$77*0.21</f>
        <v>2327781.3026999999</v>
      </c>
      <c r="I33" s="88">
        <f>'MONTHLY STATS'!$K$88*0.21</f>
        <v>2222638.1814000001</v>
      </c>
      <c r="J33" s="88">
        <f>'MONTHLY STATS'!$K$99*0.21</f>
        <v>3430747.9898999999</v>
      </c>
      <c r="K33" s="88">
        <f>'MONTHLY STATS'!$K$110*0.21</f>
        <v>4287985.0565999998</v>
      </c>
      <c r="L33" s="88">
        <f>'MONTHLY STATS'!$K$121*0.21</f>
        <v>518574.9387</v>
      </c>
      <c r="M33" s="88">
        <f>'MONTHLY STATS'!$K$132*0.21</f>
        <v>4961396.517</v>
      </c>
      <c r="N33" s="88">
        <f>'MONTHLY STATS'!$K$143*0.21</f>
        <v>745698.59069999994</v>
      </c>
      <c r="O33" s="89">
        <f t="shared" si="2"/>
        <v>31474981.906200003</v>
      </c>
      <c r="P33" s="82"/>
    </row>
    <row r="34" spans="1:16" ht="15.75" x14ac:dyDescent="0.25">
      <c r="A34" s="87">
        <f>DATE(2024,10,1)</f>
        <v>45566</v>
      </c>
      <c r="B34" s="88">
        <f>'MONTHLY STATS'!$K$12*0.21</f>
        <v>2603462.1543000001</v>
      </c>
      <c r="C34" s="88">
        <f>'MONTHLY STATS'!$K$23*0.21</f>
        <v>1379451.6036</v>
      </c>
      <c r="D34" s="88">
        <f>'MONTHLY STATS'!$K$34*0.21</f>
        <v>634906.20689999999</v>
      </c>
      <c r="E34" s="88">
        <f>'MONTHLY STATS'!$K$45*0.21</f>
        <v>4532041.2479999997</v>
      </c>
      <c r="F34" s="88">
        <f>'MONTHLY STATS'!$K$56*0.21</f>
        <v>2795570.0766000003</v>
      </c>
      <c r="G34" s="88">
        <f>'MONTHLY STATS'!$K$67*0.21</f>
        <v>1193795.7716999999</v>
      </c>
      <c r="H34" s="88">
        <f>'MONTHLY STATS'!$K$78*0.21</f>
        <v>2495195.0876999996</v>
      </c>
      <c r="I34" s="88">
        <f>'MONTHLY STATS'!$K$89*0.21</f>
        <v>2207456.4435000001</v>
      </c>
      <c r="J34" s="88">
        <f>'MONTHLY STATS'!$K$100*0.21</f>
        <v>3219340.9814999998</v>
      </c>
      <c r="K34" s="88">
        <f>'MONTHLY STATS'!$K$111*0.21</f>
        <v>4497683.9228999997</v>
      </c>
      <c r="L34" s="88">
        <f>'MONTHLY STATS'!$K$122*0.21</f>
        <v>519795.52379999997</v>
      </c>
      <c r="M34" s="88">
        <f>'MONTHLY STATS'!$K$133*0.21</f>
        <v>4955945.2361999992</v>
      </c>
      <c r="N34" s="88">
        <f>'MONTHLY STATS'!$K$144*0.21</f>
        <v>769743.65789999999</v>
      </c>
      <c r="O34" s="89">
        <f t="shared" si="2"/>
        <v>31804387.9146</v>
      </c>
      <c r="P34" s="82"/>
    </row>
    <row r="35" spans="1:16" ht="15.75" x14ac:dyDescent="0.25">
      <c r="A35" s="87">
        <f>DATE(2024,11,1)</f>
        <v>45597</v>
      </c>
      <c r="B35" s="88">
        <f>'MONTHLY STATS'!$K$13*0.21</f>
        <v>2859072.6884999997</v>
      </c>
      <c r="C35" s="88">
        <f>'MONTHLY STATS'!$K$24*0.21</f>
        <v>1540597.2056999998</v>
      </c>
      <c r="D35" s="88">
        <f>'MONTHLY STATS'!$K$35*0.21</f>
        <v>1103327.0745000001</v>
      </c>
      <c r="E35" s="88">
        <f>'MONTHLY STATS'!$K$46*0.21</f>
        <v>4068744.7667999994</v>
      </c>
      <c r="F35" s="88">
        <f>'MONTHLY STATS'!$K$57*0.21</f>
        <v>2803288.0763999997</v>
      </c>
      <c r="G35" s="88">
        <f>'MONTHLY STATS'!$K$68*0.21</f>
        <v>1306434.2655</v>
      </c>
      <c r="H35" s="88">
        <f>'MONTHLY STATS'!$K$79*0.21</f>
        <v>2157158.4950999999</v>
      </c>
      <c r="I35" s="88">
        <f>'MONTHLY STATS'!$K$90*0.21</f>
        <v>2402227.9616999999</v>
      </c>
      <c r="J35" s="88">
        <f>'MONTHLY STATS'!$K$101*0.21</f>
        <v>3430541.4359999998</v>
      </c>
      <c r="K35" s="88">
        <f>'MONTHLY STATS'!$K$112*0.21</f>
        <v>4391225.7648</v>
      </c>
      <c r="L35" s="88">
        <f>'MONTHLY STATS'!$K$123*0.21</f>
        <v>529314.95189999999</v>
      </c>
      <c r="M35" s="88">
        <f>'MONTHLY STATS'!$K$134*0.21</f>
        <v>4857394.8864000002</v>
      </c>
      <c r="N35" s="88">
        <f>'MONTHLY STATS'!$K$145*0.21</f>
        <v>800615.68229999999</v>
      </c>
      <c r="O35" s="89">
        <f t="shared" si="2"/>
        <v>32249943.255600002</v>
      </c>
      <c r="P35" s="82"/>
    </row>
    <row r="36" spans="1:16" ht="15.75" x14ac:dyDescent="0.25">
      <c r="A36" s="87">
        <f>DATE(2024,12,1)</f>
        <v>45627</v>
      </c>
      <c r="B36" s="88">
        <f>'MONTHLY STATS'!$K$14*0.21</f>
        <v>2913211.6187999998</v>
      </c>
      <c r="C36" s="88">
        <f>'MONTHLY STATS'!$K$25*0.21</f>
        <v>1545453.2246999999</v>
      </c>
      <c r="D36" s="88">
        <f>'MONTHLY STATS'!$K$36*0.21</f>
        <v>1012890.7215</v>
      </c>
      <c r="E36" s="88">
        <f>'MONTHLY STATS'!$K$47*0.21</f>
        <v>4703890.3295999998</v>
      </c>
      <c r="F36" s="88">
        <f>'MONTHLY STATS'!$K$58*0.21</f>
        <v>3016176.2694000001</v>
      </c>
      <c r="G36" s="88">
        <f>'MONTHLY STATS'!$K$69*0.21</f>
        <v>1288881.5352</v>
      </c>
      <c r="H36" s="88">
        <f>'MONTHLY STATS'!$K$80*0.21</f>
        <v>2230517.4696</v>
      </c>
      <c r="I36" s="88">
        <f>'MONTHLY STATS'!$K$91*0.21</f>
        <v>2608770.591</v>
      </c>
      <c r="J36" s="88">
        <f>'MONTHLY STATS'!$K$102*0.21</f>
        <v>3597139.8119999999</v>
      </c>
      <c r="K36" s="88">
        <f>'MONTHLY STATS'!$K$113*0.21</f>
        <v>4803559.5888</v>
      </c>
      <c r="L36" s="88">
        <f>'MONTHLY STATS'!$K$124*0.21</f>
        <v>531246.3345</v>
      </c>
      <c r="M36" s="88">
        <f>'MONTHLY STATS'!$K$135*0.21</f>
        <v>5535791.7867000001</v>
      </c>
      <c r="N36" s="88">
        <f>'MONTHLY STATS'!$K$146*0.21</f>
        <v>810312.86069999996</v>
      </c>
      <c r="O36" s="89">
        <f t="shared" si="2"/>
        <v>34597842.142499998</v>
      </c>
      <c r="P36" s="82"/>
    </row>
    <row r="37" spans="1:16" ht="15.75" x14ac:dyDescent="0.25">
      <c r="A37" s="87">
        <f>DATE(2025,1,1)</f>
        <v>45658</v>
      </c>
      <c r="B37" s="88">
        <f>'MONTHLY STATS'!$K$15*0.21</f>
        <v>2643990.7830000003</v>
      </c>
      <c r="C37" s="88">
        <f>'MONTHLY STATS'!$K$26*0.21</f>
        <v>1248591.8025</v>
      </c>
      <c r="D37" s="88">
        <f>'MONTHLY STATS'!$K$37*0.21</f>
        <v>893742.70229999989</v>
      </c>
      <c r="E37" s="88">
        <f>'MONTHLY STATS'!$K$48*0.21</f>
        <v>3924802.2386999996</v>
      </c>
      <c r="F37" s="88">
        <f>'MONTHLY STATS'!$K$59*0.21</f>
        <v>2560541.6192999999</v>
      </c>
      <c r="G37" s="88">
        <f>'MONTHLY STATS'!$K$70*0.21</f>
        <v>1059034.3049999999</v>
      </c>
      <c r="H37" s="88">
        <f>'MONTHLY STATS'!$K$81*0.21</f>
        <v>1938712.3496999999</v>
      </c>
      <c r="I37" s="88">
        <f>'MONTHLY STATS'!$K$92*0.21</f>
        <v>2238301.821</v>
      </c>
      <c r="J37" s="88">
        <f>'MONTHLY STATS'!$K$103*0.21</f>
        <v>2989101.4649999999</v>
      </c>
      <c r="K37" s="88">
        <f>'MONTHLY STATS'!$K$114*0.21</f>
        <v>4021799.9408999998</v>
      </c>
      <c r="L37" s="88">
        <f>'MONTHLY STATS'!$K$125*0.21</f>
        <v>488747.74620000005</v>
      </c>
      <c r="M37" s="88">
        <f>'MONTHLY STATS'!$K$136*0.21</f>
        <v>4693316.0294999992</v>
      </c>
      <c r="N37" s="88">
        <f>'MONTHLY STATS'!$K$147*0.21</f>
        <v>695298.97919999994</v>
      </c>
      <c r="O37" s="89">
        <f>SUM(B37:N37)</f>
        <v>29395981.782300003</v>
      </c>
      <c r="P37" s="82"/>
    </row>
    <row r="38" spans="1:16" ht="15.75" x14ac:dyDescent="0.25">
      <c r="A38" s="87">
        <f>DATE(2025,2,1)</f>
        <v>45689</v>
      </c>
      <c r="B38" s="88">
        <f>'MONTHLY STATS'!$K$16*0.21</f>
        <v>2492323.8396000001</v>
      </c>
      <c r="C38" s="88">
        <f>'MONTHLY STATS'!$K$27*0.21</f>
        <v>1428905.2197</v>
      </c>
      <c r="D38" s="88">
        <f>'MONTHLY STATS'!$K$38*0.21</f>
        <v>940729.5429</v>
      </c>
      <c r="E38" s="88">
        <f>'MONTHLY STATS'!$K$49*0.21</f>
        <v>3999158.6564999996</v>
      </c>
      <c r="F38" s="88">
        <f>'MONTHLY STATS'!$K$60*0.21</f>
        <v>2741302.9244999997</v>
      </c>
      <c r="G38" s="88">
        <f>'MONTHLY STATS'!$K$71*0.21</f>
        <v>1236502.7870999998</v>
      </c>
      <c r="H38" s="88">
        <f>'MONTHLY STATS'!$K$82*0.21</f>
        <v>2103513.9657000001</v>
      </c>
      <c r="I38" s="88">
        <f>'MONTHLY STATS'!$K$93*0.21</f>
        <v>2571897.3125999998</v>
      </c>
      <c r="J38" s="88">
        <f>'MONTHLY STATS'!$K$104*0.21</f>
        <v>3147667.9835999999</v>
      </c>
      <c r="K38" s="88">
        <f>'MONTHLY STATS'!$K$115*0.21</f>
        <v>4525974.6650999999</v>
      </c>
      <c r="L38" s="88">
        <f>'MONTHLY STATS'!$K$126*0.21</f>
        <v>503752.02989999996</v>
      </c>
      <c r="M38" s="88">
        <f>'MONTHLY STATS'!$K$137*0.21</f>
        <v>4893041.6072999993</v>
      </c>
      <c r="N38" s="88">
        <f>'MONTHLY STATS'!$K$148*0.21</f>
        <v>770988.01500000001</v>
      </c>
      <c r="O38" s="89">
        <f>SUM(B38:N38)</f>
        <v>31355758.549499996</v>
      </c>
      <c r="P38" s="82"/>
    </row>
    <row r="39" spans="1:16" ht="15.75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82"/>
    </row>
    <row r="40" spans="1:16" ht="15.75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82"/>
    </row>
    <row r="41" spans="1:16" ht="15.75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/>
      <c r="P41" s="82"/>
    </row>
    <row r="42" spans="1:16" ht="15.75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82"/>
    </row>
    <row r="43" spans="1:16" ht="15.75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2"/>
    </row>
    <row r="44" spans="1:16" ht="15.75" x14ac:dyDescent="0.25">
      <c r="A44" s="90" t="s">
        <v>27</v>
      </c>
      <c r="B44" s="89">
        <f t="shared" ref="B44:O44" si="3">SUM(B31:B42)</f>
        <v>21884390.289300002</v>
      </c>
      <c r="C44" s="89">
        <f t="shared" si="3"/>
        <v>11495764.902299998</v>
      </c>
      <c r="D44" s="89">
        <f t="shared" si="3"/>
        <v>7021853.3721000003</v>
      </c>
      <c r="E44" s="89">
        <f t="shared" si="3"/>
        <v>34613685.932700001</v>
      </c>
      <c r="F44" s="89">
        <f t="shared" si="3"/>
        <v>22120895.4855</v>
      </c>
      <c r="G44" s="89">
        <f t="shared" si="3"/>
        <v>9832190.7473999988</v>
      </c>
      <c r="H44" s="89">
        <f t="shared" si="3"/>
        <v>18211321.046099998</v>
      </c>
      <c r="I44" s="89">
        <f>SUM(I31:I42)</f>
        <v>19198786.842900001</v>
      </c>
      <c r="J44" s="89">
        <f t="shared" si="3"/>
        <v>27074803.417199999</v>
      </c>
      <c r="K44" s="89">
        <f>SUM(K31:K42)</f>
        <v>35414386.719599999</v>
      </c>
      <c r="L44" s="89">
        <f t="shared" si="3"/>
        <v>4256554.7744999994</v>
      </c>
      <c r="M44" s="89">
        <f t="shared" si="3"/>
        <v>40311012.329699993</v>
      </c>
      <c r="N44" s="89">
        <f t="shared" si="3"/>
        <v>6336363.3479999993</v>
      </c>
      <c r="O44" s="89">
        <f t="shared" si="3"/>
        <v>257772009.20729995</v>
      </c>
      <c r="P44" s="82"/>
    </row>
    <row r="45" spans="1:16" ht="16.5" thickBot="1" x14ac:dyDescent="0.3">
      <c r="A45" s="91"/>
      <c r="B45" s="89"/>
      <c r="C45" s="89"/>
      <c r="D45" s="89"/>
      <c r="E45" s="88"/>
      <c r="F45" s="88"/>
      <c r="G45" s="88"/>
      <c r="H45" s="88"/>
      <c r="I45" s="88"/>
      <c r="J45" s="89"/>
      <c r="K45" s="89"/>
      <c r="L45" s="89"/>
      <c r="M45" s="89"/>
      <c r="N45" s="89"/>
      <c r="O45" s="89"/>
      <c r="P45" s="82"/>
    </row>
    <row r="46" spans="1:16" ht="15.75" thickTop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6" x14ac:dyDescent="0.2">
      <c r="A47" s="287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</row>
    <row r="48" spans="1:16" ht="15.75" x14ac:dyDescent="0.25">
      <c r="A48" s="114" t="s">
        <v>29</v>
      </c>
      <c r="B48" s="97"/>
      <c r="C48" s="97"/>
      <c r="D48" s="97"/>
      <c r="E48" s="97"/>
      <c r="F48" s="97"/>
      <c r="G48" s="97"/>
      <c r="H48" s="97"/>
      <c r="I48" s="97"/>
    </row>
    <row r="49" spans="1:9" ht="15.75" x14ac:dyDescent="0.25">
      <c r="A49" s="114"/>
      <c r="B49" s="97"/>
      <c r="C49" s="97"/>
      <c r="D49" s="97"/>
      <c r="E49" s="97"/>
      <c r="F49" s="97"/>
      <c r="G49" s="97"/>
      <c r="H49" s="97"/>
      <c r="I49" s="97"/>
    </row>
    <row r="50" spans="1:9" ht="15.75" x14ac:dyDescent="0.25">
      <c r="A50" s="71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57"/>
  <sheetViews>
    <sheetView showOutlineSymbols="0" zoomScaleNormal="100" workbookViewId="0">
      <selection activeCell="A63" sqref="A63"/>
    </sheetView>
  </sheetViews>
  <sheetFormatPr defaultColWidth="9.6640625" defaultRowHeight="15" x14ac:dyDescent="0.2"/>
  <cols>
    <col min="1" max="1" width="27.6640625" style="117" customWidth="1"/>
    <col min="2" max="2" width="9.6640625" style="117" customWidth="1"/>
    <col min="3" max="3" width="16.6640625" style="208" customWidth="1"/>
    <col min="4" max="5" width="15.6640625" style="208" customWidth="1"/>
    <col min="6" max="6" width="9.6640625" style="117" customWidth="1"/>
    <col min="7" max="7" width="10.5546875" style="220" customWidth="1"/>
    <col min="8" max="16384" width="9.6640625" style="117"/>
  </cols>
  <sheetData>
    <row r="1" spans="1:8" ht="18" x14ac:dyDescent="0.25">
      <c r="A1" s="115" t="s">
        <v>0</v>
      </c>
      <c r="B1" s="116"/>
      <c r="C1" s="199"/>
      <c r="D1" s="199"/>
      <c r="E1" s="199"/>
      <c r="F1" s="116"/>
      <c r="G1" s="209"/>
    </row>
    <row r="2" spans="1:8" ht="18" customHeight="1" x14ac:dyDescent="0.3">
      <c r="A2" s="118" t="s">
        <v>30</v>
      </c>
      <c r="B2" s="116"/>
      <c r="C2" s="199"/>
      <c r="D2" s="199"/>
      <c r="E2" s="199"/>
      <c r="F2" s="116"/>
      <c r="G2" s="209"/>
    </row>
    <row r="3" spans="1:8" ht="18" customHeight="1" x14ac:dyDescent="0.25">
      <c r="A3" s="282" t="s">
        <v>75</v>
      </c>
      <c r="B3" s="116"/>
      <c r="C3" s="199"/>
      <c r="D3" s="199"/>
      <c r="E3" s="199"/>
      <c r="F3" s="116"/>
      <c r="G3" s="209"/>
    </row>
    <row r="4" spans="1:8" x14ac:dyDescent="0.2">
      <c r="A4" s="283" t="s">
        <v>76</v>
      </c>
      <c r="B4" s="116"/>
      <c r="C4" s="199"/>
      <c r="D4" s="199"/>
      <c r="E4" s="199"/>
      <c r="F4" s="116"/>
      <c r="G4" s="209"/>
    </row>
    <row r="5" spans="1:8" ht="15.75" x14ac:dyDescent="0.25">
      <c r="A5" s="116"/>
      <c r="B5" s="116"/>
      <c r="C5" s="199"/>
      <c r="D5" s="199"/>
      <c r="E5" s="199"/>
      <c r="F5" s="116"/>
      <c r="G5" s="210" t="s">
        <v>1</v>
      </c>
    </row>
    <row r="6" spans="1:8" ht="16.5" thickTop="1" x14ac:dyDescent="0.25">
      <c r="A6" s="119"/>
      <c r="B6" s="120" t="s">
        <v>2</v>
      </c>
      <c r="C6" s="200" t="s">
        <v>31</v>
      </c>
      <c r="D6" s="200" t="s">
        <v>31</v>
      </c>
      <c r="E6" s="200" t="s">
        <v>3</v>
      </c>
      <c r="F6" s="121"/>
      <c r="G6" s="211" t="s">
        <v>32</v>
      </c>
      <c r="H6" s="122"/>
    </row>
    <row r="7" spans="1:8" ht="16.5" thickBot="1" x14ac:dyDescent="0.3">
      <c r="A7" s="123" t="s">
        <v>5</v>
      </c>
      <c r="B7" s="124" t="s">
        <v>6</v>
      </c>
      <c r="C7" s="261" t="s">
        <v>33</v>
      </c>
      <c r="D7" s="201" t="s">
        <v>34</v>
      </c>
      <c r="E7" s="201" t="s">
        <v>34</v>
      </c>
      <c r="F7" s="125" t="s">
        <v>8</v>
      </c>
      <c r="G7" s="212" t="s">
        <v>35</v>
      </c>
      <c r="H7" s="122"/>
    </row>
    <row r="8" spans="1:8" ht="15.75" customHeight="1" thickTop="1" x14ac:dyDescent="0.25">
      <c r="A8" s="126"/>
      <c r="B8" s="127"/>
      <c r="C8" s="202"/>
      <c r="D8" s="202"/>
      <c r="E8" s="202"/>
      <c r="F8" s="128"/>
      <c r="G8" s="213"/>
      <c r="H8" s="122"/>
    </row>
    <row r="9" spans="1:8" ht="15.75" x14ac:dyDescent="0.25">
      <c r="A9" s="129" t="s">
        <v>36</v>
      </c>
      <c r="B9" s="130">
        <f>DATE(2024,7,1)</f>
        <v>45474</v>
      </c>
      <c r="C9" s="203">
        <v>16874112</v>
      </c>
      <c r="D9" s="203">
        <v>2142172</v>
      </c>
      <c r="E9" s="203">
        <v>2756909.5</v>
      </c>
      <c r="F9" s="131">
        <f t="shared" ref="F9:F16" si="0">(+D9-E9)/E9</f>
        <v>-0.2229806600470563</v>
      </c>
      <c r="G9" s="214">
        <f t="shared" ref="G9:G16" si="1">D9/C9</f>
        <v>0.12695020632789447</v>
      </c>
      <c r="H9" s="122"/>
    </row>
    <row r="10" spans="1:8" ht="15.75" x14ac:dyDescent="0.25">
      <c r="A10" s="129"/>
      <c r="B10" s="130">
        <f>DATE(2024,8,1)</f>
        <v>45505</v>
      </c>
      <c r="C10" s="203">
        <v>16250084</v>
      </c>
      <c r="D10" s="203">
        <v>2238159.9</v>
      </c>
      <c r="E10" s="203">
        <v>2981923.5</v>
      </c>
      <c r="F10" s="131">
        <f t="shared" si="0"/>
        <v>-0.24942410494434217</v>
      </c>
      <c r="G10" s="214">
        <f t="shared" si="1"/>
        <v>0.13773220495352514</v>
      </c>
      <c r="H10" s="122"/>
    </row>
    <row r="11" spans="1:8" ht="15.75" x14ac:dyDescent="0.25">
      <c r="A11" s="129"/>
      <c r="B11" s="130">
        <f>DATE(2024,9,1)</f>
        <v>45536</v>
      </c>
      <c r="C11" s="203">
        <v>14685718</v>
      </c>
      <c r="D11" s="203">
        <v>1892412</v>
      </c>
      <c r="E11" s="203">
        <v>1895240.5</v>
      </c>
      <c r="F11" s="131">
        <f t="shared" si="0"/>
        <v>-1.4924227294636221E-3</v>
      </c>
      <c r="G11" s="214">
        <f t="shared" si="1"/>
        <v>0.12886070670838157</v>
      </c>
      <c r="H11" s="122"/>
    </row>
    <row r="12" spans="1:8" ht="15.75" x14ac:dyDescent="0.25">
      <c r="A12" s="129"/>
      <c r="B12" s="130">
        <f>DATE(2024,10,1)</f>
        <v>45566</v>
      </c>
      <c r="C12" s="203">
        <v>14784002</v>
      </c>
      <c r="D12" s="203">
        <v>1986740.5</v>
      </c>
      <c r="E12" s="203">
        <v>2575274</v>
      </c>
      <c r="F12" s="131">
        <f t="shared" si="0"/>
        <v>-0.22853238140873552</v>
      </c>
      <c r="G12" s="214">
        <f t="shared" si="1"/>
        <v>0.13438448533759667</v>
      </c>
      <c r="H12" s="122"/>
    </row>
    <row r="13" spans="1:8" ht="15.75" x14ac:dyDescent="0.25">
      <c r="A13" s="129"/>
      <c r="B13" s="130">
        <f>DATE(2024,11,1)</f>
        <v>45597</v>
      </c>
      <c r="C13" s="203">
        <v>15076241</v>
      </c>
      <c r="D13" s="203">
        <v>2262943</v>
      </c>
      <c r="E13" s="203">
        <v>1924101</v>
      </c>
      <c r="F13" s="131">
        <f t="shared" si="0"/>
        <v>0.17610406106540144</v>
      </c>
      <c r="G13" s="214">
        <f t="shared" si="1"/>
        <v>0.15009994865430978</v>
      </c>
      <c r="H13" s="122"/>
    </row>
    <row r="14" spans="1:8" ht="15.75" x14ac:dyDescent="0.25">
      <c r="A14" s="129"/>
      <c r="B14" s="130">
        <f>DATE(2024,12,1)</f>
        <v>45627</v>
      </c>
      <c r="C14" s="203">
        <v>14717960</v>
      </c>
      <c r="D14" s="203">
        <v>2146361.5</v>
      </c>
      <c r="E14" s="203">
        <v>2377192</v>
      </c>
      <c r="F14" s="131">
        <f t="shared" si="0"/>
        <v>-9.7102169282077336E-2</v>
      </c>
      <c r="G14" s="214">
        <f t="shared" si="1"/>
        <v>0.14583281242780929</v>
      </c>
      <c r="H14" s="122"/>
    </row>
    <row r="15" spans="1:8" ht="15.75" x14ac:dyDescent="0.25">
      <c r="A15" s="129"/>
      <c r="B15" s="130">
        <f>DATE(2025,1,1)</f>
        <v>45658</v>
      </c>
      <c r="C15" s="203">
        <v>14439465</v>
      </c>
      <c r="D15" s="203">
        <v>2195138.5</v>
      </c>
      <c r="E15" s="203">
        <v>2557444</v>
      </c>
      <c r="F15" s="131">
        <f t="shared" si="0"/>
        <v>-0.14166703161437749</v>
      </c>
      <c r="G15" s="214">
        <f t="shared" si="1"/>
        <v>0.15202353411293285</v>
      </c>
      <c r="H15" s="122"/>
    </row>
    <row r="16" spans="1:8" ht="15.75" x14ac:dyDescent="0.25">
      <c r="A16" s="129"/>
      <c r="B16" s="130">
        <f>DATE(2025,2,1)</f>
        <v>45689</v>
      </c>
      <c r="C16" s="203">
        <v>14994639</v>
      </c>
      <c r="D16" s="203">
        <v>1852081</v>
      </c>
      <c r="E16" s="203">
        <v>1928252</v>
      </c>
      <c r="F16" s="131">
        <f t="shared" si="0"/>
        <v>-3.9502616877876956E-2</v>
      </c>
      <c r="G16" s="214">
        <f t="shared" si="1"/>
        <v>0.12351621136060695</v>
      </c>
      <c r="H16" s="122"/>
    </row>
    <row r="17" spans="1:8" ht="15.75" thickBot="1" x14ac:dyDescent="0.25">
      <c r="A17" s="132"/>
      <c r="B17" s="133"/>
      <c r="C17" s="203"/>
      <c r="D17" s="203"/>
      <c r="E17" s="203"/>
      <c r="F17" s="131"/>
      <c r="G17" s="214"/>
      <c r="H17" s="122"/>
    </row>
    <row r="18" spans="1:8" ht="17.25" thickTop="1" thickBot="1" x14ac:dyDescent="0.3">
      <c r="A18" s="134" t="s">
        <v>14</v>
      </c>
      <c r="B18" s="135"/>
      <c r="C18" s="200">
        <f>SUM(C9:C17)</f>
        <v>121822221</v>
      </c>
      <c r="D18" s="200">
        <f>SUM(D9:D17)</f>
        <v>16716008.4</v>
      </c>
      <c r="E18" s="200">
        <f>SUM(E9:E17)</f>
        <v>18996336.5</v>
      </c>
      <c r="F18" s="136">
        <f>(+D18-E18)/E18</f>
        <v>-0.12004041410826764</v>
      </c>
      <c r="G18" s="211">
        <f>D18/C18</f>
        <v>0.13721641472946056</v>
      </c>
      <c r="H18" s="122"/>
    </row>
    <row r="19" spans="1:8" ht="15.75" customHeight="1" thickTop="1" x14ac:dyDescent="0.25">
      <c r="A19" s="137"/>
      <c r="B19" s="138"/>
      <c r="C19" s="204"/>
      <c r="D19" s="204"/>
      <c r="E19" s="204"/>
      <c r="F19" s="139"/>
      <c r="G19" s="215"/>
      <c r="H19" s="122"/>
    </row>
    <row r="20" spans="1:8" ht="15.75" x14ac:dyDescent="0.25">
      <c r="A20" s="19" t="s">
        <v>15</v>
      </c>
      <c r="B20" s="130">
        <f>DATE(2024,7,1)</f>
        <v>45474</v>
      </c>
      <c r="C20" s="203">
        <v>2084705</v>
      </c>
      <c r="D20" s="203">
        <v>481789</v>
      </c>
      <c r="E20" s="203">
        <v>614728</v>
      </c>
      <c r="F20" s="131">
        <f t="shared" ref="F20:F27" si="2">(+D20-E20)/E20</f>
        <v>-0.21625662081440897</v>
      </c>
      <c r="G20" s="214">
        <f t="shared" ref="G20:G27" si="3">D20/C20</f>
        <v>0.23110655944126388</v>
      </c>
      <c r="H20" s="122"/>
    </row>
    <row r="21" spans="1:8" ht="15.75" x14ac:dyDescent="0.25">
      <c r="A21" s="19"/>
      <c r="B21" s="130">
        <f>DATE(2024,8,1)</f>
        <v>45505</v>
      </c>
      <c r="C21" s="203">
        <v>2432555</v>
      </c>
      <c r="D21" s="203">
        <v>713769.5</v>
      </c>
      <c r="E21" s="203">
        <v>388628</v>
      </c>
      <c r="F21" s="131">
        <f t="shared" si="2"/>
        <v>0.83663940838025053</v>
      </c>
      <c r="G21" s="214">
        <f t="shared" si="3"/>
        <v>0.29342378692362558</v>
      </c>
      <c r="H21" s="122"/>
    </row>
    <row r="22" spans="1:8" ht="15.75" x14ac:dyDescent="0.25">
      <c r="A22" s="19"/>
      <c r="B22" s="130">
        <f>DATE(2024,9,1)</f>
        <v>45536</v>
      </c>
      <c r="C22" s="203">
        <v>2226166</v>
      </c>
      <c r="D22" s="203">
        <v>548040</v>
      </c>
      <c r="E22" s="203">
        <v>596038.5</v>
      </c>
      <c r="F22" s="131">
        <f t="shared" si="2"/>
        <v>-8.0529194003407495E-2</v>
      </c>
      <c r="G22" s="214">
        <f t="shared" si="3"/>
        <v>0.24618110239757501</v>
      </c>
      <c r="H22" s="122"/>
    </row>
    <row r="23" spans="1:8" ht="15.75" x14ac:dyDescent="0.25">
      <c r="A23" s="19"/>
      <c r="B23" s="130">
        <f>DATE(2024,10,1)</f>
        <v>45566</v>
      </c>
      <c r="C23" s="203">
        <v>2136231</v>
      </c>
      <c r="D23" s="203">
        <v>525427.5</v>
      </c>
      <c r="E23" s="203">
        <v>457507</v>
      </c>
      <c r="F23" s="131">
        <f t="shared" si="2"/>
        <v>0.14845783780357458</v>
      </c>
      <c r="G23" s="214">
        <f t="shared" si="3"/>
        <v>0.24596005769039023</v>
      </c>
      <c r="H23" s="122"/>
    </row>
    <row r="24" spans="1:8" ht="15.75" x14ac:dyDescent="0.25">
      <c r="A24" s="19"/>
      <c r="B24" s="130">
        <f>DATE(2024,11,1)</f>
        <v>45597</v>
      </c>
      <c r="C24" s="203">
        <v>2636686</v>
      </c>
      <c r="D24" s="203">
        <v>841667.5</v>
      </c>
      <c r="E24" s="203">
        <v>573968</v>
      </c>
      <c r="F24" s="131">
        <f t="shared" si="2"/>
        <v>0.46640143701391018</v>
      </c>
      <c r="G24" s="214">
        <f t="shared" si="3"/>
        <v>0.31921415746888326</v>
      </c>
      <c r="H24" s="122"/>
    </row>
    <row r="25" spans="1:8" ht="15.75" x14ac:dyDescent="0.25">
      <c r="A25" s="19"/>
      <c r="B25" s="130">
        <f>DATE(2024,12,1)</f>
        <v>45627</v>
      </c>
      <c r="C25" s="203">
        <v>2483587</v>
      </c>
      <c r="D25" s="203">
        <v>733146</v>
      </c>
      <c r="E25" s="203">
        <v>676389.5</v>
      </c>
      <c r="F25" s="131">
        <f t="shared" si="2"/>
        <v>8.3910971415138758E-2</v>
      </c>
      <c r="G25" s="214">
        <f t="shared" si="3"/>
        <v>0.29519642355995585</v>
      </c>
      <c r="H25" s="122"/>
    </row>
    <row r="26" spans="1:8" ht="15.75" x14ac:dyDescent="0.25">
      <c r="A26" s="19"/>
      <c r="B26" s="130">
        <f>DATE(2025,1,1)</f>
        <v>45658</v>
      </c>
      <c r="C26" s="203">
        <v>2360115</v>
      </c>
      <c r="D26" s="203">
        <v>505460.5</v>
      </c>
      <c r="E26" s="203">
        <v>621740</v>
      </c>
      <c r="F26" s="131">
        <f t="shared" si="2"/>
        <v>-0.1870227104577476</v>
      </c>
      <c r="G26" s="214">
        <f t="shared" si="3"/>
        <v>0.21416774182613982</v>
      </c>
      <c r="H26" s="122"/>
    </row>
    <row r="27" spans="1:8" ht="15.75" x14ac:dyDescent="0.25">
      <c r="A27" s="19"/>
      <c r="B27" s="130">
        <f>DATE(2025,2,1)</f>
        <v>45689</v>
      </c>
      <c r="C27" s="203">
        <v>2617086</v>
      </c>
      <c r="D27" s="203">
        <v>741266.5</v>
      </c>
      <c r="E27" s="203">
        <v>529666</v>
      </c>
      <c r="F27" s="131">
        <f t="shared" si="2"/>
        <v>0.39949798552295218</v>
      </c>
      <c r="G27" s="214">
        <f t="shared" si="3"/>
        <v>0.28324116975903735</v>
      </c>
      <c r="H27" s="122"/>
    </row>
    <row r="28" spans="1:8" ht="15.75" thickBot="1" x14ac:dyDescent="0.25">
      <c r="A28" s="132"/>
      <c r="B28" s="130"/>
      <c r="C28" s="203"/>
      <c r="D28" s="203"/>
      <c r="E28" s="203"/>
      <c r="F28" s="131"/>
      <c r="G28" s="214"/>
      <c r="H28" s="122"/>
    </row>
    <row r="29" spans="1:8" ht="17.25" thickTop="1" thickBot="1" x14ac:dyDescent="0.3">
      <c r="A29" s="134" t="s">
        <v>14</v>
      </c>
      <c r="B29" s="135"/>
      <c r="C29" s="200">
        <f>SUM(C20:C28)</f>
        <v>18977131</v>
      </c>
      <c r="D29" s="200">
        <f>SUM(D20:D28)</f>
        <v>5090566.5</v>
      </c>
      <c r="E29" s="200">
        <f>SUM(E20:E28)</f>
        <v>4458665</v>
      </c>
      <c r="F29" s="136">
        <f>(+D29-E29)/E29</f>
        <v>0.14172437265414647</v>
      </c>
      <c r="G29" s="211">
        <f>D29/C29</f>
        <v>0.26824742370171761</v>
      </c>
      <c r="H29" s="122"/>
    </row>
    <row r="30" spans="1:8" ht="15.75" customHeight="1" thickTop="1" x14ac:dyDescent="0.25">
      <c r="A30" s="254"/>
      <c r="B30" s="138"/>
      <c r="C30" s="204"/>
      <c r="D30" s="204"/>
      <c r="E30" s="204"/>
      <c r="F30" s="139"/>
      <c r="G30" s="218"/>
      <c r="H30" s="122"/>
    </row>
    <row r="31" spans="1:8" ht="15.75" x14ac:dyDescent="0.25">
      <c r="A31" s="19" t="s">
        <v>62</v>
      </c>
      <c r="B31" s="130">
        <f>DATE(2024,7,1)</f>
        <v>45474</v>
      </c>
      <c r="C31" s="203">
        <v>1293032</v>
      </c>
      <c r="D31" s="203">
        <v>281475</v>
      </c>
      <c r="E31" s="203">
        <v>166322.5</v>
      </c>
      <c r="F31" s="131">
        <f t="shared" ref="F31:F38" si="4">(+D31-E31)/E31</f>
        <v>0.6923446917885433</v>
      </c>
      <c r="G31" s="214">
        <f t="shared" ref="G31:G38" si="5">D31/C31</f>
        <v>0.2176860278786604</v>
      </c>
      <c r="H31" s="122"/>
    </row>
    <row r="32" spans="1:8" ht="15.75" x14ac:dyDescent="0.25">
      <c r="A32" s="19"/>
      <c r="B32" s="130">
        <f>DATE(2024,8,1)</f>
        <v>45505</v>
      </c>
      <c r="C32" s="203">
        <v>1364653</v>
      </c>
      <c r="D32" s="203">
        <v>304278.5</v>
      </c>
      <c r="E32" s="203">
        <v>264487</v>
      </c>
      <c r="F32" s="131">
        <f t="shared" si="4"/>
        <v>0.15044784809839426</v>
      </c>
      <c r="G32" s="214">
        <f t="shared" si="5"/>
        <v>0.22297133410471379</v>
      </c>
      <c r="H32" s="122"/>
    </row>
    <row r="33" spans="1:8" ht="15.75" x14ac:dyDescent="0.25">
      <c r="A33" s="19"/>
      <c r="B33" s="130">
        <f>DATE(2024,9,1)</f>
        <v>45536</v>
      </c>
      <c r="C33" s="203">
        <v>1205397</v>
      </c>
      <c r="D33" s="203">
        <v>260316</v>
      </c>
      <c r="E33" s="203">
        <v>353812</v>
      </c>
      <c r="F33" s="131">
        <f t="shared" si="4"/>
        <v>-0.264253332278159</v>
      </c>
      <c r="G33" s="214">
        <f t="shared" si="5"/>
        <v>0.21595872563147245</v>
      </c>
      <c r="H33" s="122"/>
    </row>
    <row r="34" spans="1:8" ht="15.75" x14ac:dyDescent="0.25">
      <c r="A34" s="19"/>
      <c r="B34" s="130">
        <f>DATE(2024,10,1)</f>
        <v>45566</v>
      </c>
      <c r="C34" s="203">
        <v>1047982</v>
      </c>
      <c r="D34" s="203">
        <v>198689</v>
      </c>
      <c r="E34" s="203">
        <v>292380</v>
      </c>
      <c r="F34" s="131">
        <f t="shared" si="4"/>
        <v>-0.32044257473151377</v>
      </c>
      <c r="G34" s="214">
        <f t="shared" si="5"/>
        <v>0.18959199680910549</v>
      </c>
      <c r="H34" s="122"/>
    </row>
    <row r="35" spans="1:8" ht="15.75" x14ac:dyDescent="0.25">
      <c r="A35" s="19"/>
      <c r="B35" s="130">
        <f>DATE(2024,11,1)</f>
        <v>45597</v>
      </c>
      <c r="C35" s="203">
        <v>1722743</v>
      </c>
      <c r="D35" s="203">
        <v>414768.5</v>
      </c>
      <c r="E35" s="203">
        <v>305629</v>
      </c>
      <c r="F35" s="131">
        <f t="shared" si="4"/>
        <v>0.35709798481165073</v>
      </c>
      <c r="G35" s="214">
        <f t="shared" si="5"/>
        <v>0.2407605197060734</v>
      </c>
      <c r="H35" s="122"/>
    </row>
    <row r="36" spans="1:8" ht="15.75" x14ac:dyDescent="0.25">
      <c r="A36" s="19"/>
      <c r="B36" s="130">
        <f>DATE(2024,12,1)</f>
        <v>45627</v>
      </c>
      <c r="C36" s="203">
        <v>1612162</v>
      </c>
      <c r="D36" s="203">
        <v>415414</v>
      </c>
      <c r="E36" s="203">
        <v>320450.5</v>
      </c>
      <c r="F36" s="131">
        <f t="shared" si="4"/>
        <v>0.296343741077015</v>
      </c>
      <c r="G36" s="214">
        <f t="shared" si="5"/>
        <v>0.25767509716765435</v>
      </c>
      <c r="H36" s="122"/>
    </row>
    <row r="37" spans="1:8" ht="15.75" x14ac:dyDescent="0.25">
      <c r="A37" s="19"/>
      <c r="B37" s="130">
        <f>DATE(2025,1,1)</f>
        <v>45658</v>
      </c>
      <c r="C37" s="203">
        <v>1528434</v>
      </c>
      <c r="D37" s="203">
        <v>300101.5</v>
      </c>
      <c r="E37" s="203">
        <v>358643</v>
      </c>
      <c r="F37" s="131">
        <f t="shared" si="4"/>
        <v>-0.16323056632919086</v>
      </c>
      <c r="G37" s="214">
        <f t="shared" si="5"/>
        <v>0.19634573687839973</v>
      </c>
      <c r="H37" s="122"/>
    </row>
    <row r="38" spans="1:8" ht="15.75" x14ac:dyDescent="0.25">
      <c r="A38" s="19"/>
      <c r="B38" s="130">
        <f>DATE(2025,2,1)</f>
        <v>45689</v>
      </c>
      <c r="C38" s="203">
        <v>1221292</v>
      </c>
      <c r="D38" s="203">
        <v>265795</v>
      </c>
      <c r="E38" s="203">
        <v>243898.5</v>
      </c>
      <c r="F38" s="131">
        <f t="shared" si="4"/>
        <v>8.9777099900163387E-2</v>
      </c>
      <c r="G38" s="214">
        <f t="shared" si="5"/>
        <v>0.21763427583247905</v>
      </c>
      <c r="H38" s="122"/>
    </row>
    <row r="39" spans="1:8" ht="15.75" thickBot="1" x14ac:dyDescent="0.25">
      <c r="A39" s="132"/>
      <c r="B39" s="130"/>
      <c r="C39" s="203"/>
      <c r="D39" s="203"/>
      <c r="E39" s="203"/>
      <c r="F39" s="131"/>
      <c r="G39" s="214"/>
      <c r="H39" s="122"/>
    </row>
    <row r="40" spans="1:8" ht="17.25" thickTop="1" thickBot="1" x14ac:dyDescent="0.3">
      <c r="A40" s="140" t="s">
        <v>14</v>
      </c>
      <c r="B40" s="141"/>
      <c r="C40" s="205">
        <f>SUM(C31:C39)</f>
        <v>10995695</v>
      </c>
      <c r="D40" s="205">
        <f>SUM(D31:D39)</f>
        <v>2440837.5</v>
      </c>
      <c r="E40" s="205">
        <f>SUM(E31:E39)</f>
        <v>2305622.5</v>
      </c>
      <c r="F40" s="142">
        <f>(+D40-E40)/E40</f>
        <v>5.8645767032547612E-2</v>
      </c>
      <c r="G40" s="216">
        <f>D40/C40</f>
        <v>0.22198119354892984</v>
      </c>
      <c r="H40" s="122"/>
    </row>
    <row r="41" spans="1:8" ht="15.75" thickTop="1" x14ac:dyDescent="0.2">
      <c r="A41" s="132"/>
      <c r="B41" s="133"/>
      <c r="C41" s="203"/>
      <c r="D41" s="203"/>
      <c r="E41" s="203"/>
      <c r="F41" s="131"/>
      <c r="G41" s="217"/>
      <c r="H41" s="122"/>
    </row>
    <row r="42" spans="1:8" ht="15.75" x14ac:dyDescent="0.25">
      <c r="A42" s="176" t="s">
        <v>58</v>
      </c>
      <c r="B42" s="130">
        <f>DATE(2024,7,1)</f>
        <v>45474</v>
      </c>
      <c r="C42" s="203">
        <v>16481677</v>
      </c>
      <c r="D42" s="203">
        <v>2924457.34</v>
      </c>
      <c r="E42" s="203">
        <v>3803022</v>
      </c>
      <c r="F42" s="131">
        <f t="shared" ref="F42:F49" si="6">(+D42-E42)/E42</f>
        <v>-0.23101750660395867</v>
      </c>
      <c r="G42" s="214">
        <f t="shared" ref="G42:G49" si="7">D42/C42</f>
        <v>0.17743687975440847</v>
      </c>
      <c r="H42" s="122"/>
    </row>
    <row r="43" spans="1:8" ht="15.75" x14ac:dyDescent="0.25">
      <c r="A43" s="176"/>
      <c r="B43" s="130">
        <f>DATE(2024,8,1)</f>
        <v>45505</v>
      </c>
      <c r="C43" s="203">
        <v>16878247</v>
      </c>
      <c r="D43" s="203">
        <v>4174786.65</v>
      </c>
      <c r="E43" s="203">
        <v>2558007.38</v>
      </c>
      <c r="F43" s="131">
        <f t="shared" si="6"/>
        <v>0.63204636649640944</v>
      </c>
      <c r="G43" s="214">
        <f t="shared" si="7"/>
        <v>0.24734717118430605</v>
      </c>
      <c r="H43" s="122"/>
    </row>
    <row r="44" spans="1:8" ht="15.75" x14ac:dyDescent="0.25">
      <c r="A44" s="176"/>
      <c r="B44" s="130">
        <f>DATE(2024,9,1)</f>
        <v>45536</v>
      </c>
      <c r="C44" s="203">
        <v>17130312</v>
      </c>
      <c r="D44" s="203">
        <v>3153365.16</v>
      </c>
      <c r="E44" s="203">
        <v>3090684.15</v>
      </c>
      <c r="F44" s="131">
        <f t="shared" si="6"/>
        <v>2.0280626216690644E-2</v>
      </c>
      <c r="G44" s="214">
        <f t="shared" si="7"/>
        <v>0.18408101148420414</v>
      </c>
      <c r="H44" s="122"/>
    </row>
    <row r="45" spans="1:8" ht="15.75" x14ac:dyDescent="0.25">
      <c r="A45" s="176"/>
      <c r="B45" s="130">
        <f>DATE(2024,10,1)</f>
        <v>45566</v>
      </c>
      <c r="C45" s="203">
        <v>15450000</v>
      </c>
      <c r="D45" s="203">
        <v>3337567.1</v>
      </c>
      <c r="E45" s="203">
        <v>2879319</v>
      </c>
      <c r="F45" s="131">
        <f t="shared" si="6"/>
        <v>0.15915155632286665</v>
      </c>
      <c r="G45" s="214">
        <f t="shared" si="7"/>
        <v>0.21602376051779937</v>
      </c>
      <c r="H45" s="122"/>
    </row>
    <row r="46" spans="1:8" ht="15.75" x14ac:dyDescent="0.25">
      <c r="A46" s="176"/>
      <c r="B46" s="130">
        <f>DATE(2024,11,1)</f>
        <v>45597</v>
      </c>
      <c r="C46" s="203">
        <v>15151732</v>
      </c>
      <c r="D46" s="203">
        <v>2609189.4300000002</v>
      </c>
      <c r="E46" s="203">
        <v>3291435.87</v>
      </c>
      <c r="F46" s="131">
        <f t="shared" si="6"/>
        <v>-0.20727927474400404</v>
      </c>
      <c r="G46" s="214">
        <f t="shared" si="7"/>
        <v>0.17220403779581109</v>
      </c>
      <c r="H46" s="122"/>
    </row>
    <row r="47" spans="1:8" ht="15.75" x14ac:dyDescent="0.25">
      <c r="A47" s="176"/>
      <c r="B47" s="130">
        <f>DATE(2024,12,1)</f>
        <v>45627</v>
      </c>
      <c r="C47" s="203">
        <v>16413255</v>
      </c>
      <c r="D47" s="203">
        <v>4136219.56</v>
      </c>
      <c r="E47" s="203">
        <v>3310603.9</v>
      </c>
      <c r="F47" s="131">
        <f t="shared" si="6"/>
        <v>0.24938521337451458</v>
      </c>
      <c r="G47" s="214">
        <f t="shared" si="7"/>
        <v>0.25200483146091374</v>
      </c>
      <c r="H47" s="122"/>
    </row>
    <row r="48" spans="1:8" ht="15.75" x14ac:dyDescent="0.25">
      <c r="A48" s="176"/>
      <c r="B48" s="130">
        <f>DATE(2025,1,1)</f>
        <v>45658</v>
      </c>
      <c r="C48" s="203">
        <v>13571242.779999999</v>
      </c>
      <c r="D48" s="203">
        <v>2940557.3</v>
      </c>
      <c r="E48" s="203">
        <v>2763966.36</v>
      </c>
      <c r="F48" s="131">
        <f t="shared" si="6"/>
        <v>6.3890408564885703E-2</v>
      </c>
      <c r="G48" s="214">
        <f t="shared" si="7"/>
        <v>0.21667560942417979</v>
      </c>
      <c r="H48" s="122"/>
    </row>
    <row r="49" spans="1:8" ht="15.75" x14ac:dyDescent="0.25">
      <c r="A49" s="176"/>
      <c r="B49" s="130">
        <f>DATE(2025,2,1)</f>
        <v>45689</v>
      </c>
      <c r="C49" s="203">
        <v>15687075</v>
      </c>
      <c r="D49" s="203">
        <v>3148285.01</v>
      </c>
      <c r="E49" s="203">
        <v>3510721.02</v>
      </c>
      <c r="F49" s="131">
        <f t="shared" si="6"/>
        <v>-0.10323691570343013</v>
      </c>
      <c r="G49" s="214">
        <f t="shared" si="7"/>
        <v>0.20069292777652939</v>
      </c>
      <c r="H49" s="122"/>
    </row>
    <row r="50" spans="1:8" ht="15.75" customHeight="1" thickBot="1" x14ac:dyDescent="0.25">
      <c r="A50" s="132"/>
      <c r="B50" s="133"/>
      <c r="C50" s="203"/>
      <c r="D50" s="203"/>
      <c r="E50" s="203"/>
      <c r="F50" s="131"/>
      <c r="G50" s="214"/>
      <c r="H50" s="122"/>
    </row>
    <row r="51" spans="1:8" ht="17.25" customHeight="1" thickTop="1" thickBot="1" x14ac:dyDescent="0.3">
      <c r="A51" s="140" t="s">
        <v>14</v>
      </c>
      <c r="B51" s="141"/>
      <c r="C51" s="205">
        <f>SUM(C42:C50)</f>
        <v>126763540.78</v>
      </c>
      <c r="D51" s="205">
        <f>SUM(D42:D50)</f>
        <v>26424427.549999997</v>
      </c>
      <c r="E51" s="205">
        <f>SUM(E42:E50)</f>
        <v>25207759.679999996</v>
      </c>
      <c r="F51" s="142">
        <f>(+D51-E51)/E51</f>
        <v>4.8265608901584121E-2</v>
      </c>
      <c r="G51" s="216">
        <f>D51/C51</f>
        <v>0.20845447663741093</v>
      </c>
      <c r="H51" s="122"/>
    </row>
    <row r="52" spans="1:8" ht="15.75" customHeight="1" thickTop="1" x14ac:dyDescent="0.2">
      <c r="A52" s="132"/>
      <c r="B52" s="133"/>
      <c r="C52" s="203"/>
      <c r="D52" s="203"/>
      <c r="E52" s="203"/>
      <c r="F52" s="131"/>
      <c r="G52" s="217"/>
      <c r="H52" s="122"/>
    </row>
    <row r="53" spans="1:8" ht="15" customHeight="1" x14ac:dyDescent="0.25">
      <c r="A53" s="129" t="s">
        <v>60</v>
      </c>
      <c r="B53" s="130">
        <f>DATE(2024,7,1)</f>
        <v>45474</v>
      </c>
      <c r="C53" s="203">
        <v>14778119</v>
      </c>
      <c r="D53" s="203">
        <v>2983132</v>
      </c>
      <c r="E53" s="203">
        <v>3308388.5</v>
      </c>
      <c r="F53" s="131">
        <f t="shared" ref="F53:F60" si="8">(+D53-E53)/E53</f>
        <v>-9.8312667934857101E-2</v>
      </c>
      <c r="G53" s="214">
        <f t="shared" ref="G53:G60" si="9">D53/C53</f>
        <v>0.20186141416238426</v>
      </c>
      <c r="H53" s="122"/>
    </row>
    <row r="54" spans="1:8" ht="15" customHeight="1" x14ac:dyDescent="0.25">
      <c r="A54" s="129"/>
      <c r="B54" s="130">
        <f>DATE(2024,8,1)</f>
        <v>45505</v>
      </c>
      <c r="C54" s="203">
        <v>14088991</v>
      </c>
      <c r="D54" s="203">
        <v>3594985</v>
      </c>
      <c r="E54" s="203">
        <v>3099426.5</v>
      </c>
      <c r="F54" s="131">
        <f t="shared" si="8"/>
        <v>0.15988715976971868</v>
      </c>
      <c r="G54" s="214">
        <f t="shared" si="9"/>
        <v>0.25516270114730005</v>
      </c>
      <c r="H54" s="122"/>
    </row>
    <row r="55" spans="1:8" ht="15" customHeight="1" x14ac:dyDescent="0.25">
      <c r="A55" s="129"/>
      <c r="B55" s="130">
        <f>DATE(2024,9,1)</f>
        <v>45536</v>
      </c>
      <c r="C55" s="203">
        <v>13973200.310000001</v>
      </c>
      <c r="D55" s="203">
        <v>3439229.31</v>
      </c>
      <c r="E55" s="203">
        <v>3032057</v>
      </c>
      <c r="F55" s="131">
        <f t="shared" si="8"/>
        <v>0.13428913440611442</v>
      </c>
      <c r="G55" s="214">
        <f t="shared" si="9"/>
        <v>0.24613039487730637</v>
      </c>
      <c r="H55" s="122"/>
    </row>
    <row r="56" spans="1:8" ht="15" customHeight="1" x14ac:dyDescent="0.25">
      <c r="A56" s="129"/>
      <c r="B56" s="130">
        <f>DATE(2024,10,1)</f>
        <v>45566</v>
      </c>
      <c r="C56" s="203">
        <v>15272132</v>
      </c>
      <c r="D56" s="203">
        <v>3362463</v>
      </c>
      <c r="E56" s="203">
        <v>2838722.5</v>
      </c>
      <c r="F56" s="131">
        <f t="shared" si="8"/>
        <v>0.18449866092934411</v>
      </c>
      <c r="G56" s="214">
        <f t="shared" si="9"/>
        <v>0.22016984923912392</v>
      </c>
      <c r="H56" s="122"/>
    </row>
    <row r="57" spans="1:8" ht="15" customHeight="1" x14ac:dyDescent="0.25">
      <c r="A57" s="129"/>
      <c r="B57" s="130">
        <f>DATE(2024,11,1)</f>
        <v>45597</v>
      </c>
      <c r="C57" s="203">
        <v>14559575.5</v>
      </c>
      <c r="D57" s="203">
        <v>3369905</v>
      </c>
      <c r="E57" s="203">
        <v>2777794</v>
      </c>
      <c r="F57" s="131">
        <f t="shared" si="8"/>
        <v>0.2131587151531035</v>
      </c>
      <c r="G57" s="214">
        <f t="shared" si="9"/>
        <v>0.23145626738911446</v>
      </c>
      <c r="H57" s="122"/>
    </row>
    <row r="58" spans="1:8" ht="15" customHeight="1" x14ac:dyDescent="0.25">
      <c r="A58" s="129"/>
      <c r="B58" s="130">
        <f>DATE(2024,12,1)</f>
        <v>45627</v>
      </c>
      <c r="C58" s="203">
        <v>14937393</v>
      </c>
      <c r="D58" s="203">
        <v>3459971</v>
      </c>
      <c r="E58" s="203">
        <v>3754286.5</v>
      </c>
      <c r="F58" s="131">
        <f t="shared" si="8"/>
        <v>-7.8394523167051852E-2</v>
      </c>
      <c r="G58" s="214">
        <f t="shared" si="9"/>
        <v>0.23163151695881604</v>
      </c>
      <c r="H58" s="122"/>
    </row>
    <row r="59" spans="1:8" ht="15" customHeight="1" x14ac:dyDescent="0.25">
      <c r="A59" s="129"/>
      <c r="B59" s="130">
        <f>DATE(2025,1,1)</f>
        <v>45658</v>
      </c>
      <c r="C59" s="203">
        <v>13701530</v>
      </c>
      <c r="D59" s="203">
        <v>2683494</v>
      </c>
      <c r="E59" s="203">
        <v>2662409</v>
      </c>
      <c r="F59" s="131">
        <f t="shared" si="8"/>
        <v>7.9195195028262007E-3</v>
      </c>
      <c r="G59" s="214">
        <f t="shared" si="9"/>
        <v>0.19585360175104533</v>
      </c>
      <c r="H59" s="122"/>
    </row>
    <row r="60" spans="1:8" ht="15" customHeight="1" x14ac:dyDescent="0.25">
      <c r="A60" s="129"/>
      <c r="B60" s="130">
        <f>DATE(2025,2,1)</f>
        <v>45689</v>
      </c>
      <c r="C60" s="203">
        <v>14056320</v>
      </c>
      <c r="D60" s="203">
        <v>3371843</v>
      </c>
      <c r="E60" s="203">
        <v>3058546</v>
      </c>
      <c r="F60" s="131">
        <f t="shared" si="8"/>
        <v>0.1024333130840602</v>
      </c>
      <c r="G60" s="214">
        <f t="shared" si="9"/>
        <v>0.23988092189136276</v>
      </c>
      <c r="H60" s="122"/>
    </row>
    <row r="61" spans="1:8" ht="15.75" thickBot="1" x14ac:dyDescent="0.25">
      <c r="A61" s="132"/>
      <c r="B61" s="130"/>
      <c r="C61" s="203"/>
      <c r="D61" s="203"/>
      <c r="E61" s="203"/>
      <c r="F61" s="131"/>
      <c r="G61" s="214"/>
      <c r="H61" s="122"/>
    </row>
    <row r="62" spans="1:8" ht="17.25" customHeight="1" thickTop="1" thickBot="1" x14ac:dyDescent="0.3">
      <c r="A62" s="140" t="s">
        <v>14</v>
      </c>
      <c r="B62" s="141"/>
      <c r="C62" s="206">
        <f>SUM(C53:C61)</f>
        <v>115367260.81</v>
      </c>
      <c r="D62" s="260">
        <f>SUM(D53:D61)</f>
        <v>26265022.310000002</v>
      </c>
      <c r="E62" s="205">
        <f>SUM(E53:E61)</f>
        <v>24531630</v>
      </c>
      <c r="F62" s="267">
        <f>(+D62-E62)/E62</f>
        <v>7.0659483695131642E-2</v>
      </c>
      <c r="G62" s="266">
        <f>D62/C62</f>
        <v>0.2276644355217573</v>
      </c>
      <c r="H62" s="122"/>
    </row>
    <row r="63" spans="1:8" ht="15.75" customHeight="1" thickTop="1" x14ac:dyDescent="0.25">
      <c r="A63" s="129"/>
      <c r="B63" s="133"/>
      <c r="C63" s="203"/>
      <c r="D63" s="203"/>
      <c r="E63" s="203"/>
      <c r="F63" s="131"/>
      <c r="G63" s="217"/>
      <c r="H63" s="122"/>
    </row>
    <row r="64" spans="1:8" ht="15.75" x14ac:dyDescent="0.25">
      <c r="A64" s="129" t="s">
        <v>64</v>
      </c>
      <c r="B64" s="130">
        <f>DATE(2024,7,1)</f>
        <v>45474</v>
      </c>
      <c r="C64" s="203">
        <v>3271046</v>
      </c>
      <c r="D64" s="203">
        <v>749499</v>
      </c>
      <c r="E64" s="203">
        <v>707897</v>
      </c>
      <c r="F64" s="131">
        <f t="shared" ref="F64:F71" si="10">(+D64-E64)/E64</f>
        <v>5.876843665109472E-2</v>
      </c>
      <c r="G64" s="214">
        <f t="shared" ref="G64:G71" si="11">D64/C64</f>
        <v>0.22913129317044151</v>
      </c>
      <c r="H64" s="122"/>
    </row>
    <row r="65" spans="1:8" ht="15.75" x14ac:dyDescent="0.25">
      <c r="A65" s="129"/>
      <c r="B65" s="130">
        <f>DATE(2024,8,1)</f>
        <v>45505</v>
      </c>
      <c r="C65" s="203">
        <v>3343771</v>
      </c>
      <c r="D65" s="203">
        <v>714655.5</v>
      </c>
      <c r="E65" s="203">
        <v>871889</v>
      </c>
      <c r="F65" s="131">
        <f t="shared" si="10"/>
        <v>-0.1803366024803616</v>
      </c>
      <c r="G65" s="214">
        <f t="shared" si="11"/>
        <v>0.21372740537554755</v>
      </c>
      <c r="H65" s="122"/>
    </row>
    <row r="66" spans="1:8" ht="15.75" x14ac:dyDescent="0.25">
      <c r="A66" s="129"/>
      <c r="B66" s="130">
        <f>DATE(2024,9,1)</f>
        <v>45536</v>
      </c>
      <c r="C66" s="203">
        <v>2841222</v>
      </c>
      <c r="D66" s="203">
        <v>930975</v>
      </c>
      <c r="E66" s="203">
        <v>529240.5</v>
      </c>
      <c r="F66" s="131">
        <f t="shared" si="10"/>
        <v>0.75907739487057402</v>
      </c>
      <c r="G66" s="214">
        <f t="shared" si="11"/>
        <v>0.32766710943389854</v>
      </c>
      <c r="H66" s="122"/>
    </row>
    <row r="67" spans="1:8" ht="15.75" x14ac:dyDescent="0.25">
      <c r="A67" s="129"/>
      <c r="B67" s="130">
        <f>DATE(2024,10,1)</f>
        <v>45566</v>
      </c>
      <c r="C67" s="203">
        <v>2745387</v>
      </c>
      <c r="D67" s="203">
        <v>723018.5</v>
      </c>
      <c r="E67" s="203">
        <v>555726</v>
      </c>
      <c r="F67" s="131">
        <f t="shared" si="10"/>
        <v>0.30103414272501194</v>
      </c>
      <c r="G67" s="214">
        <f t="shared" si="11"/>
        <v>0.26335758856583791</v>
      </c>
      <c r="H67" s="122"/>
    </row>
    <row r="68" spans="1:8" ht="15.75" x14ac:dyDescent="0.25">
      <c r="A68" s="129"/>
      <c r="B68" s="130">
        <f>DATE(2024,11,1)</f>
        <v>45597</v>
      </c>
      <c r="C68" s="203">
        <v>2889885</v>
      </c>
      <c r="D68" s="203">
        <v>655674</v>
      </c>
      <c r="E68" s="203">
        <v>618313.5</v>
      </c>
      <c r="F68" s="131">
        <f t="shared" si="10"/>
        <v>6.0423231904203935E-2</v>
      </c>
      <c r="G68" s="214">
        <f t="shared" si="11"/>
        <v>0.22688584493846642</v>
      </c>
      <c r="H68" s="122"/>
    </row>
    <row r="69" spans="1:8" ht="15.75" x14ac:dyDescent="0.25">
      <c r="A69" s="129"/>
      <c r="B69" s="130">
        <f>DATE(2024,12,1)</f>
        <v>45627</v>
      </c>
      <c r="C69" s="203">
        <v>3342044</v>
      </c>
      <c r="D69" s="203">
        <v>815712</v>
      </c>
      <c r="E69" s="203">
        <v>684848</v>
      </c>
      <c r="F69" s="131">
        <f t="shared" si="10"/>
        <v>0.19108473705114126</v>
      </c>
      <c r="G69" s="214">
        <f t="shared" si="11"/>
        <v>0.24407578116865009</v>
      </c>
      <c r="H69" s="122"/>
    </row>
    <row r="70" spans="1:8" ht="15.75" x14ac:dyDescent="0.25">
      <c r="A70" s="129"/>
      <c r="B70" s="130">
        <f>DATE(2025,1,1)</f>
        <v>45658</v>
      </c>
      <c r="C70" s="203">
        <v>3028683</v>
      </c>
      <c r="D70" s="203">
        <v>695996</v>
      </c>
      <c r="E70" s="203">
        <v>610254.26</v>
      </c>
      <c r="F70" s="131">
        <f t="shared" si="10"/>
        <v>0.14050166564998659</v>
      </c>
      <c r="G70" s="214">
        <f t="shared" si="11"/>
        <v>0.22980153419819771</v>
      </c>
      <c r="H70" s="122"/>
    </row>
    <row r="71" spans="1:8" ht="15.75" x14ac:dyDescent="0.25">
      <c r="A71" s="129"/>
      <c r="B71" s="130">
        <f>DATE(2025,2,1)</f>
        <v>45689</v>
      </c>
      <c r="C71" s="203">
        <v>3075639</v>
      </c>
      <c r="D71" s="203">
        <v>851344.5</v>
      </c>
      <c r="E71" s="203">
        <v>692581.7</v>
      </c>
      <c r="F71" s="131">
        <f t="shared" si="10"/>
        <v>0.22923331644483252</v>
      </c>
      <c r="G71" s="214">
        <f t="shared" si="11"/>
        <v>0.27680247909458816</v>
      </c>
      <c r="H71" s="122"/>
    </row>
    <row r="72" spans="1:8" ht="15.75" customHeight="1" thickBot="1" x14ac:dyDescent="0.3">
      <c r="A72" s="129"/>
      <c r="B72" s="130"/>
      <c r="C72" s="203"/>
      <c r="D72" s="203"/>
      <c r="E72" s="203"/>
      <c r="F72" s="131"/>
      <c r="G72" s="214"/>
      <c r="H72" s="122"/>
    </row>
    <row r="73" spans="1:8" ht="17.25" thickTop="1" thickBot="1" x14ac:dyDescent="0.3">
      <c r="A73" s="140" t="s">
        <v>14</v>
      </c>
      <c r="B73" s="141"/>
      <c r="C73" s="206">
        <f>SUM(C64:C72)</f>
        <v>24537677</v>
      </c>
      <c r="D73" s="260">
        <f>SUM(D64:D72)</f>
        <v>6136874.5</v>
      </c>
      <c r="E73" s="206">
        <f>SUM(E64:E72)</f>
        <v>5270749.96</v>
      </c>
      <c r="F73" s="267">
        <f>(+D73-E73)/E73</f>
        <v>0.16432662269564388</v>
      </c>
      <c r="G73" s="266">
        <f>D73/C73</f>
        <v>0.2501000604091414</v>
      </c>
      <c r="H73" s="122"/>
    </row>
    <row r="74" spans="1:8" ht="15.75" customHeight="1" thickTop="1" x14ac:dyDescent="0.25">
      <c r="A74" s="129"/>
      <c r="B74" s="133"/>
      <c r="C74" s="203"/>
      <c r="D74" s="203"/>
      <c r="E74" s="203"/>
      <c r="F74" s="131"/>
      <c r="G74" s="217"/>
      <c r="H74" s="122"/>
    </row>
    <row r="75" spans="1:8" ht="15.75" x14ac:dyDescent="0.25">
      <c r="A75" s="129" t="s">
        <v>67</v>
      </c>
      <c r="B75" s="130">
        <f>DATE(2024,7,1)</f>
        <v>45474</v>
      </c>
      <c r="C75" s="203">
        <v>11086800</v>
      </c>
      <c r="D75" s="203">
        <v>1112358.5</v>
      </c>
      <c r="E75" s="203">
        <v>826564</v>
      </c>
      <c r="F75" s="131">
        <f t="shared" ref="F75:F82" si="12">(+D75-E75)/E75</f>
        <v>0.34576209464723845</v>
      </c>
      <c r="G75" s="214">
        <f t="shared" ref="G75:G82" si="13">D75/C75</f>
        <v>0.10033179095861745</v>
      </c>
      <c r="H75" s="122"/>
    </row>
    <row r="76" spans="1:8" ht="15.75" x14ac:dyDescent="0.25">
      <c r="A76" s="129"/>
      <c r="B76" s="130">
        <f>DATE(2024,8,1)</f>
        <v>45505</v>
      </c>
      <c r="C76" s="203">
        <v>9584251</v>
      </c>
      <c r="D76" s="203">
        <v>743956</v>
      </c>
      <c r="E76" s="203">
        <v>916100.5</v>
      </c>
      <c r="F76" s="131">
        <f t="shared" si="12"/>
        <v>-0.18791006008620234</v>
      </c>
      <c r="G76" s="214">
        <f t="shared" si="13"/>
        <v>7.7622758418993826E-2</v>
      </c>
      <c r="H76" s="122"/>
    </row>
    <row r="77" spans="1:8" ht="15.75" x14ac:dyDescent="0.25">
      <c r="A77" s="129"/>
      <c r="B77" s="130">
        <f>DATE(2024,9,1)</f>
        <v>45536</v>
      </c>
      <c r="C77" s="203">
        <v>8024758</v>
      </c>
      <c r="D77" s="203">
        <v>865028.5</v>
      </c>
      <c r="E77" s="203">
        <v>1270044.5</v>
      </c>
      <c r="F77" s="131">
        <f t="shared" si="12"/>
        <v>-0.31889906219821429</v>
      </c>
      <c r="G77" s="214">
        <f t="shared" si="13"/>
        <v>0.10779496403505252</v>
      </c>
      <c r="H77" s="122"/>
    </row>
    <row r="78" spans="1:8" ht="15.75" x14ac:dyDescent="0.25">
      <c r="A78" s="129"/>
      <c r="B78" s="130">
        <f>DATE(2024,10,1)</f>
        <v>45566</v>
      </c>
      <c r="C78" s="203">
        <v>6319429</v>
      </c>
      <c r="D78" s="203">
        <v>1110684</v>
      </c>
      <c r="E78" s="203">
        <v>1035116.5</v>
      </c>
      <c r="F78" s="131">
        <f t="shared" si="12"/>
        <v>7.3003859951995737E-2</v>
      </c>
      <c r="G78" s="214">
        <f t="shared" si="13"/>
        <v>0.17575701855341677</v>
      </c>
      <c r="H78" s="122"/>
    </row>
    <row r="79" spans="1:8" ht="15.75" x14ac:dyDescent="0.25">
      <c r="A79" s="129"/>
      <c r="B79" s="130">
        <f>DATE(2024,11,1)</f>
        <v>45597</v>
      </c>
      <c r="C79" s="203">
        <v>6879814</v>
      </c>
      <c r="D79" s="203">
        <v>422535.5</v>
      </c>
      <c r="E79" s="203">
        <v>1066773</v>
      </c>
      <c r="F79" s="131">
        <f t="shared" si="12"/>
        <v>-0.60391245372726909</v>
      </c>
      <c r="G79" s="214">
        <f t="shared" si="13"/>
        <v>6.1416703998102277E-2</v>
      </c>
      <c r="H79" s="122"/>
    </row>
    <row r="80" spans="1:8" ht="15.75" x14ac:dyDescent="0.25">
      <c r="A80" s="129"/>
      <c r="B80" s="130">
        <f>DATE(2024,12,1)</f>
        <v>45627</v>
      </c>
      <c r="C80" s="203">
        <v>6884712</v>
      </c>
      <c r="D80" s="203">
        <v>665807</v>
      </c>
      <c r="E80" s="203">
        <v>1133463</v>
      </c>
      <c r="F80" s="131">
        <f t="shared" si="12"/>
        <v>-0.41259044185826976</v>
      </c>
      <c r="G80" s="214">
        <f t="shared" si="13"/>
        <v>9.6708039493881515E-2</v>
      </c>
      <c r="H80" s="122"/>
    </row>
    <row r="81" spans="1:8" ht="15.75" x14ac:dyDescent="0.25">
      <c r="A81" s="129"/>
      <c r="B81" s="130">
        <f>DATE(2025,1,1)</f>
        <v>45658</v>
      </c>
      <c r="C81" s="203">
        <v>4936492</v>
      </c>
      <c r="D81" s="203">
        <v>875743.5</v>
      </c>
      <c r="E81" s="203">
        <v>937413.5</v>
      </c>
      <c r="F81" s="131">
        <f t="shared" si="12"/>
        <v>-6.5787403317746115E-2</v>
      </c>
      <c r="G81" s="214">
        <f t="shared" si="13"/>
        <v>0.1774019891048137</v>
      </c>
      <c r="H81" s="122"/>
    </row>
    <row r="82" spans="1:8" ht="15.75" x14ac:dyDescent="0.25">
      <c r="A82" s="129"/>
      <c r="B82" s="130">
        <f>DATE(2025,2,1)</f>
        <v>45689</v>
      </c>
      <c r="C82" s="203">
        <v>4252212</v>
      </c>
      <c r="D82" s="203">
        <v>976638.5</v>
      </c>
      <c r="E82" s="203">
        <v>1237946</v>
      </c>
      <c r="F82" s="131">
        <f t="shared" si="12"/>
        <v>-0.21108150113171334</v>
      </c>
      <c r="G82" s="214">
        <f t="shared" si="13"/>
        <v>0.2296777536021252</v>
      </c>
      <c r="H82" s="122"/>
    </row>
    <row r="83" spans="1:8" ht="15.75" customHeight="1" thickBot="1" x14ac:dyDescent="0.3">
      <c r="A83" s="129"/>
      <c r="B83" s="130"/>
      <c r="C83" s="203"/>
      <c r="D83" s="203"/>
      <c r="E83" s="203"/>
      <c r="F83" s="131"/>
      <c r="G83" s="214"/>
      <c r="H83" s="122"/>
    </row>
    <row r="84" spans="1:8" ht="17.25" thickTop="1" thickBot="1" x14ac:dyDescent="0.3">
      <c r="A84" s="140" t="s">
        <v>14</v>
      </c>
      <c r="B84" s="141"/>
      <c r="C84" s="206">
        <f>SUM(C75:C83)</f>
        <v>57968468</v>
      </c>
      <c r="D84" s="260">
        <f>SUM(D75:D83)</f>
        <v>6772751.5</v>
      </c>
      <c r="E84" s="206">
        <f>SUM(E75:E83)</f>
        <v>8423421</v>
      </c>
      <c r="F84" s="268">
        <f>(+D84-E84)/E84</f>
        <v>-0.19596189006818013</v>
      </c>
      <c r="G84" s="266">
        <f>D84/C84</f>
        <v>0.11683509559024399</v>
      </c>
      <c r="H84" s="122"/>
    </row>
    <row r="85" spans="1:8" ht="15.75" customHeight="1" thickTop="1" x14ac:dyDescent="0.25">
      <c r="A85" s="129"/>
      <c r="B85" s="138"/>
      <c r="C85" s="204"/>
      <c r="D85" s="204"/>
      <c r="E85" s="204"/>
      <c r="F85" s="139"/>
      <c r="G85" s="215"/>
      <c r="H85" s="122"/>
    </row>
    <row r="86" spans="1:8" ht="15.75" x14ac:dyDescent="0.25">
      <c r="A86" s="129" t="s">
        <v>69</v>
      </c>
      <c r="B86" s="130">
        <f>DATE(2024,7,1)</f>
        <v>45474</v>
      </c>
      <c r="C86" s="203">
        <v>6094984</v>
      </c>
      <c r="D86" s="203">
        <v>1491620.4</v>
      </c>
      <c r="E86" s="203">
        <v>1705016.95</v>
      </c>
      <c r="F86" s="131">
        <f t="shared" ref="F86:F93" si="14">(+D86-E86)/E86</f>
        <v>-0.12515802262259038</v>
      </c>
      <c r="G86" s="214">
        <f t="shared" ref="G86:G93" si="15">D86/C86</f>
        <v>0.24472917402244204</v>
      </c>
      <c r="H86" s="122"/>
    </row>
    <row r="87" spans="1:8" ht="15.75" x14ac:dyDescent="0.25">
      <c r="A87" s="129"/>
      <c r="B87" s="130">
        <f>DATE(2024,8,1)</f>
        <v>45505</v>
      </c>
      <c r="C87" s="203">
        <v>6126161</v>
      </c>
      <c r="D87" s="203">
        <v>1342748.66</v>
      </c>
      <c r="E87" s="203">
        <v>1401382.35</v>
      </c>
      <c r="F87" s="131">
        <f t="shared" si="14"/>
        <v>-4.1839894729657594E-2</v>
      </c>
      <c r="G87" s="214">
        <f t="shared" si="15"/>
        <v>0.21918272471128328</v>
      </c>
      <c r="H87" s="122"/>
    </row>
    <row r="88" spans="1:8" ht="15.75" x14ac:dyDescent="0.25">
      <c r="A88" s="129"/>
      <c r="B88" s="130">
        <f>DATE(2024,9,1)</f>
        <v>45536</v>
      </c>
      <c r="C88" s="203">
        <v>5616372</v>
      </c>
      <c r="D88" s="203">
        <v>1469217.16</v>
      </c>
      <c r="E88" s="203">
        <v>1626153.96</v>
      </c>
      <c r="F88" s="131">
        <f t="shared" si="14"/>
        <v>-9.6507959184873274E-2</v>
      </c>
      <c r="G88" s="214">
        <f t="shared" si="15"/>
        <v>0.26159541426386995</v>
      </c>
      <c r="H88" s="122"/>
    </row>
    <row r="89" spans="1:8" ht="15.75" x14ac:dyDescent="0.25">
      <c r="A89" s="129"/>
      <c r="B89" s="130">
        <f>DATE(2024,10,1)</f>
        <v>45566</v>
      </c>
      <c r="C89" s="203">
        <v>5392183</v>
      </c>
      <c r="D89" s="203">
        <v>1142918.93</v>
      </c>
      <c r="E89" s="203">
        <v>1039039</v>
      </c>
      <c r="F89" s="131">
        <f t="shared" si="14"/>
        <v>9.9976930606069589E-2</v>
      </c>
      <c r="G89" s="214">
        <f t="shared" si="15"/>
        <v>0.21195848323397035</v>
      </c>
      <c r="H89" s="122"/>
    </row>
    <row r="90" spans="1:8" ht="15.75" x14ac:dyDescent="0.25">
      <c r="A90" s="129"/>
      <c r="B90" s="130">
        <f>DATE(2024,11,1)</f>
        <v>45597</v>
      </c>
      <c r="C90" s="203">
        <v>5825584</v>
      </c>
      <c r="D90" s="203">
        <v>1529575.8</v>
      </c>
      <c r="E90" s="203">
        <v>1359520</v>
      </c>
      <c r="F90" s="131">
        <f t="shared" si="14"/>
        <v>0.12508517712133699</v>
      </c>
      <c r="G90" s="214">
        <f t="shared" si="15"/>
        <v>0.26256179637955612</v>
      </c>
      <c r="H90" s="122"/>
    </row>
    <row r="91" spans="1:8" ht="15.75" x14ac:dyDescent="0.25">
      <c r="A91" s="129"/>
      <c r="B91" s="130">
        <f>DATE(2024,12,1)</f>
        <v>45627</v>
      </c>
      <c r="C91" s="203">
        <v>6713030</v>
      </c>
      <c r="D91" s="203">
        <v>1401284</v>
      </c>
      <c r="E91" s="203">
        <v>1397248.95</v>
      </c>
      <c r="F91" s="131">
        <f t="shared" si="14"/>
        <v>2.8878533063131282E-3</v>
      </c>
      <c r="G91" s="214">
        <f t="shared" si="15"/>
        <v>0.20874091133214062</v>
      </c>
      <c r="H91" s="122"/>
    </row>
    <row r="92" spans="1:8" ht="15.75" x14ac:dyDescent="0.25">
      <c r="A92" s="129"/>
      <c r="B92" s="130">
        <f>DATE(2025,1,1)</f>
        <v>45658</v>
      </c>
      <c r="C92" s="203">
        <v>5763335</v>
      </c>
      <c r="D92" s="203">
        <v>1457745.5</v>
      </c>
      <c r="E92" s="203">
        <v>1471960.42</v>
      </c>
      <c r="F92" s="131">
        <f t="shared" si="14"/>
        <v>-9.6571346667051871E-3</v>
      </c>
      <c r="G92" s="214">
        <f t="shared" si="15"/>
        <v>0.25293436872921665</v>
      </c>
      <c r="H92" s="122"/>
    </row>
    <row r="93" spans="1:8" ht="15.75" x14ac:dyDescent="0.25">
      <c r="A93" s="129"/>
      <c r="B93" s="130">
        <f>DATE(2025,2,1)</f>
        <v>45689</v>
      </c>
      <c r="C93" s="203">
        <v>6152597</v>
      </c>
      <c r="D93" s="203">
        <v>1641091.22</v>
      </c>
      <c r="E93" s="203">
        <v>1426796.76</v>
      </c>
      <c r="F93" s="131">
        <f t="shared" si="14"/>
        <v>0.15019270158701506</v>
      </c>
      <c r="G93" s="214">
        <f t="shared" si="15"/>
        <v>0.26673146640353657</v>
      </c>
      <c r="H93" s="122"/>
    </row>
    <row r="94" spans="1:8" ht="15.75" customHeight="1" thickBot="1" x14ac:dyDescent="0.3">
      <c r="A94" s="129"/>
      <c r="B94" s="130"/>
      <c r="C94" s="203"/>
      <c r="D94" s="203"/>
      <c r="E94" s="203"/>
      <c r="F94" s="131"/>
      <c r="G94" s="214"/>
      <c r="H94" s="122"/>
    </row>
    <row r="95" spans="1:8" ht="17.25" thickTop="1" thickBot="1" x14ac:dyDescent="0.3">
      <c r="A95" s="140" t="s">
        <v>14</v>
      </c>
      <c r="B95" s="141"/>
      <c r="C95" s="205">
        <f>SUM(C86:C94)</f>
        <v>47684246</v>
      </c>
      <c r="D95" s="205">
        <f>SUM(D86:D94)</f>
        <v>11476201.67</v>
      </c>
      <c r="E95" s="205">
        <f>SUM(E86:E94)</f>
        <v>11427118.389999999</v>
      </c>
      <c r="F95" s="142">
        <f>(+D95-E95)/E95</f>
        <v>4.2953331124104335E-3</v>
      </c>
      <c r="G95" s="216">
        <f>D95/C95</f>
        <v>0.240670716907215</v>
      </c>
      <c r="H95" s="122"/>
    </row>
    <row r="96" spans="1:8" ht="15.75" customHeight="1" thickTop="1" x14ac:dyDescent="0.25">
      <c r="A96" s="137"/>
      <c r="B96" s="138"/>
      <c r="C96" s="204"/>
      <c r="D96" s="204"/>
      <c r="E96" s="204"/>
      <c r="F96" s="139"/>
      <c r="G96" s="215"/>
      <c r="H96" s="122"/>
    </row>
    <row r="97" spans="1:8" ht="15.75" x14ac:dyDescent="0.25">
      <c r="A97" s="129" t="s">
        <v>16</v>
      </c>
      <c r="B97" s="130">
        <f>DATE(2024,7,1)</f>
        <v>45474</v>
      </c>
      <c r="C97" s="203">
        <v>10271681</v>
      </c>
      <c r="D97" s="203">
        <v>2089350</v>
      </c>
      <c r="E97" s="203">
        <v>2105009.5</v>
      </c>
      <c r="F97" s="131">
        <f t="shared" ref="F97:F104" si="16">(+D97-E97)/E97</f>
        <v>-7.4391588256490053E-3</v>
      </c>
      <c r="G97" s="214">
        <f t="shared" ref="G97:G104" si="17">D97/C97</f>
        <v>0.20340877019058518</v>
      </c>
      <c r="H97" s="122"/>
    </row>
    <row r="98" spans="1:8" ht="15.75" x14ac:dyDescent="0.25">
      <c r="A98" s="129"/>
      <c r="B98" s="130">
        <f>DATE(2024,8,1)</f>
        <v>45505</v>
      </c>
      <c r="C98" s="203">
        <v>10387348</v>
      </c>
      <c r="D98" s="203">
        <v>2032596</v>
      </c>
      <c r="E98" s="203">
        <v>1767561.15</v>
      </c>
      <c r="F98" s="131">
        <f t="shared" si="16"/>
        <v>0.1499438081675421</v>
      </c>
      <c r="G98" s="214">
        <f t="shared" si="17"/>
        <v>0.19567997529301992</v>
      </c>
      <c r="H98" s="122"/>
    </row>
    <row r="99" spans="1:8" ht="15.75" x14ac:dyDescent="0.25">
      <c r="A99" s="129"/>
      <c r="B99" s="130">
        <f>DATE(2024,9,1)</f>
        <v>45536</v>
      </c>
      <c r="C99" s="203">
        <v>9975436</v>
      </c>
      <c r="D99" s="203">
        <v>2006849.5</v>
      </c>
      <c r="E99" s="203">
        <v>2123175</v>
      </c>
      <c r="F99" s="131">
        <f t="shared" si="16"/>
        <v>-5.4788465387921391E-2</v>
      </c>
      <c r="G99" s="214">
        <f t="shared" si="17"/>
        <v>0.20117912640610394</v>
      </c>
      <c r="H99" s="122"/>
    </row>
    <row r="100" spans="1:8" ht="15.75" x14ac:dyDescent="0.25">
      <c r="A100" s="129"/>
      <c r="B100" s="130">
        <f>DATE(2024,10,1)</f>
        <v>45566</v>
      </c>
      <c r="C100" s="203">
        <v>9251581</v>
      </c>
      <c r="D100" s="203">
        <v>1749191</v>
      </c>
      <c r="E100" s="203">
        <v>1980886.5</v>
      </c>
      <c r="F100" s="131">
        <f t="shared" si="16"/>
        <v>-0.11696556062146922</v>
      </c>
      <c r="G100" s="214">
        <f t="shared" si="17"/>
        <v>0.18906941418985576</v>
      </c>
      <c r="H100" s="122"/>
    </row>
    <row r="101" spans="1:8" ht="15.75" x14ac:dyDescent="0.25">
      <c r="A101" s="129"/>
      <c r="B101" s="130">
        <f>DATE(2024,11,1)</f>
        <v>45597</v>
      </c>
      <c r="C101" s="203">
        <v>10360163</v>
      </c>
      <c r="D101" s="203">
        <v>1908483</v>
      </c>
      <c r="E101" s="203">
        <v>1965425</v>
      </c>
      <c r="F101" s="131">
        <f t="shared" si="16"/>
        <v>-2.8971850871948816E-2</v>
      </c>
      <c r="G101" s="214">
        <f t="shared" si="17"/>
        <v>0.18421360744999862</v>
      </c>
      <c r="H101" s="122"/>
    </row>
    <row r="102" spans="1:8" ht="15.75" x14ac:dyDescent="0.25">
      <c r="A102" s="129"/>
      <c r="B102" s="130">
        <f>DATE(2024,12,1)</f>
        <v>45627</v>
      </c>
      <c r="C102" s="203">
        <v>10098537</v>
      </c>
      <c r="D102" s="203">
        <v>1872226</v>
      </c>
      <c r="E102" s="203">
        <v>2809146</v>
      </c>
      <c r="F102" s="131">
        <f t="shared" si="16"/>
        <v>-0.33352485061296211</v>
      </c>
      <c r="G102" s="214">
        <f t="shared" si="17"/>
        <v>0.18539576574309724</v>
      </c>
      <c r="H102" s="122"/>
    </row>
    <row r="103" spans="1:8" ht="15.75" x14ac:dyDescent="0.25">
      <c r="A103" s="129"/>
      <c r="B103" s="130">
        <f>DATE(2025,1,1)</f>
        <v>45658</v>
      </c>
      <c r="C103" s="203">
        <v>9124276</v>
      </c>
      <c r="D103" s="203">
        <v>1378177</v>
      </c>
      <c r="E103" s="203">
        <v>1768692.5</v>
      </c>
      <c r="F103" s="131">
        <f t="shared" si="16"/>
        <v>-0.22079332614346472</v>
      </c>
      <c r="G103" s="214">
        <f t="shared" si="17"/>
        <v>0.15104508017951232</v>
      </c>
      <c r="H103" s="122"/>
    </row>
    <row r="104" spans="1:8" ht="15.75" x14ac:dyDescent="0.25">
      <c r="A104" s="129"/>
      <c r="B104" s="130">
        <f>DATE(2025,2,1)</f>
        <v>45689</v>
      </c>
      <c r="C104" s="203">
        <v>8737033</v>
      </c>
      <c r="D104" s="203">
        <v>1536555</v>
      </c>
      <c r="E104" s="203">
        <v>2319014</v>
      </c>
      <c r="F104" s="131">
        <f t="shared" si="16"/>
        <v>-0.33741020968394325</v>
      </c>
      <c r="G104" s="214">
        <f t="shared" si="17"/>
        <v>0.17586691042599931</v>
      </c>
      <c r="H104" s="122"/>
    </row>
    <row r="105" spans="1:8" ht="15.75" customHeight="1" thickBot="1" x14ac:dyDescent="0.3">
      <c r="A105" s="129"/>
      <c r="B105" s="130"/>
      <c r="C105" s="203"/>
      <c r="D105" s="203"/>
      <c r="E105" s="203"/>
      <c r="F105" s="131"/>
      <c r="G105" s="214"/>
      <c r="H105" s="122"/>
    </row>
    <row r="106" spans="1:8" ht="17.25" thickTop="1" thickBot="1" x14ac:dyDescent="0.3">
      <c r="A106" s="140" t="s">
        <v>14</v>
      </c>
      <c r="B106" s="141"/>
      <c r="C106" s="205">
        <f>SUM(C97:C105)</f>
        <v>78206055</v>
      </c>
      <c r="D106" s="205">
        <f>SUM(D97:D105)</f>
        <v>14573427.5</v>
      </c>
      <c r="E106" s="205">
        <f>SUM(E97:E105)</f>
        <v>16838909.649999999</v>
      </c>
      <c r="F106" s="142">
        <f>(+D106-E106)/E106</f>
        <v>-0.13453852993385465</v>
      </c>
      <c r="G106" s="216">
        <f>D106/C106</f>
        <v>0.18634653672276399</v>
      </c>
      <c r="H106" s="122"/>
    </row>
    <row r="107" spans="1:8" ht="15.75" customHeight="1" thickTop="1" x14ac:dyDescent="0.25">
      <c r="A107" s="137"/>
      <c r="B107" s="138"/>
      <c r="C107" s="204"/>
      <c r="D107" s="204"/>
      <c r="E107" s="204"/>
      <c r="F107" s="139"/>
      <c r="G107" s="215"/>
      <c r="H107" s="122"/>
    </row>
    <row r="108" spans="1:8" ht="15.75" x14ac:dyDescent="0.25">
      <c r="A108" s="129" t="s">
        <v>53</v>
      </c>
      <c r="B108" s="130">
        <f>DATE(2024,7,1)</f>
        <v>45474</v>
      </c>
      <c r="C108" s="203">
        <v>12525863</v>
      </c>
      <c r="D108" s="203">
        <v>2603604.12</v>
      </c>
      <c r="E108" s="203">
        <v>2697018.32</v>
      </c>
      <c r="F108" s="131">
        <f t="shared" ref="F108:F115" si="18">(+D108-E108)/E108</f>
        <v>-3.4636101396597015E-2</v>
      </c>
      <c r="G108" s="214">
        <f t="shared" ref="G108:G115" si="19">D108/C108</f>
        <v>0.20785826254047327</v>
      </c>
      <c r="H108" s="122"/>
    </row>
    <row r="109" spans="1:8" ht="15.75" x14ac:dyDescent="0.25">
      <c r="A109" s="129"/>
      <c r="B109" s="130">
        <f>DATE(2024,8,1)</f>
        <v>45505</v>
      </c>
      <c r="C109" s="203">
        <v>13140688</v>
      </c>
      <c r="D109" s="203">
        <v>2949818.5</v>
      </c>
      <c r="E109" s="203">
        <v>2176274.1</v>
      </c>
      <c r="F109" s="131">
        <f t="shared" si="18"/>
        <v>0.35544438083419727</v>
      </c>
      <c r="G109" s="214">
        <f t="shared" si="19"/>
        <v>0.22447976087705607</v>
      </c>
      <c r="H109" s="122"/>
    </row>
    <row r="110" spans="1:8" ht="15.75" x14ac:dyDescent="0.25">
      <c r="A110" s="129"/>
      <c r="B110" s="130">
        <f>DATE(2024,9,1)</f>
        <v>45536</v>
      </c>
      <c r="C110" s="203">
        <v>13252840</v>
      </c>
      <c r="D110" s="203">
        <v>2576080.2400000002</v>
      </c>
      <c r="E110" s="203">
        <v>3641267.7</v>
      </c>
      <c r="F110" s="131">
        <f t="shared" si="18"/>
        <v>-0.29253203767468122</v>
      </c>
      <c r="G110" s="214">
        <f t="shared" si="19"/>
        <v>0.19437948696279442</v>
      </c>
      <c r="H110" s="122"/>
    </row>
    <row r="111" spans="1:8" ht="15.75" x14ac:dyDescent="0.25">
      <c r="A111" s="129"/>
      <c r="B111" s="130">
        <f>DATE(2024,10,1)</f>
        <v>45566</v>
      </c>
      <c r="C111" s="203">
        <v>13175409</v>
      </c>
      <c r="D111" s="203">
        <v>2936056.53</v>
      </c>
      <c r="E111" s="203">
        <v>2255484.27</v>
      </c>
      <c r="F111" s="131">
        <f t="shared" si="18"/>
        <v>0.30174108019826701</v>
      </c>
      <c r="G111" s="214">
        <f t="shared" si="19"/>
        <v>0.22284367263285715</v>
      </c>
      <c r="H111" s="122"/>
    </row>
    <row r="112" spans="1:8" ht="15.75" x14ac:dyDescent="0.25">
      <c r="A112" s="129"/>
      <c r="B112" s="130">
        <f>DATE(2024,11,1)</f>
        <v>45597</v>
      </c>
      <c r="C112" s="203">
        <v>13689871</v>
      </c>
      <c r="D112" s="203">
        <v>2560428.5</v>
      </c>
      <c r="E112" s="203">
        <v>2883631.5</v>
      </c>
      <c r="F112" s="131">
        <f t="shared" si="18"/>
        <v>-0.112081935573252</v>
      </c>
      <c r="G112" s="214">
        <f t="shared" si="19"/>
        <v>0.18703087121858197</v>
      </c>
      <c r="H112" s="122"/>
    </row>
    <row r="113" spans="1:8" ht="15.75" x14ac:dyDescent="0.25">
      <c r="A113" s="129"/>
      <c r="B113" s="130">
        <f>DATE(2024,12,1)</f>
        <v>45627</v>
      </c>
      <c r="C113" s="203">
        <v>14206804</v>
      </c>
      <c r="D113" s="203">
        <v>3966146.5600000001</v>
      </c>
      <c r="E113" s="203">
        <v>2283089.39</v>
      </c>
      <c r="F113" s="131">
        <f t="shared" si="18"/>
        <v>0.7371840880921442</v>
      </c>
      <c r="G113" s="214">
        <f t="shared" si="19"/>
        <v>0.27917232897701694</v>
      </c>
      <c r="H113" s="122"/>
    </row>
    <row r="114" spans="1:8" ht="15.75" x14ac:dyDescent="0.25">
      <c r="A114" s="129"/>
      <c r="B114" s="130">
        <f>DATE(2025,1,1)</f>
        <v>45658</v>
      </c>
      <c r="C114" s="203">
        <v>12290615</v>
      </c>
      <c r="D114" s="203">
        <v>2508967.4900000002</v>
      </c>
      <c r="E114" s="203">
        <v>1993320.36</v>
      </c>
      <c r="F114" s="131">
        <f t="shared" si="18"/>
        <v>0.25868753480248408</v>
      </c>
      <c r="G114" s="214">
        <f t="shared" si="19"/>
        <v>0.20413685482785038</v>
      </c>
      <c r="H114" s="122"/>
    </row>
    <row r="115" spans="1:8" ht="15.75" x14ac:dyDescent="0.25">
      <c r="A115" s="129"/>
      <c r="B115" s="130">
        <f>DATE(2025,2,1)</f>
        <v>45689</v>
      </c>
      <c r="C115" s="203">
        <v>12841800</v>
      </c>
      <c r="D115" s="203">
        <v>3586157.42</v>
      </c>
      <c r="E115" s="203">
        <v>2104947.1800000002</v>
      </c>
      <c r="F115" s="131">
        <f t="shared" si="18"/>
        <v>0.70368047905126041</v>
      </c>
      <c r="G115" s="214">
        <f t="shared" si="19"/>
        <v>0.27925660109953432</v>
      </c>
      <c r="H115" s="122"/>
    </row>
    <row r="116" spans="1:8" ht="15.75" thickBot="1" x14ac:dyDescent="0.25">
      <c r="A116" s="132"/>
      <c r="B116" s="130"/>
      <c r="C116" s="203"/>
      <c r="D116" s="203"/>
      <c r="E116" s="203"/>
      <c r="F116" s="131"/>
      <c r="G116" s="214"/>
      <c r="H116" s="122"/>
    </row>
    <row r="117" spans="1:8" ht="17.25" thickTop="1" thickBot="1" x14ac:dyDescent="0.3">
      <c r="A117" s="140" t="s">
        <v>14</v>
      </c>
      <c r="B117" s="141"/>
      <c r="C117" s="206">
        <f>SUM(C108:C116)</f>
        <v>105123890</v>
      </c>
      <c r="D117" s="206">
        <f>SUM(D108:D116)</f>
        <v>23687259.359999999</v>
      </c>
      <c r="E117" s="206">
        <f>SUM(E108:E116)</f>
        <v>20035032.82</v>
      </c>
      <c r="F117" s="142">
        <f>(+D117-E117)/E117</f>
        <v>0.18229201682934898</v>
      </c>
      <c r="G117" s="266">
        <f>D117/C117</f>
        <v>0.22532708178892541</v>
      </c>
      <c r="H117" s="122"/>
    </row>
    <row r="118" spans="1:8" ht="15.75" customHeight="1" thickTop="1" x14ac:dyDescent="0.25">
      <c r="A118" s="137"/>
      <c r="B118" s="138"/>
      <c r="C118" s="204"/>
      <c r="D118" s="204"/>
      <c r="E118" s="204"/>
      <c r="F118" s="139"/>
      <c r="G118" s="218"/>
      <c r="H118" s="122"/>
    </row>
    <row r="119" spans="1:8" ht="15.75" x14ac:dyDescent="0.25">
      <c r="A119" s="129" t="s">
        <v>54</v>
      </c>
      <c r="B119" s="130">
        <f>DATE(2024,7,1)</f>
        <v>45474</v>
      </c>
      <c r="C119" s="203">
        <v>0</v>
      </c>
      <c r="D119" s="203">
        <v>0</v>
      </c>
      <c r="E119" s="203">
        <v>54168.5</v>
      </c>
      <c r="F119" s="131">
        <f>(+D119-E119)/E119</f>
        <v>-1</v>
      </c>
      <c r="G119" s="214">
        <v>0</v>
      </c>
      <c r="H119" s="122"/>
    </row>
    <row r="120" spans="1:8" ht="15.75" x14ac:dyDescent="0.25">
      <c r="A120" s="129"/>
      <c r="B120" s="130">
        <f>DATE(2024,8,1)</f>
        <v>45505</v>
      </c>
      <c r="C120" s="203">
        <v>0</v>
      </c>
      <c r="D120" s="203">
        <v>0</v>
      </c>
      <c r="E120" s="203">
        <v>48279.5</v>
      </c>
      <c r="F120" s="131">
        <f>(+D120-E120)/E120</f>
        <v>-1</v>
      </c>
      <c r="G120" s="214">
        <v>0</v>
      </c>
      <c r="H120" s="122"/>
    </row>
    <row r="121" spans="1:8" ht="15.75" x14ac:dyDescent="0.25">
      <c r="A121" s="129"/>
      <c r="B121" s="130">
        <f>DATE(2024,9,1)</f>
        <v>45536</v>
      </c>
      <c r="C121" s="203">
        <v>0</v>
      </c>
      <c r="D121" s="203">
        <v>0</v>
      </c>
      <c r="E121" s="203">
        <v>44777.5</v>
      </c>
      <c r="F121" s="131">
        <v>-1</v>
      </c>
      <c r="G121" s="214">
        <v>0</v>
      </c>
      <c r="H121" s="122"/>
    </row>
    <row r="122" spans="1:8" ht="15.75" x14ac:dyDescent="0.25">
      <c r="A122" s="129"/>
      <c r="B122" s="130">
        <f>DATE(2024,10,1)</f>
        <v>45566</v>
      </c>
      <c r="C122" s="203">
        <v>0</v>
      </c>
      <c r="D122" s="203">
        <v>0</v>
      </c>
      <c r="E122" s="203">
        <v>43819.5</v>
      </c>
      <c r="F122" s="131">
        <v>-1</v>
      </c>
      <c r="G122" s="214">
        <v>0</v>
      </c>
      <c r="H122" s="122"/>
    </row>
    <row r="123" spans="1:8" ht="15.75" x14ac:dyDescent="0.25">
      <c r="A123" s="129"/>
      <c r="B123" s="130">
        <f>DATE(2024,11,1)</f>
        <v>45597</v>
      </c>
      <c r="C123" s="203">
        <v>0</v>
      </c>
      <c r="D123" s="203">
        <v>0</v>
      </c>
      <c r="E123" s="203">
        <v>38077.5</v>
      </c>
      <c r="F123" s="131">
        <v>-1</v>
      </c>
      <c r="G123" s="214">
        <v>0</v>
      </c>
      <c r="H123" s="122"/>
    </row>
    <row r="124" spans="1:8" ht="15.75" x14ac:dyDescent="0.25">
      <c r="A124" s="129"/>
      <c r="B124" s="130">
        <f>DATE(2024,12,1)</f>
        <v>45627</v>
      </c>
      <c r="C124" s="203">
        <v>0</v>
      </c>
      <c r="D124" s="203">
        <v>0</v>
      </c>
      <c r="E124" s="203">
        <v>0</v>
      </c>
      <c r="F124" s="131">
        <v>0</v>
      </c>
      <c r="G124" s="214">
        <v>0</v>
      </c>
      <c r="H124" s="122"/>
    </row>
    <row r="125" spans="1:8" ht="15.75" x14ac:dyDescent="0.25">
      <c r="A125" s="129"/>
      <c r="B125" s="130">
        <f>DATE(2025,1,1)</f>
        <v>45658</v>
      </c>
      <c r="C125" s="203">
        <v>0</v>
      </c>
      <c r="D125" s="203">
        <v>0</v>
      </c>
      <c r="E125" s="203">
        <v>0</v>
      </c>
      <c r="F125" s="131">
        <v>0</v>
      </c>
      <c r="G125" s="214">
        <v>0</v>
      </c>
      <c r="H125" s="122"/>
    </row>
    <row r="126" spans="1:8" ht="15.75" x14ac:dyDescent="0.25">
      <c r="A126" s="129"/>
      <c r="B126" s="130">
        <f>DATE(2025,2,1)</f>
        <v>45689</v>
      </c>
      <c r="C126" s="203">
        <v>0</v>
      </c>
      <c r="D126" s="203">
        <v>0</v>
      </c>
      <c r="E126" s="203">
        <v>0</v>
      </c>
      <c r="F126" s="131">
        <v>0</v>
      </c>
      <c r="G126" s="214">
        <v>0</v>
      </c>
      <c r="H126" s="122"/>
    </row>
    <row r="127" spans="1:8" ht="15.75" thickBot="1" x14ac:dyDescent="0.25">
      <c r="A127" s="132"/>
      <c r="B127" s="133"/>
      <c r="C127" s="203"/>
      <c r="D127" s="203"/>
      <c r="E127" s="203"/>
      <c r="F127" s="131"/>
      <c r="G127" s="214"/>
      <c r="H127" s="122"/>
    </row>
    <row r="128" spans="1:8" ht="17.25" thickTop="1" thickBot="1" x14ac:dyDescent="0.3">
      <c r="A128" s="143" t="s">
        <v>14</v>
      </c>
      <c r="B128" s="144"/>
      <c r="C128" s="206">
        <f>SUM(C119:C127)</f>
        <v>0</v>
      </c>
      <c r="D128" s="206">
        <f>SUM(D119:D127)</f>
        <v>0</v>
      </c>
      <c r="E128" s="206">
        <f>SUM(E119:E127)</f>
        <v>229122.5</v>
      </c>
      <c r="F128" s="142">
        <f>(+D128-E128)/E128</f>
        <v>-1</v>
      </c>
      <c r="G128" s="216">
        <v>0</v>
      </c>
      <c r="H128" s="122"/>
    </row>
    <row r="129" spans="1:8" ht="15.75" customHeight="1" thickTop="1" x14ac:dyDescent="0.25">
      <c r="A129" s="129"/>
      <c r="B129" s="133"/>
      <c r="C129" s="203"/>
      <c r="D129" s="203"/>
      <c r="E129" s="203"/>
      <c r="F129" s="131"/>
      <c r="G129" s="217"/>
      <c r="H129" s="122"/>
    </row>
    <row r="130" spans="1:8" ht="15.75" x14ac:dyDescent="0.25">
      <c r="A130" s="129" t="s">
        <v>37</v>
      </c>
      <c r="B130" s="130">
        <f>DATE(2024,7,1)</f>
        <v>45474</v>
      </c>
      <c r="C130" s="203">
        <v>20074379</v>
      </c>
      <c r="D130" s="203">
        <v>4532513.72</v>
      </c>
      <c r="E130" s="203">
        <v>4690410.88</v>
      </c>
      <c r="F130" s="131">
        <f t="shared" ref="F130:F137" si="20">(+D130-E130)/E130</f>
        <v>-3.3663822645746584E-2</v>
      </c>
      <c r="G130" s="214">
        <f t="shared" ref="G130:G137" si="21">D130/C130</f>
        <v>0.22578599915842976</v>
      </c>
      <c r="H130" s="122"/>
    </row>
    <row r="131" spans="1:8" ht="15.75" x14ac:dyDescent="0.25">
      <c r="A131" s="129"/>
      <c r="B131" s="130">
        <f>DATE(2024,8,1)</f>
        <v>45505</v>
      </c>
      <c r="C131" s="203">
        <v>20524592</v>
      </c>
      <c r="D131" s="203">
        <v>4951353.17</v>
      </c>
      <c r="E131" s="203">
        <v>3109199.97</v>
      </c>
      <c r="F131" s="131">
        <f t="shared" si="20"/>
        <v>0.59248463198717949</v>
      </c>
      <c r="G131" s="214">
        <f t="shared" si="21"/>
        <v>0.24124002903443828</v>
      </c>
      <c r="H131" s="122"/>
    </row>
    <row r="132" spans="1:8" ht="15.75" x14ac:dyDescent="0.25">
      <c r="A132" s="129"/>
      <c r="B132" s="130">
        <f>DATE(2024,9,1)</f>
        <v>45536</v>
      </c>
      <c r="C132" s="203">
        <v>19563697</v>
      </c>
      <c r="D132" s="203">
        <v>4582987.34</v>
      </c>
      <c r="E132" s="203">
        <v>4835353.0999999996</v>
      </c>
      <c r="F132" s="131">
        <f t="shared" si="20"/>
        <v>-5.219179546577473E-2</v>
      </c>
      <c r="G132" s="214">
        <f t="shared" si="21"/>
        <v>0.2342597792227103</v>
      </c>
      <c r="H132" s="122"/>
    </row>
    <row r="133" spans="1:8" ht="15.75" x14ac:dyDescent="0.25">
      <c r="A133" s="129"/>
      <c r="B133" s="130">
        <f>DATE(2024,10,1)</f>
        <v>45566</v>
      </c>
      <c r="C133" s="203">
        <v>18176735</v>
      </c>
      <c r="D133" s="203">
        <v>4731206.4800000004</v>
      </c>
      <c r="E133" s="203">
        <v>4925406.22</v>
      </c>
      <c r="F133" s="131">
        <f t="shared" si="20"/>
        <v>-3.9428167206074491E-2</v>
      </c>
      <c r="G133" s="214">
        <f t="shared" si="21"/>
        <v>0.26028912673260629</v>
      </c>
      <c r="H133" s="122"/>
    </row>
    <row r="134" spans="1:8" ht="15.75" x14ac:dyDescent="0.25">
      <c r="A134" s="129"/>
      <c r="B134" s="130">
        <f>DATE(2024,11,1)</f>
        <v>45597</v>
      </c>
      <c r="C134" s="203">
        <v>20660570</v>
      </c>
      <c r="D134" s="203">
        <v>4056375.5</v>
      </c>
      <c r="E134" s="203">
        <v>3625420.69</v>
      </c>
      <c r="F134" s="131">
        <f t="shared" si="20"/>
        <v>0.11887029033311995</v>
      </c>
      <c r="G134" s="214">
        <f t="shared" si="21"/>
        <v>0.1963341524459393</v>
      </c>
      <c r="H134" s="122"/>
    </row>
    <row r="135" spans="1:8" ht="15.75" x14ac:dyDescent="0.25">
      <c r="A135" s="129"/>
      <c r="B135" s="130">
        <f>DATE(2024,12,1)</f>
        <v>45627</v>
      </c>
      <c r="C135" s="203">
        <v>22183477</v>
      </c>
      <c r="D135" s="203">
        <v>5104148.9000000004</v>
      </c>
      <c r="E135" s="203">
        <v>5033601.1500000004</v>
      </c>
      <c r="F135" s="131">
        <f t="shared" si="20"/>
        <v>1.4015363533521124E-2</v>
      </c>
      <c r="G135" s="214">
        <f t="shared" si="21"/>
        <v>0.23008786674875181</v>
      </c>
      <c r="H135" s="122"/>
    </row>
    <row r="136" spans="1:8" ht="15.75" x14ac:dyDescent="0.25">
      <c r="A136" s="129"/>
      <c r="B136" s="130">
        <f>DATE(2025,1,1)</f>
        <v>45658</v>
      </c>
      <c r="C136" s="203">
        <v>20205264</v>
      </c>
      <c r="D136" s="203">
        <v>4808011.71</v>
      </c>
      <c r="E136" s="203">
        <v>4031282.04</v>
      </c>
      <c r="F136" s="131">
        <f t="shared" si="20"/>
        <v>0.19267559607414617</v>
      </c>
      <c r="G136" s="214">
        <f t="shared" si="21"/>
        <v>0.23795837114526194</v>
      </c>
      <c r="H136" s="122"/>
    </row>
    <row r="137" spans="1:8" ht="15.75" x14ac:dyDescent="0.25">
      <c r="A137" s="129"/>
      <c r="B137" s="130">
        <f>DATE(2025,2,1)</f>
        <v>45689</v>
      </c>
      <c r="C137" s="203">
        <v>18215308</v>
      </c>
      <c r="D137" s="203">
        <v>4059352.08</v>
      </c>
      <c r="E137" s="203">
        <v>4101154.55</v>
      </c>
      <c r="F137" s="131">
        <f t="shared" si="20"/>
        <v>-1.0192854107387819E-2</v>
      </c>
      <c r="G137" s="214">
        <f t="shared" si="21"/>
        <v>0.22285388092257347</v>
      </c>
      <c r="H137" s="122"/>
    </row>
    <row r="138" spans="1:8" ht="15.75" thickBot="1" x14ac:dyDescent="0.25">
      <c r="A138" s="132"/>
      <c r="B138" s="133"/>
      <c r="C138" s="203"/>
      <c r="D138" s="203"/>
      <c r="E138" s="203"/>
      <c r="F138" s="131"/>
      <c r="G138" s="214"/>
      <c r="H138" s="122"/>
    </row>
    <row r="139" spans="1:8" ht="17.25" thickTop="1" thickBot="1" x14ac:dyDescent="0.3">
      <c r="A139" s="140" t="s">
        <v>14</v>
      </c>
      <c r="B139" s="141"/>
      <c r="C139" s="205">
        <f>SUM(C130:C138)</f>
        <v>159604022</v>
      </c>
      <c r="D139" s="206">
        <f>SUM(D130:D138)</f>
        <v>36825948.899999999</v>
      </c>
      <c r="E139" s="205">
        <f>SUM(E130:E138)</f>
        <v>34351828.599999994</v>
      </c>
      <c r="F139" s="142">
        <f>(+D139-E139)/E139</f>
        <v>7.202295775311375E-2</v>
      </c>
      <c r="G139" s="216">
        <f>D139/C139</f>
        <v>0.23073321360285018</v>
      </c>
      <c r="H139" s="122"/>
    </row>
    <row r="140" spans="1:8" ht="15.75" customHeight="1" thickTop="1" x14ac:dyDescent="0.25">
      <c r="A140" s="129"/>
      <c r="B140" s="133"/>
      <c r="C140" s="203"/>
      <c r="D140" s="203"/>
      <c r="E140" s="203"/>
      <c r="F140" s="131"/>
      <c r="G140" s="217"/>
      <c r="H140" s="122"/>
    </row>
    <row r="141" spans="1:8" ht="15.75" x14ac:dyDescent="0.25">
      <c r="A141" s="129" t="s">
        <v>57</v>
      </c>
      <c r="B141" s="130">
        <f>DATE(2024,7,1)</f>
        <v>45474</v>
      </c>
      <c r="C141" s="203">
        <v>584831</v>
      </c>
      <c r="D141" s="203">
        <v>133926.5</v>
      </c>
      <c r="E141" s="203">
        <v>167507.5</v>
      </c>
      <c r="F141" s="131">
        <f t="shared" ref="F141:F148" si="22">(+D141-E141)/E141</f>
        <v>-0.20047460561467398</v>
      </c>
      <c r="G141" s="214">
        <f t="shared" ref="G141:G148" si="23">D141/C141</f>
        <v>0.22900034368903152</v>
      </c>
      <c r="H141" s="122"/>
    </row>
    <row r="142" spans="1:8" ht="15.75" x14ac:dyDescent="0.25">
      <c r="A142" s="129"/>
      <c r="B142" s="130">
        <f>DATE(2024,8,1)</f>
        <v>45505</v>
      </c>
      <c r="C142" s="203">
        <v>723929</v>
      </c>
      <c r="D142" s="203">
        <v>188568.5</v>
      </c>
      <c r="E142" s="203">
        <v>211410</v>
      </c>
      <c r="F142" s="131">
        <f t="shared" si="22"/>
        <v>-0.10804361193888652</v>
      </c>
      <c r="G142" s="214">
        <f t="shared" si="23"/>
        <v>0.26047927351991701</v>
      </c>
      <c r="H142" s="122"/>
    </row>
    <row r="143" spans="1:8" ht="15.75" x14ac:dyDescent="0.25">
      <c r="A143" s="129"/>
      <c r="B143" s="130">
        <f>DATE(2024,9,1)</f>
        <v>45536</v>
      </c>
      <c r="C143" s="203">
        <v>577445</v>
      </c>
      <c r="D143" s="203">
        <v>118770</v>
      </c>
      <c r="E143" s="203">
        <v>169350</v>
      </c>
      <c r="F143" s="131">
        <f t="shared" si="22"/>
        <v>-0.29867139061116033</v>
      </c>
      <c r="G143" s="214">
        <f t="shared" si="23"/>
        <v>0.20568192641723454</v>
      </c>
      <c r="H143" s="122"/>
    </row>
    <row r="144" spans="1:8" ht="15.75" x14ac:dyDescent="0.25">
      <c r="A144" s="129"/>
      <c r="B144" s="130">
        <f>DATE(2024,10,1)</f>
        <v>45566</v>
      </c>
      <c r="C144" s="203">
        <v>598796</v>
      </c>
      <c r="D144" s="203">
        <v>142953</v>
      </c>
      <c r="E144" s="203">
        <v>88179.5</v>
      </c>
      <c r="F144" s="131">
        <f t="shared" si="22"/>
        <v>0.62115911294575266</v>
      </c>
      <c r="G144" s="214">
        <f t="shared" si="23"/>
        <v>0.23873405967975739</v>
      </c>
      <c r="H144" s="122"/>
    </row>
    <row r="145" spans="1:8" ht="15.75" x14ac:dyDescent="0.25">
      <c r="A145" s="129"/>
      <c r="B145" s="130">
        <f>DATE(2024,11,1)</f>
        <v>45597</v>
      </c>
      <c r="C145" s="203">
        <v>461717</v>
      </c>
      <c r="D145" s="203">
        <v>139907.5</v>
      </c>
      <c r="E145" s="203">
        <v>133089.5</v>
      </c>
      <c r="F145" s="131">
        <f t="shared" si="22"/>
        <v>5.1228684456700188E-2</v>
      </c>
      <c r="G145" s="214">
        <f t="shared" si="23"/>
        <v>0.30301570009334722</v>
      </c>
      <c r="H145" s="122"/>
    </row>
    <row r="146" spans="1:8" ht="15.75" x14ac:dyDescent="0.25">
      <c r="A146" s="129"/>
      <c r="B146" s="130">
        <f>DATE(2024,12,1)</f>
        <v>45627</v>
      </c>
      <c r="C146" s="203">
        <v>524932</v>
      </c>
      <c r="D146" s="203">
        <v>103931.5</v>
      </c>
      <c r="E146" s="203">
        <v>263841.5</v>
      </c>
      <c r="F146" s="131">
        <f t="shared" si="22"/>
        <v>-0.60608357669282509</v>
      </c>
      <c r="G146" s="214">
        <f t="shared" si="23"/>
        <v>0.19799040637644494</v>
      </c>
      <c r="H146" s="122"/>
    </row>
    <row r="147" spans="1:8" ht="15.75" x14ac:dyDescent="0.25">
      <c r="A147" s="129"/>
      <c r="B147" s="130">
        <f>DATE(2025,1,1)</f>
        <v>45658</v>
      </c>
      <c r="C147" s="203">
        <v>451902</v>
      </c>
      <c r="D147" s="203">
        <v>125087</v>
      </c>
      <c r="E147" s="203">
        <v>139110</v>
      </c>
      <c r="F147" s="131">
        <f t="shared" si="22"/>
        <v>-0.10080511825174322</v>
      </c>
      <c r="G147" s="214">
        <f t="shared" si="23"/>
        <v>0.27680116485432682</v>
      </c>
      <c r="H147" s="122"/>
    </row>
    <row r="148" spans="1:8" ht="15.75" x14ac:dyDescent="0.25">
      <c r="A148" s="129"/>
      <c r="B148" s="130">
        <f>DATE(2025,2,1)</f>
        <v>45689</v>
      </c>
      <c r="C148" s="203">
        <v>538734</v>
      </c>
      <c r="D148" s="203">
        <v>182336.5</v>
      </c>
      <c r="E148" s="203">
        <v>167570.5</v>
      </c>
      <c r="F148" s="131">
        <f t="shared" si="22"/>
        <v>8.8118135351986177E-2</v>
      </c>
      <c r="G148" s="214">
        <f t="shared" si="23"/>
        <v>0.33845367101389556</v>
      </c>
      <c r="H148" s="122"/>
    </row>
    <row r="149" spans="1:8" ht="15.75" thickBot="1" x14ac:dyDescent="0.25">
      <c r="A149" s="132"/>
      <c r="B149" s="133"/>
      <c r="C149" s="203"/>
      <c r="D149" s="203"/>
      <c r="E149" s="203"/>
      <c r="F149" s="131"/>
      <c r="G149" s="214"/>
      <c r="H149" s="122"/>
    </row>
    <row r="150" spans="1:8" ht="17.25" thickTop="1" thickBot="1" x14ac:dyDescent="0.3">
      <c r="A150" s="134" t="s">
        <v>14</v>
      </c>
      <c r="B150" s="135"/>
      <c r="C150" s="200">
        <f>SUM(C141:C149)</f>
        <v>4462286</v>
      </c>
      <c r="D150" s="206">
        <f>SUM(D141:D149)</f>
        <v>1135480.5</v>
      </c>
      <c r="E150" s="206">
        <f>SUM(E141:E149)</f>
        <v>1340058.5</v>
      </c>
      <c r="F150" s="142">
        <f>(+D150-E150)/E150</f>
        <v>-0.15266348446728259</v>
      </c>
      <c r="G150" s="216">
        <f>D150/C150</f>
        <v>0.25446161451776061</v>
      </c>
      <c r="H150" s="122"/>
    </row>
    <row r="151" spans="1:8" ht="16.5" thickTop="1" thickBot="1" x14ac:dyDescent="0.25">
      <c r="A151" s="145"/>
      <c r="B151" s="138"/>
      <c r="C151" s="204"/>
      <c r="D151" s="204"/>
      <c r="E151" s="204"/>
      <c r="F151" s="139"/>
      <c r="G151" s="215"/>
      <c r="H151" s="122"/>
    </row>
    <row r="152" spans="1:8" ht="17.25" thickTop="1" thickBot="1" x14ac:dyDescent="0.3">
      <c r="A152" s="146" t="s">
        <v>38</v>
      </c>
      <c r="B152" s="120"/>
      <c r="C152" s="200">
        <f>C150+C139+C106+C84+C62+C40+C18+C51+C128+C29+C95+C117+C73</f>
        <v>871512492.58999991</v>
      </c>
      <c r="D152" s="200">
        <f>D150+D139+D106+D84+D62+D40+D18+D51+D128+D29+D95+D117+D73</f>
        <v>177544806.19</v>
      </c>
      <c r="E152" s="200">
        <f>E150+E139+E106+E84+E62+E40+E18+E51+E128+E29+E95+E117+E73</f>
        <v>173416255.09999999</v>
      </c>
      <c r="F152" s="136">
        <f>(+D152-E152)/E152</f>
        <v>2.3807174751982081E-2</v>
      </c>
      <c r="G152" s="211">
        <f>D152/C152</f>
        <v>0.20372032265695283</v>
      </c>
      <c r="H152" s="122"/>
    </row>
    <row r="153" spans="1:8" ht="17.25" thickTop="1" thickBot="1" x14ac:dyDescent="0.3">
      <c r="A153" s="146"/>
      <c r="B153" s="120"/>
      <c r="C153" s="200"/>
      <c r="D153" s="200"/>
      <c r="E153" s="200"/>
      <c r="F153" s="136"/>
      <c r="G153" s="211"/>
      <c r="H153" s="122"/>
    </row>
    <row r="154" spans="1:8" ht="17.25" thickTop="1" thickBot="1" x14ac:dyDescent="0.3">
      <c r="A154" s="264" t="s">
        <v>39</v>
      </c>
      <c r="B154" s="265"/>
      <c r="C154" s="205">
        <f>+C16+C27+C38+C49+C60+C71+C82+C93+C104+C115+C126+C137+C148</f>
        <v>102389735</v>
      </c>
      <c r="D154" s="205">
        <f>+D16+D27+D38+D49+D60+D71+D82+D93+D104+D115+D126+D137+D148</f>
        <v>22212745.729999997</v>
      </c>
      <c r="E154" s="205">
        <f>+E16+E27+E38+E49+E60+E71+E82+E93+E104+E115+E126+E137+E148</f>
        <v>21321094.210000001</v>
      </c>
      <c r="F154" s="267">
        <f>(+D154-E154)/E154</f>
        <v>4.1820157596873908E-2</v>
      </c>
      <c r="G154" s="216">
        <f>D154/C154</f>
        <v>0.21694309229338271</v>
      </c>
      <c r="H154" s="122"/>
    </row>
    <row r="155" spans="1:8" ht="16.5" thickTop="1" x14ac:dyDescent="0.25">
      <c r="A155" s="255"/>
      <c r="B155" s="257"/>
      <c r="C155" s="258"/>
      <c r="D155" s="258"/>
      <c r="E155" s="258"/>
      <c r="F155" s="259"/>
      <c r="G155" s="256"/>
      <c r="H155" s="256"/>
    </row>
    <row r="156" spans="1:8" ht="18.75" x14ac:dyDescent="0.3">
      <c r="A156" s="262" t="s">
        <v>40</v>
      </c>
      <c r="B156" s="116"/>
      <c r="C156" s="207"/>
      <c r="D156" s="207"/>
      <c r="E156" s="207"/>
      <c r="F156" s="147"/>
      <c r="G156" s="219"/>
    </row>
    <row r="157" spans="1:8" ht="15.75" x14ac:dyDescent="0.25">
      <c r="A157" s="71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3" manualBreakCount="3">
    <brk id="51" max="7" man="1"/>
    <brk id="95" max="7" man="1"/>
    <brk id="13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8" t="s">
        <v>0</v>
      </c>
      <c r="B1" s="149"/>
      <c r="C1" s="221"/>
      <c r="D1" s="221"/>
      <c r="E1" s="221"/>
      <c r="F1" s="149"/>
      <c r="G1" s="233"/>
      <c r="H1" s="233"/>
    </row>
    <row r="2" spans="1:8" ht="18.75" x14ac:dyDescent="0.3">
      <c r="A2" s="152" t="s">
        <v>59</v>
      </c>
      <c r="B2" s="149"/>
      <c r="C2" s="221"/>
      <c r="D2" s="221"/>
      <c r="E2" s="221"/>
      <c r="F2" s="149"/>
      <c r="G2" s="233"/>
      <c r="H2" s="233"/>
    </row>
    <row r="3" spans="1:8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</row>
    <row r="4" spans="1:8" ht="18" x14ac:dyDescent="0.25">
      <c r="A4" s="284" t="s">
        <v>77</v>
      </c>
      <c r="B4" s="149"/>
      <c r="C4" s="221"/>
      <c r="D4" s="221"/>
      <c r="E4" s="221"/>
      <c r="F4" s="149"/>
      <c r="G4" s="233"/>
      <c r="H4" s="233"/>
    </row>
    <row r="5" spans="1:8" x14ac:dyDescent="0.2">
      <c r="A5" s="285" t="s">
        <v>73</v>
      </c>
      <c r="B5" s="149"/>
      <c r="C5" s="221"/>
      <c r="D5" s="221"/>
      <c r="E5" s="221"/>
      <c r="F5" s="149"/>
      <c r="G5" s="233"/>
      <c r="H5" s="233"/>
    </row>
    <row r="6" spans="1:8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</row>
    <row r="7" spans="1:8" ht="16.5" thickTop="1" x14ac:dyDescent="0.25">
      <c r="A7" s="153"/>
      <c r="B7" s="154" t="s">
        <v>2</v>
      </c>
      <c r="C7" s="222" t="s">
        <v>65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</row>
    <row r="8" spans="1:8" ht="16.5" thickBot="1" x14ac:dyDescent="0.3">
      <c r="A8" s="157" t="s">
        <v>5</v>
      </c>
      <c r="B8" s="158" t="s">
        <v>6</v>
      </c>
      <c r="C8" s="223" t="s">
        <v>45</v>
      </c>
      <c r="D8" s="223" t="s">
        <v>66</v>
      </c>
      <c r="E8" s="223" t="s">
        <v>66</v>
      </c>
      <c r="F8" s="159" t="s">
        <v>8</v>
      </c>
      <c r="G8" s="237" t="s">
        <v>35</v>
      </c>
      <c r="H8" s="253" t="s">
        <v>47</v>
      </c>
    </row>
    <row r="9" spans="1:8" ht="16.5" thickTop="1" x14ac:dyDescent="0.25">
      <c r="A9" s="160"/>
      <c r="B9" s="161"/>
      <c r="C9" s="224"/>
      <c r="D9" s="224"/>
      <c r="E9" s="224"/>
      <c r="F9" s="162"/>
      <c r="G9" s="238"/>
      <c r="H9" s="239"/>
    </row>
    <row r="10" spans="1:8" ht="15.75" x14ac:dyDescent="0.25">
      <c r="A10" s="163" t="s">
        <v>36</v>
      </c>
      <c r="B10" s="164">
        <f>DATE(24,7,1)</f>
        <v>8949</v>
      </c>
      <c r="C10" s="225">
        <v>0</v>
      </c>
      <c r="D10" s="225">
        <v>0</v>
      </c>
      <c r="E10" s="225">
        <v>0</v>
      </c>
      <c r="F10" s="165">
        <v>0</v>
      </c>
      <c r="G10" s="240">
        <v>0</v>
      </c>
      <c r="H10" s="288">
        <v>0</v>
      </c>
    </row>
    <row r="11" spans="1:8" ht="15.75" x14ac:dyDescent="0.25">
      <c r="A11" s="163"/>
      <c r="B11" s="164">
        <f>DATE(24,8,1)</f>
        <v>8980</v>
      </c>
      <c r="C11" s="225">
        <v>0</v>
      </c>
      <c r="D11" s="225">
        <v>0</v>
      </c>
      <c r="E11" s="225">
        <v>0</v>
      </c>
      <c r="F11" s="165">
        <v>0</v>
      </c>
      <c r="G11" s="240">
        <v>0</v>
      </c>
      <c r="H11" s="288">
        <v>0</v>
      </c>
    </row>
    <row r="12" spans="1:8" ht="15.75" x14ac:dyDescent="0.25">
      <c r="A12" s="163"/>
      <c r="B12" s="164">
        <f>DATE(24,9,1)</f>
        <v>9011</v>
      </c>
      <c r="C12" s="225">
        <v>0</v>
      </c>
      <c r="D12" s="225">
        <v>0</v>
      </c>
      <c r="E12" s="225">
        <v>0</v>
      </c>
      <c r="F12" s="165">
        <v>0</v>
      </c>
      <c r="G12" s="240">
        <v>0</v>
      </c>
      <c r="H12" s="288">
        <v>0</v>
      </c>
    </row>
    <row r="13" spans="1:8" ht="15.75" x14ac:dyDescent="0.25">
      <c r="A13" s="163"/>
      <c r="B13" s="164">
        <f>DATE(24,10,1)</f>
        <v>9041</v>
      </c>
      <c r="C13" s="225">
        <v>0</v>
      </c>
      <c r="D13" s="225">
        <v>0</v>
      </c>
      <c r="E13" s="225">
        <v>0</v>
      </c>
      <c r="F13" s="165">
        <v>0</v>
      </c>
      <c r="G13" s="240">
        <v>0</v>
      </c>
      <c r="H13" s="288">
        <v>0</v>
      </c>
    </row>
    <row r="14" spans="1:8" ht="15.75" x14ac:dyDescent="0.25">
      <c r="A14" s="163"/>
      <c r="B14" s="164">
        <f>DATE(24,11,1)</f>
        <v>9072</v>
      </c>
      <c r="C14" s="225">
        <v>0</v>
      </c>
      <c r="D14" s="225">
        <v>0</v>
      </c>
      <c r="E14" s="225">
        <v>0</v>
      </c>
      <c r="F14" s="165">
        <v>0</v>
      </c>
      <c r="G14" s="240">
        <v>0</v>
      </c>
      <c r="H14" s="288">
        <v>0</v>
      </c>
    </row>
    <row r="15" spans="1:8" ht="15.75" x14ac:dyDescent="0.25">
      <c r="A15" s="163"/>
      <c r="B15" s="164">
        <f>DATE(24,12,1)</f>
        <v>9102</v>
      </c>
      <c r="C15" s="225">
        <v>0</v>
      </c>
      <c r="D15" s="225">
        <v>0</v>
      </c>
      <c r="E15" s="225">
        <v>0</v>
      </c>
      <c r="F15" s="165">
        <v>0</v>
      </c>
      <c r="G15" s="240">
        <v>0</v>
      </c>
      <c r="H15" s="288">
        <v>0</v>
      </c>
    </row>
    <row r="16" spans="1:8" ht="15.75" x14ac:dyDescent="0.25">
      <c r="A16" s="163"/>
      <c r="B16" s="164">
        <f>DATE(25,1,1)</f>
        <v>9133</v>
      </c>
      <c r="C16" s="225">
        <v>0</v>
      </c>
      <c r="D16" s="225">
        <v>0</v>
      </c>
      <c r="E16" s="225">
        <v>0</v>
      </c>
      <c r="F16" s="165">
        <v>0</v>
      </c>
      <c r="G16" s="240">
        <v>0</v>
      </c>
      <c r="H16" s="288">
        <v>0</v>
      </c>
    </row>
    <row r="17" spans="1:8" ht="15.75" x14ac:dyDescent="0.25">
      <c r="A17" s="163"/>
      <c r="B17" s="164">
        <f>DATE(25,2,1)</f>
        <v>9164</v>
      </c>
      <c r="C17" s="225">
        <v>0</v>
      </c>
      <c r="D17" s="225">
        <v>0</v>
      </c>
      <c r="E17" s="225">
        <v>0</v>
      </c>
      <c r="F17" s="165">
        <v>0</v>
      </c>
      <c r="G17" s="240">
        <v>0</v>
      </c>
      <c r="H17" s="288">
        <v>0</v>
      </c>
    </row>
    <row r="18" spans="1:8" ht="15.75" thickBot="1" x14ac:dyDescent="0.25">
      <c r="A18" s="166"/>
      <c r="B18" s="167"/>
      <c r="C18" s="225"/>
      <c r="D18" s="225"/>
      <c r="E18" s="225"/>
      <c r="F18" s="165"/>
      <c r="G18" s="240"/>
      <c r="H18" s="241"/>
    </row>
    <row r="19" spans="1:8" ht="17.25" thickTop="1" thickBot="1" x14ac:dyDescent="0.3">
      <c r="A19" s="168" t="s">
        <v>14</v>
      </c>
      <c r="B19" s="154"/>
      <c r="C19" s="222">
        <f>SUM(C10:C18)</f>
        <v>0</v>
      </c>
      <c r="D19" s="222">
        <f>SUM(D10:D18)</f>
        <v>0</v>
      </c>
      <c r="E19" s="222">
        <f>SUM(E10:E18)</f>
        <v>0</v>
      </c>
      <c r="F19" s="175">
        <v>0</v>
      </c>
      <c r="G19" s="244">
        <v>0</v>
      </c>
      <c r="H19" s="245">
        <v>0</v>
      </c>
    </row>
    <row r="20" spans="1:8" ht="15.75" thickTop="1" x14ac:dyDescent="0.2">
      <c r="A20" s="170"/>
      <c r="B20" s="171"/>
      <c r="C20" s="226"/>
      <c r="D20" s="226"/>
      <c r="E20" s="226"/>
      <c r="F20" s="172"/>
      <c r="G20" s="242"/>
      <c r="H20" s="243"/>
    </row>
    <row r="21" spans="1:8" ht="15.75" x14ac:dyDescent="0.25">
      <c r="A21" s="19" t="s">
        <v>48</v>
      </c>
      <c r="B21" s="164">
        <f>DATE(24,7,1)</f>
        <v>8949</v>
      </c>
      <c r="C21" s="225">
        <v>0</v>
      </c>
      <c r="D21" s="225">
        <v>0</v>
      </c>
      <c r="E21" s="225">
        <v>0</v>
      </c>
      <c r="F21" s="165">
        <v>0</v>
      </c>
      <c r="G21" s="240">
        <v>0</v>
      </c>
      <c r="H21" s="241">
        <v>0</v>
      </c>
    </row>
    <row r="22" spans="1:8" ht="15.75" x14ac:dyDescent="0.25">
      <c r="A22" s="19"/>
      <c r="B22" s="164">
        <f>DATE(24,8,1)</f>
        <v>8980</v>
      </c>
      <c r="C22" s="225">
        <v>0</v>
      </c>
      <c r="D22" s="225">
        <v>0</v>
      </c>
      <c r="E22" s="225">
        <v>0</v>
      </c>
      <c r="F22" s="165">
        <v>0</v>
      </c>
      <c r="G22" s="240">
        <v>0</v>
      </c>
      <c r="H22" s="241">
        <v>0</v>
      </c>
    </row>
    <row r="23" spans="1:8" ht="15.75" x14ac:dyDescent="0.25">
      <c r="A23" s="19"/>
      <c r="B23" s="164">
        <f>DATE(24,9,1)</f>
        <v>9011</v>
      </c>
      <c r="C23" s="225">
        <v>0</v>
      </c>
      <c r="D23" s="225">
        <v>0</v>
      </c>
      <c r="E23" s="225">
        <v>0</v>
      </c>
      <c r="F23" s="165">
        <v>0</v>
      </c>
      <c r="G23" s="240">
        <v>0</v>
      </c>
      <c r="H23" s="241">
        <v>0</v>
      </c>
    </row>
    <row r="24" spans="1:8" ht="15.75" x14ac:dyDescent="0.25">
      <c r="A24" s="19"/>
      <c r="B24" s="164">
        <f>DATE(24,10,1)</f>
        <v>9041</v>
      </c>
      <c r="C24" s="225">
        <v>0</v>
      </c>
      <c r="D24" s="225">
        <v>0</v>
      </c>
      <c r="E24" s="225">
        <v>0</v>
      </c>
      <c r="F24" s="165">
        <v>0</v>
      </c>
      <c r="G24" s="240">
        <v>0</v>
      </c>
      <c r="H24" s="241">
        <v>0</v>
      </c>
    </row>
    <row r="25" spans="1:8" ht="15.75" x14ac:dyDescent="0.25">
      <c r="A25" s="19"/>
      <c r="B25" s="164">
        <f>DATE(24,11,1)</f>
        <v>9072</v>
      </c>
      <c r="C25" s="225">
        <v>0</v>
      </c>
      <c r="D25" s="225">
        <v>0</v>
      </c>
      <c r="E25" s="225">
        <v>0</v>
      </c>
      <c r="F25" s="165">
        <v>0</v>
      </c>
      <c r="G25" s="240">
        <v>0</v>
      </c>
      <c r="H25" s="288">
        <v>0</v>
      </c>
    </row>
    <row r="26" spans="1:8" ht="15.75" x14ac:dyDescent="0.25">
      <c r="A26" s="19"/>
      <c r="B26" s="164">
        <f>DATE(24,12,1)</f>
        <v>9102</v>
      </c>
      <c r="C26" s="225">
        <v>0</v>
      </c>
      <c r="D26" s="225">
        <v>0</v>
      </c>
      <c r="E26" s="225">
        <v>0</v>
      </c>
      <c r="F26" s="165">
        <v>0</v>
      </c>
      <c r="G26" s="240">
        <v>0</v>
      </c>
      <c r="H26" s="288">
        <v>0</v>
      </c>
    </row>
    <row r="27" spans="1:8" ht="15.75" x14ac:dyDescent="0.25">
      <c r="A27" s="19"/>
      <c r="B27" s="164">
        <f>DATE(25,1,1)</f>
        <v>9133</v>
      </c>
      <c r="C27" s="225">
        <v>0</v>
      </c>
      <c r="D27" s="225">
        <v>0</v>
      </c>
      <c r="E27" s="225">
        <v>0</v>
      </c>
      <c r="F27" s="165">
        <v>0</v>
      </c>
      <c r="G27" s="240">
        <v>0</v>
      </c>
      <c r="H27" s="288">
        <v>0</v>
      </c>
    </row>
    <row r="28" spans="1:8" ht="15.75" x14ac:dyDescent="0.25">
      <c r="A28" s="19"/>
      <c r="B28" s="164">
        <f>DATE(25,2,1)</f>
        <v>9164</v>
      </c>
      <c r="C28" s="225">
        <v>0</v>
      </c>
      <c r="D28" s="225">
        <v>0</v>
      </c>
      <c r="E28" s="225">
        <v>0</v>
      </c>
      <c r="F28" s="165">
        <v>0</v>
      </c>
      <c r="G28" s="240">
        <v>0</v>
      </c>
      <c r="H28" s="288">
        <v>0</v>
      </c>
    </row>
    <row r="29" spans="1:8" ht="15.75" thickBot="1" x14ac:dyDescent="0.25">
      <c r="A29" s="166"/>
      <c r="B29" s="164"/>
      <c r="C29" s="225"/>
      <c r="D29" s="225"/>
      <c r="E29" s="225"/>
      <c r="F29" s="165"/>
      <c r="G29" s="240"/>
      <c r="H29" s="241"/>
    </row>
    <row r="30" spans="1:8" ht="17.25" thickTop="1" thickBot="1" x14ac:dyDescent="0.3">
      <c r="A30" s="168" t="s">
        <v>14</v>
      </c>
      <c r="B30" s="154"/>
      <c r="C30" s="222">
        <f>SUM(C21:C29)</f>
        <v>0</v>
      </c>
      <c r="D30" s="222">
        <f>SUM(D21:D29)</f>
        <v>0</v>
      </c>
      <c r="E30" s="222">
        <f>SUM(E21:E29)</f>
        <v>0</v>
      </c>
      <c r="F30" s="169">
        <v>0</v>
      </c>
      <c r="G30" s="235">
        <v>0</v>
      </c>
      <c r="H30" s="236">
        <v>0</v>
      </c>
    </row>
    <row r="31" spans="1:8" ht="15.75" thickTop="1" x14ac:dyDescent="0.2">
      <c r="A31" s="170"/>
      <c r="B31" s="171"/>
      <c r="C31" s="226"/>
      <c r="D31" s="226"/>
      <c r="E31" s="226"/>
      <c r="F31" s="172"/>
      <c r="G31" s="242"/>
      <c r="H31" s="243"/>
    </row>
    <row r="32" spans="1:8" ht="15.75" x14ac:dyDescent="0.25">
      <c r="A32" s="19" t="s">
        <v>62</v>
      </c>
      <c r="B32" s="164">
        <f>DATE(24,7,1)</f>
        <v>8949</v>
      </c>
      <c r="C32" s="225">
        <v>0</v>
      </c>
      <c r="D32" s="225">
        <v>0</v>
      </c>
      <c r="E32" s="225">
        <v>0</v>
      </c>
      <c r="F32" s="165">
        <v>0</v>
      </c>
      <c r="G32" s="240">
        <v>0</v>
      </c>
      <c r="H32" s="241">
        <v>0</v>
      </c>
    </row>
    <row r="33" spans="1:8" ht="15.75" x14ac:dyDescent="0.25">
      <c r="A33" s="19"/>
      <c r="B33" s="164">
        <f>DATE(24,8,1)</f>
        <v>8980</v>
      </c>
      <c r="C33" s="225">
        <v>0</v>
      </c>
      <c r="D33" s="225">
        <v>0</v>
      </c>
      <c r="E33" s="225">
        <v>0</v>
      </c>
      <c r="F33" s="165">
        <v>0</v>
      </c>
      <c r="G33" s="240">
        <v>0</v>
      </c>
      <c r="H33" s="241">
        <v>0</v>
      </c>
    </row>
    <row r="34" spans="1:8" ht="15.75" x14ac:dyDescent="0.25">
      <c r="A34" s="19"/>
      <c r="B34" s="164">
        <f>DATE(24,9,1)</f>
        <v>9011</v>
      </c>
      <c r="C34" s="225">
        <v>0</v>
      </c>
      <c r="D34" s="225">
        <v>0</v>
      </c>
      <c r="E34" s="225">
        <v>0</v>
      </c>
      <c r="F34" s="165">
        <v>0</v>
      </c>
      <c r="G34" s="240">
        <v>0</v>
      </c>
      <c r="H34" s="241">
        <v>0</v>
      </c>
    </row>
    <row r="35" spans="1:8" ht="15.75" x14ac:dyDescent="0.25">
      <c r="A35" s="19"/>
      <c r="B35" s="164">
        <f>DATE(24,10,1)</f>
        <v>9041</v>
      </c>
      <c r="C35" s="225">
        <v>0</v>
      </c>
      <c r="D35" s="225">
        <v>0</v>
      </c>
      <c r="E35" s="225">
        <v>0</v>
      </c>
      <c r="F35" s="165">
        <v>0</v>
      </c>
      <c r="G35" s="240">
        <v>0</v>
      </c>
      <c r="H35" s="241">
        <v>0</v>
      </c>
    </row>
    <row r="36" spans="1:8" ht="15.75" x14ac:dyDescent="0.25">
      <c r="A36" s="19"/>
      <c r="B36" s="164">
        <f>DATE(24,11,1)</f>
        <v>9072</v>
      </c>
      <c r="C36" s="225">
        <v>0</v>
      </c>
      <c r="D36" s="225">
        <v>0</v>
      </c>
      <c r="E36" s="225">
        <v>0</v>
      </c>
      <c r="F36" s="165">
        <v>0</v>
      </c>
      <c r="G36" s="240">
        <v>0</v>
      </c>
      <c r="H36" s="241">
        <v>0</v>
      </c>
    </row>
    <row r="37" spans="1:8" ht="15.75" x14ac:dyDescent="0.25">
      <c r="A37" s="19"/>
      <c r="B37" s="164">
        <f>DATE(24,12,1)</f>
        <v>9102</v>
      </c>
      <c r="C37" s="225">
        <v>0</v>
      </c>
      <c r="D37" s="225">
        <v>0</v>
      </c>
      <c r="E37" s="225">
        <v>0</v>
      </c>
      <c r="F37" s="165">
        <v>0</v>
      </c>
      <c r="G37" s="240">
        <v>0</v>
      </c>
      <c r="H37" s="288">
        <v>0</v>
      </c>
    </row>
    <row r="38" spans="1:8" ht="15.75" x14ac:dyDescent="0.25">
      <c r="A38" s="19"/>
      <c r="B38" s="164">
        <f>DATE(25,1,1)</f>
        <v>9133</v>
      </c>
      <c r="C38" s="225">
        <v>0</v>
      </c>
      <c r="D38" s="225">
        <v>0</v>
      </c>
      <c r="E38" s="225">
        <v>0</v>
      </c>
      <c r="F38" s="165">
        <v>0</v>
      </c>
      <c r="G38" s="240">
        <v>0</v>
      </c>
      <c r="H38" s="288">
        <v>0</v>
      </c>
    </row>
    <row r="39" spans="1:8" ht="15.75" x14ac:dyDescent="0.25">
      <c r="A39" s="19"/>
      <c r="B39" s="164">
        <f>DATE(25,2,1)</f>
        <v>9164</v>
      </c>
      <c r="C39" s="225">
        <v>0</v>
      </c>
      <c r="D39" s="225">
        <v>0</v>
      </c>
      <c r="E39" s="225">
        <v>0</v>
      </c>
      <c r="F39" s="165">
        <v>0</v>
      </c>
      <c r="G39" s="240">
        <v>0</v>
      </c>
      <c r="H39" s="288">
        <v>0</v>
      </c>
    </row>
    <row r="40" spans="1:8" ht="15.75" thickBot="1" x14ac:dyDescent="0.25">
      <c r="A40" s="166"/>
      <c r="B40" s="164"/>
      <c r="C40" s="225"/>
      <c r="D40" s="225"/>
      <c r="E40" s="225"/>
      <c r="F40" s="165"/>
      <c r="G40" s="240"/>
      <c r="H40" s="241"/>
    </row>
    <row r="41" spans="1:8" ht="17.25" thickTop="1" thickBot="1" x14ac:dyDescent="0.3">
      <c r="A41" s="173" t="s">
        <v>14</v>
      </c>
      <c r="B41" s="174"/>
      <c r="C41" s="227">
        <f>SUM(C32:C40)</f>
        <v>0</v>
      </c>
      <c r="D41" s="227">
        <f>SUM(D32:D40)</f>
        <v>0</v>
      </c>
      <c r="E41" s="227">
        <f>SUM(E32:E40)</f>
        <v>0</v>
      </c>
      <c r="F41" s="175">
        <v>0</v>
      </c>
      <c r="G41" s="244">
        <v>0</v>
      </c>
      <c r="H41" s="245">
        <v>0</v>
      </c>
    </row>
    <row r="42" spans="1:8" ht="15.75" thickTop="1" x14ac:dyDescent="0.2">
      <c r="A42" s="166"/>
      <c r="B42" s="167"/>
      <c r="C42" s="225"/>
      <c r="D42" s="225"/>
      <c r="E42" s="225"/>
      <c r="F42" s="165"/>
      <c r="G42" s="240"/>
      <c r="H42" s="241"/>
    </row>
    <row r="43" spans="1:8" ht="15.75" x14ac:dyDescent="0.25">
      <c r="A43" s="176" t="s">
        <v>58</v>
      </c>
      <c r="B43" s="164">
        <f>DATE(24,7,1)</f>
        <v>8949</v>
      </c>
      <c r="C43" s="225">
        <v>0</v>
      </c>
      <c r="D43" s="225">
        <v>0</v>
      </c>
      <c r="E43" s="225">
        <v>0</v>
      </c>
      <c r="F43" s="165">
        <v>0</v>
      </c>
      <c r="G43" s="240">
        <v>0</v>
      </c>
      <c r="H43" s="288">
        <v>0</v>
      </c>
    </row>
    <row r="44" spans="1:8" ht="15.75" x14ac:dyDescent="0.25">
      <c r="A44" s="176"/>
      <c r="B44" s="164">
        <f>DATE(24,8,1)</f>
        <v>8980</v>
      </c>
      <c r="C44" s="225">
        <v>0</v>
      </c>
      <c r="D44" s="225">
        <v>0</v>
      </c>
      <c r="E44" s="225">
        <v>0</v>
      </c>
      <c r="F44" s="165">
        <v>0</v>
      </c>
      <c r="G44" s="240">
        <v>0</v>
      </c>
      <c r="H44" s="288">
        <v>0</v>
      </c>
    </row>
    <row r="45" spans="1:8" ht="15.75" x14ac:dyDescent="0.25">
      <c r="A45" s="176"/>
      <c r="B45" s="164">
        <f>DATE(24,9,1)</f>
        <v>9011</v>
      </c>
      <c r="C45" s="225">
        <v>0</v>
      </c>
      <c r="D45" s="225">
        <v>0</v>
      </c>
      <c r="E45" s="225">
        <v>0</v>
      </c>
      <c r="F45" s="165">
        <v>0</v>
      </c>
      <c r="G45" s="240">
        <v>0</v>
      </c>
      <c r="H45" s="288">
        <v>0</v>
      </c>
    </row>
    <row r="46" spans="1:8" ht="15.75" x14ac:dyDescent="0.25">
      <c r="A46" s="176"/>
      <c r="B46" s="164">
        <f>DATE(24,10,1)</f>
        <v>9041</v>
      </c>
      <c r="C46" s="225">
        <v>0</v>
      </c>
      <c r="D46" s="225">
        <v>0</v>
      </c>
      <c r="E46" s="225">
        <v>0</v>
      </c>
      <c r="F46" s="165">
        <v>0</v>
      </c>
      <c r="G46" s="240">
        <v>0</v>
      </c>
      <c r="H46" s="288">
        <v>0</v>
      </c>
    </row>
    <row r="47" spans="1:8" ht="15.75" x14ac:dyDescent="0.25">
      <c r="A47" s="176"/>
      <c r="B47" s="164">
        <f>DATE(24,11,1)</f>
        <v>9072</v>
      </c>
      <c r="C47" s="225">
        <v>0</v>
      </c>
      <c r="D47" s="225">
        <v>0</v>
      </c>
      <c r="E47" s="225">
        <v>0</v>
      </c>
      <c r="F47" s="165">
        <v>0</v>
      </c>
      <c r="G47" s="240">
        <v>0</v>
      </c>
      <c r="H47" s="241">
        <v>0</v>
      </c>
    </row>
    <row r="48" spans="1:8" ht="15.75" x14ac:dyDescent="0.25">
      <c r="A48" s="176"/>
      <c r="B48" s="164">
        <f>DATE(24,12,1)</f>
        <v>9102</v>
      </c>
      <c r="C48" s="225">
        <v>0</v>
      </c>
      <c r="D48" s="225">
        <v>0</v>
      </c>
      <c r="E48" s="225">
        <v>0</v>
      </c>
      <c r="F48" s="165">
        <v>0</v>
      </c>
      <c r="G48" s="240">
        <v>0</v>
      </c>
      <c r="H48" s="288">
        <v>0</v>
      </c>
    </row>
    <row r="49" spans="1:8" ht="15.75" x14ac:dyDescent="0.25">
      <c r="A49" s="176"/>
      <c r="B49" s="164">
        <f>DATE(25,1,1)</f>
        <v>9133</v>
      </c>
      <c r="C49" s="225">
        <v>0</v>
      </c>
      <c r="D49" s="225">
        <v>0</v>
      </c>
      <c r="E49" s="225">
        <v>0</v>
      </c>
      <c r="F49" s="165">
        <v>0</v>
      </c>
      <c r="G49" s="240">
        <v>0</v>
      </c>
      <c r="H49" s="288">
        <v>0</v>
      </c>
    </row>
    <row r="50" spans="1:8" ht="15.75" x14ac:dyDescent="0.25">
      <c r="A50" s="176"/>
      <c r="B50" s="164">
        <f>DATE(25,2,1)</f>
        <v>9164</v>
      </c>
      <c r="C50" s="225">
        <v>0</v>
      </c>
      <c r="D50" s="225">
        <v>0</v>
      </c>
      <c r="E50" s="225">
        <v>0</v>
      </c>
      <c r="F50" s="165">
        <v>0</v>
      </c>
      <c r="G50" s="240">
        <v>0</v>
      </c>
      <c r="H50" s="288">
        <v>0</v>
      </c>
    </row>
    <row r="51" spans="1:8" ht="15.75" thickBot="1" x14ac:dyDescent="0.25">
      <c r="A51" s="166"/>
      <c r="B51" s="167"/>
      <c r="C51" s="225"/>
      <c r="D51" s="225"/>
      <c r="E51" s="225"/>
      <c r="F51" s="165"/>
      <c r="G51" s="240"/>
      <c r="H51" s="241"/>
    </row>
    <row r="52" spans="1:8" ht="17.25" thickTop="1" thickBot="1" x14ac:dyDescent="0.3">
      <c r="A52" s="173" t="s">
        <v>14</v>
      </c>
      <c r="B52" s="177"/>
      <c r="C52" s="227">
        <f>SUM(C43:C51)</f>
        <v>0</v>
      </c>
      <c r="D52" s="227">
        <f>SUM(D43:D51)</f>
        <v>0</v>
      </c>
      <c r="E52" s="227">
        <f>SUM(E43:E51)</f>
        <v>0</v>
      </c>
      <c r="F52" s="175">
        <v>0</v>
      </c>
      <c r="G52" s="244">
        <v>0</v>
      </c>
      <c r="H52" s="245">
        <v>0</v>
      </c>
    </row>
    <row r="53" spans="1:8" ht="15.75" thickTop="1" x14ac:dyDescent="0.2">
      <c r="A53" s="166"/>
      <c r="B53" s="167"/>
      <c r="C53" s="225"/>
      <c r="D53" s="225"/>
      <c r="E53" s="225"/>
      <c r="F53" s="165"/>
      <c r="G53" s="240"/>
      <c r="H53" s="241"/>
    </row>
    <row r="54" spans="1:8" ht="15.75" x14ac:dyDescent="0.25">
      <c r="A54" s="163" t="s">
        <v>60</v>
      </c>
      <c r="B54" s="164">
        <f>DATE(24,7,1)</f>
        <v>8949</v>
      </c>
      <c r="C54" s="225">
        <v>0</v>
      </c>
      <c r="D54" s="225">
        <v>0</v>
      </c>
      <c r="E54" s="225">
        <v>0</v>
      </c>
      <c r="F54" s="165">
        <v>0</v>
      </c>
      <c r="G54" s="240">
        <v>0</v>
      </c>
      <c r="H54" s="241">
        <v>0</v>
      </c>
    </row>
    <row r="55" spans="1:8" ht="15.75" x14ac:dyDescent="0.25">
      <c r="A55" s="163"/>
      <c r="B55" s="164">
        <f>DATE(24,8,1)</f>
        <v>8980</v>
      </c>
      <c r="C55" s="225">
        <v>0</v>
      </c>
      <c r="D55" s="225">
        <v>0</v>
      </c>
      <c r="E55" s="225">
        <v>0</v>
      </c>
      <c r="F55" s="165">
        <v>0</v>
      </c>
      <c r="G55" s="240">
        <v>0</v>
      </c>
      <c r="H55" s="241">
        <v>0</v>
      </c>
    </row>
    <row r="56" spans="1:8" ht="15.75" x14ac:dyDescent="0.25">
      <c r="A56" s="163"/>
      <c r="B56" s="164">
        <f>DATE(24,9,1)</f>
        <v>9011</v>
      </c>
      <c r="C56" s="225">
        <v>0</v>
      </c>
      <c r="D56" s="225">
        <v>0</v>
      </c>
      <c r="E56" s="225">
        <v>0</v>
      </c>
      <c r="F56" s="165">
        <v>0</v>
      </c>
      <c r="G56" s="240">
        <v>0</v>
      </c>
      <c r="H56" s="241">
        <v>0</v>
      </c>
    </row>
    <row r="57" spans="1:8" ht="15.75" x14ac:dyDescent="0.25">
      <c r="A57" s="163"/>
      <c r="B57" s="164">
        <f>DATE(24,10,1)</f>
        <v>9041</v>
      </c>
      <c r="C57" s="225">
        <v>0</v>
      </c>
      <c r="D57" s="225">
        <v>0</v>
      </c>
      <c r="E57" s="225">
        <v>0</v>
      </c>
      <c r="F57" s="165">
        <v>0</v>
      </c>
      <c r="G57" s="240">
        <v>0</v>
      </c>
      <c r="H57" s="241">
        <v>0</v>
      </c>
    </row>
    <row r="58" spans="1:8" ht="15.75" x14ac:dyDescent="0.25">
      <c r="A58" s="163"/>
      <c r="B58" s="164">
        <f>DATE(24,11,1)</f>
        <v>9072</v>
      </c>
      <c r="C58" s="225">
        <v>0</v>
      </c>
      <c r="D58" s="225">
        <v>0</v>
      </c>
      <c r="E58" s="225">
        <v>0</v>
      </c>
      <c r="F58" s="165">
        <v>0</v>
      </c>
      <c r="G58" s="240">
        <v>0</v>
      </c>
      <c r="H58" s="241">
        <v>0</v>
      </c>
    </row>
    <row r="59" spans="1:8" ht="15.75" x14ac:dyDescent="0.25">
      <c r="A59" s="163"/>
      <c r="B59" s="164">
        <f>DATE(24,12,1)</f>
        <v>9102</v>
      </c>
      <c r="C59" s="225">
        <v>0</v>
      </c>
      <c r="D59" s="225">
        <v>0</v>
      </c>
      <c r="E59" s="225">
        <v>0</v>
      </c>
      <c r="F59" s="165">
        <v>0</v>
      </c>
      <c r="G59" s="240">
        <v>0</v>
      </c>
      <c r="H59" s="288">
        <v>0</v>
      </c>
    </row>
    <row r="60" spans="1:8" ht="15.75" x14ac:dyDescent="0.25">
      <c r="A60" s="163"/>
      <c r="B60" s="164">
        <f>DATE(25,1,1)</f>
        <v>9133</v>
      </c>
      <c r="C60" s="225">
        <v>0</v>
      </c>
      <c r="D60" s="225">
        <v>0</v>
      </c>
      <c r="E60" s="225">
        <v>0</v>
      </c>
      <c r="F60" s="165">
        <v>0</v>
      </c>
      <c r="G60" s="240">
        <v>0</v>
      </c>
      <c r="H60" s="288">
        <v>0</v>
      </c>
    </row>
    <row r="61" spans="1:8" ht="15.75" x14ac:dyDescent="0.25">
      <c r="A61" s="163"/>
      <c r="B61" s="164">
        <f>DATE(25,2,1)</f>
        <v>9164</v>
      </c>
      <c r="C61" s="225">
        <v>0</v>
      </c>
      <c r="D61" s="225">
        <v>0</v>
      </c>
      <c r="E61" s="225">
        <v>0</v>
      </c>
      <c r="F61" s="165">
        <v>0</v>
      </c>
      <c r="G61" s="240">
        <v>0</v>
      </c>
      <c r="H61" s="288">
        <v>0</v>
      </c>
    </row>
    <row r="62" spans="1:8" ht="15.75" thickBot="1" x14ac:dyDescent="0.25">
      <c r="A62" s="166"/>
      <c r="B62" s="164"/>
      <c r="C62" s="225"/>
      <c r="D62" s="225"/>
      <c r="E62" s="225"/>
      <c r="F62" s="165"/>
      <c r="G62" s="240"/>
      <c r="H62" s="241"/>
    </row>
    <row r="63" spans="1:8" ht="17.25" thickTop="1" thickBot="1" x14ac:dyDescent="0.3">
      <c r="A63" s="173" t="s">
        <v>14</v>
      </c>
      <c r="B63" s="174"/>
      <c r="C63" s="227">
        <f>SUM(C54:C62)</f>
        <v>0</v>
      </c>
      <c r="D63" s="229">
        <f>SUM(D54:D62)</f>
        <v>0</v>
      </c>
      <c r="E63" s="270">
        <f>SUM(E54:E62)</f>
        <v>0</v>
      </c>
      <c r="F63" s="175">
        <v>0</v>
      </c>
      <c r="G63" s="244">
        <v>0</v>
      </c>
      <c r="H63" s="245">
        <v>0</v>
      </c>
    </row>
    <row r="64" spans="1:8" ht="15.75" thickTop="1" x14ac:dyDescent="0.2">
      <c r="A64" s="166"/>
      <c r="B64" s="167"/>
      <c r="C64" s="225"/>
      <c r="D64" s="225"/>
      <c r="E64" s="225"/>
      <c r="F64" s="165"/>
      <c r="G64" s="240"/>
      <c r="H64" s="241"/>
    </row>
    <row r="65" spans="1:8" ht="15.75" x14ac:dyDescent="0.25">
      <c r="A65" s="163" t="s">
        <v>64</v>
      </c>
      <c r="B65" s="164">
        <f>DATE(24,7,1)</f>
        <v>8949</v>
      </c>
      <c r="C65" s="225">
        <v>0</v>
      </c>
      <c r="D65" s="225">
        <v>0</v>
      </c>
      <c r="E65" s="225">
        <v>0</v>
      </c>
      <c r="F65" s="165">
        <v>0</v>
      </c>
      <c r="G65" s="240">
        <v>0</v>
      </c>
      <c r="H65" s="241">
        <v>0</v>
      </c>
    </row>
    <row r="66" spans="1:8" ht="15.75" x14ac:dyDescent="0.25">
      <c r="A66" s="163"/>
      <c r="B66" s="164">
        <f>DATE(24,8,1)</f>
        <v>8980</v>
      </c>
      <c r="C66" s="225">
        <v>0</v>
      </c>
      <c r="D66" s="225">
        <v>0</v>
      </c>
      <c r="E66" s="225">
        <v>0</v>
      </c>
      <c r="F66" s="165">
        <v>0</v>
      </c>
      <c r="G66" s="240">
        <v>0</v>
      </c>
      <c r="H66" s="241">
        <v>0</v>
      </c>
    </row>
    <row r="67" spans="1:8" ht="15.75" x14ac:dyDescent="0.25">
      <c r="A67" s="163"/>
      <c r="B67" s="164">
        <f>DATE(24,9,1)</f>
        <v>9011</v>
      </c>
      <c r="C67" s="225">
        <v>0</v>
      </c>
      <c r="D67" s="225">
        <v>0</v>
      </c>
      <c r="E67" s="225">
        <v>0</v>
      </c>
      <c r="F67" s="165">
        <v>0</v>
      </c>
      <c r="G67" s="240">
        <v>0</v>
      </c>
      <c r="H67" s="241">
        <v>0</v>
      </c>
    </row>
    <row r="68" spans="1:8" ht="15.75" x14ac:dyDescent="0.25">
      <c r="A68" s="163"/>
      <c r="B68" s="164">
        <f>DATE(24,10,1)</f>
        <v>9041</v>
      </c>
      <c r="C68" s="225">
        <v>0</v>
      </c>
      <c r="D68" s="225">
        <v>0</v>
      </c>
      <c r="E68" s="225">
        <v>0</v>
      </c>
      <c r="F68" s="165">
        <v>0</v>
      </c>
      <c r="G68" s="240">
        <v>0</v>
      </c>
      <c r="H68" s="241">
        <v>0</v>
      </c>
    </row>
    <row r="69" spans="1:8" ht="15.75" x14ac:dyDescent="0.25">
      <c r="A69" s="163"/>
      <c r="B69" s="164">
        <f>DATE(24,11,1)</f>
        <v>9072</v>
      </c>
      <c r="C69" s="225">
        <v>0</v>
      </c>
      <c r="D69" s="225">
        <v>0</v>
      </c>
      <c r="E69" s="225">
        <v>0</v>
      </c>
      <c r="F69" s="165">
        <v>0</v>
      </c>
      <c r="G69" s="240">
        <v>0</v>
      </c>
      <c r="H69" s="241">
        <v>0</v>
      </c>
    </row>
    <row r="70" spans="1:8" ht="15.75" x14ac:dyDescent="0.25">
      <c r="A70" s="163"/>
      <c r="B70" s="164">
        <f>DATE(24,12,1)</f>
        <v>9102</v>
      </c>
      <c r="C70" s="225">
        <v>0</v>
      </c>
      <c r="D70" s="225">
        <v>0</v>
      </c>
      <c r="E70" s="225">
        <v>0</v>
      </c>
      <c r="F70" s="165">
        <v>0</v>
      </c>
      <c r="G70" s="240">
        <v>0</v>
      </c>
      <c r="H70" s="288">
        <v>0</v>
      </c>
    </row>
    <row r="71" spans="1:8" ht="15.75" x14ac:dyDescent="0.25">
      <c r="A71" s="163"/>
      <c r="B71" s="164">
        <f>DATE(25,1,1)</f>
        <v>9133</v>
      </c>
      <c r="C71" s="225">
        <v>0</v>
      </c>
      <c r="D71" s="225">
        <v>0</v>
      </c>
      <c r="E71" s="225">
        <v>0</v>
      </c>
      <c r="F71" s="165">
        <v>0</v>
      </c>
      <c r="G71" s="240">
        <v>0</v>
      </c>
      <c r="H71" s="288">
        <v>0</v>
      </c>
    </row>
    <row r="72" spans="1:8" ht="15.75" x14ac:dyDescent="0.25">
      <c r="A72" s="163"/>
      <c r="B72" s="164">
        <f>DATE(25,2,1)</f>
        <v>9164</v>
      </c>
      <c r="C72" s="225">
        <v>0</v>
      </c>
      <c r="D72" s="225">
        <v>0</v>
      </c>
      <c r="E72" s="225">
        <v>0</v>
      </c>
      <c r="F72" s="165">
        <v>0</v>
      </c>
      <c r="G72" s="240">
        <v>0</v>
      </c>
      <c r="H72" s="288">
        <v>0</v>
      </c>
    </row>
    <row r="73" spans="1:8" ht="15.75" thickBot="1" x14ac:dyDescent="0.25">
      <c r="A73" s="166"/>
      <c r="B73" s="164"/>
      <c r="C73" s="225"/>
      <c r="D73" s="225"/>
      <c r="E73" s="225"/>
      <c r="F73" s="165"/>
      <c r="G73" s="240"/>
      <c r="H73" s="241"/>
    </row>
    <row r="74" spans="1:8" ht="17.25" thickTop="1" thickBot="1" x14ac:dyDescent="0.3">
      <c r="A74" s="173" t="s">
        <v>14</v>
      </c>
      <c r="B74" s="174"/>
      <c r="C74" s="227">
        <f>SUM(C65:C73)</f>
        <v>0</v>
      </c>
      <c r="D74" s="229">
        <f>SUM(D65:D73)</f>
        <v>0</v>
      </c>
      <c r="E74" s="270">
        <f>SUM(E65:E73)</f>
        <v>0</v>
      </c>
      <c r="F74" s="175">
        <v>0</v>
      </c>
      <c r="G74" s="244">
        <v>0</v>
      </c>
      <c r="H74" s="245">
        <v>0</v>
      </c>
    </row>
    <row r="75" spans="1:8" ht="15.75" thickTop="1" x14ac:dyDescent="0.2">
      <c r="A75" s="166"/>
      <c r="B75" s="167"/>
      <c r="C75" s="225"/>
      <c r="D75" s="225"/>
      <c r="E75" s="225"/>
      <c r="F75" s="165"/>
      <c r="G75" s="240"/>
      <c r="H75" s="241"/>
    </row>
    <row r="76" spans="1:8" ht="15.75" x14ac:dyDescent="0.25">
      <c r="A76" s="163" t="s">
        <v>67</v>
      </c>
      <c r="B76" s="164">
        <f>DATE(24,7,1)</f>
        <v>8949</v>
      </c>
      <c r="C76" s="225">
        <v>0</v>
      </c>
      <c r="D76" s="225">
        <v>0</v>
      </c>
      <c r="E76" s="225">
        <v>0</v>
      </c>
      <c r="F76" s="165">
        <v>0</v>
      </c>
      <c r="G76" s="240">
        <v>0</v>
      </c>
      <c r="H76" s="241">
        <v>0</v>
      </c>
    </row>
    <row r="77" spans="1:8" ht="15.75" x14ac:dyDescent="0.25">
      <c r="A77" s="163"/>
      <c r="B77" s="164">
        <f>DATE(24,8,1)</f>
        <v>8980</v>
      </c>
      <c r="C77" s="225">
        <v>0</v>
      </c>
      <c r="D77" s="225">
        <v>0</v>
      </c>
      <c r="E77" s="225">
        <v>0</v>
      </c>
      <c r="F77" s="165">
        <v>0</v>
      </c>
      <c r="G77" s="240">
        <v>0</v>
      </c>
      <c r="H77" s="241">
        <v>0</v>
      </c>
    </row>
    <row r="78" spans="1:8" ht="15.75" x14ac:dyDescent="0.25">
      <c r="A78" s="163"/>
      <c r="B78" s="164">
        <f>DATE(24,9,1)</f>
        <v>9011</v>
      </c>
      <c r="C78" s="225">
        <v>0</v>
      </c>
      <c r="D78" s="225">
        <v>0</v>
      </c>
      <c r="E78" s="225">
        <v>0</v>
      </c>
      <c r="F78" s="165">
        <v>0</v>
      </c>
      <c r="G78" s="240">
        <v>0</v>
      </c>
      <c r="H78" s="241">
        <v>0</v>
      </c>
    </row>
    <row r="79" spans="1:8" ht="15.75" x14ac:dyDescent="0.25">
      <c r="A79" s="163"/>
      <c r="B79" s="164">
        <f>DATE(24,10,1)</f>
        <v>9041</v>
      </c>
      <c r="C79" s="225">
        <v>0</v>
      </c>
      <c r="D79" s="225">
        <v>0</v>
      </c>
      <c r="E79" s="225">
        <v>0</v>
      </c>
      <c r="F79" s="165">
        <v>0</v>
      </c>
      <c r="G79" s="240">
        <v>0</v>
      </c>
      <c r="H79" s="241">
        <v>0</v>
      </c>
    </row>
    <row r="80" spans="1:8" ht="15.75" x14ac:dyDescent="0.25">
      <c r="A80" s="163"/>
      <c r="B80" s="164">
        <f>DATE(24,11,1)</f>
        <v>9072</v>
      </c>
      <c r="C80" s="225">
        <v>0</v>
      </c>
      <c r="D80" s="225">
        <v>0</v>
      </c>
      <c r="E80" s="225">
        <v>0</v>
      </c>
      <c r="F80" s="165">
        <v>0</v>
      </c>
      <c r="G80" s="240">
        <v>0</v>
      </c>
      <c r="H80" s="241">
        <v>0</v>
      </c>
    </row>
    <row r="81" spans="1:8" ht="15.75" x14ac:dyDescent="0.25">
      <c r="A81" s="163"/>
      <c r="B81" s="164">
        <f>DATE(24,12,1)</f>
        <v>9102</v>
      </c>
      <c r="C81" s="225">
        <v>0</v>
      </c>
      <c r="D81" s="225">
        <v>0</v>
      </c>
      <c r="E81" s="225">
        <v>0</v>
      </c>
      <c r="F81" s="165">
        <v>0</v>
      </c>
      <c r="G81" s="240">
        <v>0</v>
      </c>
      <c r="H81" s="288">
        <v>0</v>
      </c>
    </row>
    <row r="82" spans="1:8" ht="15.75" x14ac:dyDescent="0.25">
      <c r="A82" s="163"/>
      <c r="B82" s="164">
        <f>DATE(25,1,1)</f>
        <v>9133</v>
      </c>
      <c r="C82" s="225">
        <v>0</v>
      </c>
      <c r="D82" s="225">
        <v>0</v>
      </c>
      <c r="E82" s="225">
        <v>0</v>
      </c>
      <c r="F82" s="165">
        <v>0</v>
      </c>
      <c r="G82" s="240">
        <v>0</v>
      </c>
      <c r="H82" s="288">
        <v>0</v>
      </c>
    </row>
    <row r="83" spans="1:8" ht="15.75" x14ac:dyDescent="0.25">
      <c r="A83" s="163"/>
      <c r="B83" s="164">
        <f>DATE(25,2,1)</f>
        <v>9164</v>
      </c>
      <c r="C83" s="225">
        <v>0</v>
      </c>
      <c r="D83" s="225">
        <v>0</v>
      </c>
      <c r="E83" s="225">
        <v>0</v>
      </c>
      <c r="F83" s="165">
        <v>0</v>
      </c>
      <c r="G83" s="240">
        <v>0</v>
      </c>
      <c r="H83" s="288">
        <v>0</v>
      </c>
    </row>
    <row r="84" spans="1:8" ht="15.75" thickBot="1" x14ac:dyDescent="0.25">
      <c r="A84" s="166"/>
      <c r="B84" s="164"/>
      <c r="C84" s="225"/>
      <c r="D84" s="225"/>
      <c r="E84" s="225"/>
      <c r="F84" s="165"/>
      <c r="G84" s="240"/>
      <c r="H84" s="241"/>
    </row>
    <row r="85" spans="1:8" ht="17.25" thickTop="1" thickBot="1" x14ac:dyDescent="0.3">
      <c r="A85" s="173" t="s">
        <v>14</v>
      </c>
      <c r="B85" s="174"/>
      <c r="C85" s="227">
        <f>SUM(C76:C84)</f>
        <v>0</v>
      </c>
      <c r="D85" s="229">
        <f>SUM(D76:D84)</f>
        <v>0</v>
      </c>
      <c r="E85" s="270">
        <f>SUM(E76:E84)</f>
        <v>0</v>
      </c>
      <c r="F85" s="175">
        <v>0</v>
      </c>
      <c r="G85" s="244">
        <v>0</v>
      </c>
      <c r="H85" s="245">
        <v>0</v>
      </c>
    </row>
    <row r="86" spans="1:8" ht="15.75" thickTop="1" x14ac:dyDescent="0.2">
      <c r="A86" s="166"/>
      <c r="B86" s="167"/>
      <c r="C86" s="225"/>
      <c r="D86" s="225"/>
      <c r="E86" s="225"/>
      <c r="F86" s="165"/>
      <c r="G86" s="240"/>
      <c r="H86" s="241"/>
    </row>
    <row r="87" spans="1:8" ht="15.75" x14ac:dyDescent="0.25">
      <c r="A87" s="163" t="s">
        <v>69</v>
      </c>
      <c r="B87" s="164">
        <f>DATE(24,7,1)</f>
        <v>8949</v>
      </c>
      <c r="C87" s="225">
        <v>0</v>
      </c>
      <c r="D87" s="225">
        <v>0</v>
      </c>
      <c r="E87" s="225">
        <v>0</v>
      </c>
      <c r="F87" s="165">
        <v>0</v>
      </c>
      <c r="G87" s="240">
        <v>0</v>
      </c>
      <c r="H87" s="241">
        <v>0</v>
      </c>
    </row>
    <row r="88" spans="1:8" ht="15.75" x14ac:dyDescent="0.25">
      <c r="A88" s="163"/>
      <c r="B88" s="164">
        <f>DATE(24,8,1)</f>
        <v>8980</v>
      </c>
      <c r="C88" s="225">
        <v>0</v>
      </c>
      <c r="D88" s="225">
        <v>0</v>
      </c>
      <c r="E88" s="225">
        <v>0</v>
      </c>
      <c r="F88" s="165">
        <v>0</v>
      </c>
      <c r="G88" s="240">
        <v>0</v>
      </c>
      <c r="H88" s="241">
        <v>0</v>
      </c>
    </row>
    <row r="89" spans="1:8" ht="15.75" x14ac:dyDescent="0.25">
      <c r="A89" s="163"/>
      <c r="B89" s="164">
        <f>DATE(24,9,1)</f>
        <v>9011</v>
      </c>
      <c r="C89" s="225">
        <v>0</v>
      </c>
      <c r="D89" s="225">
        <v>0</v>
      </c>
      <c r="E89" s="225">
        <v>0</v>
      </c>
      <c r="F89" s="165">
        <v>0</v>
      </c>
      <c r="G89" s="240">
        <v>0</v>
      </c>
      <c r="H89" s="241">
        <v>0</v>
      </c>
    </row>
    <row r="90" spans="1:8" ht="15.75" x14ac:dyDescent="0.25">
      <c r="A90" s="163"/>
      <c r="B90" s="164">
        <f>DATE(24,10,1)</f>
        <v>9041</v>
      </c>
      <c r="C90" s="225">
        <v>0</v>
      </c>
      <c r="D90" s="225">
        <v>0</v>
      </c>
      <c r="E90" s="225">
        <v>0</v>
      </c>
      <c r="F90" s="165">
        <v>0</v>
      </c>
      <c r="G90" s="240">
        <v>0</v>
      </c>
      <c r="H90" s="241">
        <v>0</v>
      </c>
    </row>
    <row r="91" spans="1:8" ht="15.75" x14ac:dyDescent="0.25">
      <c r="A91" s="163"/>
      <c r="B91" s="164">
        <f>DATE(24,11,1)</f>
        <v>9072</v>
      </c>
      <c r="C91" s="225">
        <v>0</v>
      </c>
      <c r="D91" s="225">
        <v>0</v>
      </c>
      <c r="E91" s="225">
        <v>0</v>
      </c>
      <c r="F91" s="165">
        <v>0</v>
      </c>
      <c r="G91" s="240">
        <v>0</v>
      </c>
      <c r="H91" s="241">
        <v>0</v>
      </c>
    </row>
    <row r="92" spans="1:8" ht="15.75" x14ac:dyDescent="0.25">
      <c r="A92" s="163"/>
      <c r="B92" s="164">
        <f>DATE(24,12,1)</f>
        <v>9102</v>
      </c>
      <c r="C92" s="225">
        <v>0</v>
      </c>
      <c r="D92" s="225">
        <v>0</v>
      </c>
      <c r="E92" s="225">
        <v>0</v>
      </c>
      <c r="F92" s="165">
        <v>0</v>
      </c>
      <c r="G92" s="240">
        <v>0</v>
      </c>
      <c r="H92" s="288">
        <v>0</v>
      </c>
    </row>
    <row r="93" spans="1:8" ht="15.75" x14ac:dyDescent="0.25">
      <c r="A93" s="163"/>
      <c r="B93" s="164">
        <f>DATE(25,1,1)</f>
        <v>9133</v>
      </c>
      <c r="C93" s="225">
        <v>0</v>
      </c>
      <c r="D93" s="225">
        <v>0</v>
      </c>
      <c r="E93" s="225">
        <v>0</v>
      </c>
      <c r="F93" s="165">
        <v>0</v>
      </c>
      <c r="G93" s="240">
        <v>0</v>
      </c>
      <c r="H93" s="288">
        <v>0</v>
      </c>
    </row>
    <row r="94" spans="1:8" ht="15.75" x14ac:dyDescent="0.25">
      <c r="A94" s="163"/>
      <c r="B94" s="164">
        <f>DATE(25,2,1)</f>
        <v>9164</v>
      </c>
      <c r="C94" s="225">
        <v>0</v>
      </c>
      <c r="D94" s="225">
        <v>0</v>
      </c>
      <c r="E94" s="225">
        <v>0</v>
      </c>
      <c r="F94" s="165">
        <v>0</v>
      </c>
      <c r="G94" s="240">
        <v>0</v>
      </c>
      <c r="H94" s="288">
        <v>0</v>
      </c>
    </row>
    <row r="95" spans="1:8" ht="15.75" thickBot="1" x14ac:dyDescent="0.25">
      <c r="A95" s="166"/>
      <c r="B95" s="164"/>
      <c r="C95" s="225"/>
      <c r="D95" s="225"/>
      <c r="E95" s="225"/>
      <c r="F95" s="165"/>
      <c r="G95" s="240"/>
      <c r="H95" s="241"/>
    </row>
    <row r="96" spans="1:8" ht="17.25" thickTop="1" thickBot="1" x14ac:dyDescent="0.3">
      <c r="A96" s="173" t="s">
        <v>14</v>
      </c>
      <c r="B96" s="174"/>
      <c r="C96" s="227">
        <f>SUM(C87:C95)</f>
        <v>0</v>
      </c>
      <c r="D96" s="229">
        <f>SUM(D87:D95)</f>
        <v>0</v>
      </c>
      <c r="E96" s="270">
        <f>SUM(E87:E95)</f>
        <v>0</v>
      </c>
      <c r="F96" s="175">
        <v>0</v>
      </c>
      <c r="G96" s="248">
        <v>0</v>
      </c>
      <c r="H96" s="269">
        <v>0</v>
      </c>
    </row>
    <row r="97" spans="1:8" ht="15.75" thickTop="1" x14ac:dyDescent="0.2">
      <c r="A97" s="166"/>
      <c r="B97" s="178"/>
      <c r="C97" s="228"/>
      <c r="D97" s="228"/>
      <c r="E97" s="228"/>
      <c r="F97" s="179"/>
      <c r="G97" s="246"/>
      <c r="H97" s="247"/>
    </row>
    <row r="98" spans="1:8" ht="15.75" x14ac:dyDescent="0.25">
      <c r="A98" s="163" t="s">
        <v>16</v>
      </c>
      <c r="B98" s="164">
        <f>DATE(24,7,1)</f>
        <v>8949</v>
      </c>
      <c r="C98" s="225">
        <v>0</v>
      </c>
      <c r="D98" s="225">
        <v>0</v>
      </c>
      <c r="E98" s="225">
        <v>0</v>
      </c>
      <c r="F98" s="165">
        <v>0</v>
      </c>
      <c r="G98" s="240">
        <v>0</v>
      </c>
      <c r="H98" s="241">
        <v>0</v>
      </c>
    </row>
    <row r="99" spans="1:8" ht="15.75" x14ac:dyDescent="0.25">
      <c r="A99" s="163"/>
      <c r="B99" s="164">
        <f>DATE(24,8,1)</f>
        <v>8980</v>
      </c>
      <c r="C99" s="225">
        <v>0</v>
      </c>
      <c r="D99" s="225">
        <v>0</v>
      </c>
      <c r="E99" s="225">
        <v>0</v>
      </c>
      <c r="F99" s="165">
        <v>0</v>
      </c>
      <c r="G99" s="240">
        <v>0</v>
      </c>
      <c r="H99" s="241">
        <v>0</v>
      </c>
    </row>
    <row r="100" spans="1:8" ht="15.75" x14ac:dyDescent="0.25">
      <c r="A100" s="163"/>
      <c r="B100" s="164">
        <f>DATE(24,9,1)</f>
        <v>9011</v>
      </c>
      <c r="C100" s="225">
        <v>0</v>
      </c>
      <c r="D100" s="225">
        <v>0</v>
      </c>
      <c r="E100" s="225">
        <v>0</v>
      </c>
      <c r="F100" s="165">
        <v>0</v>
      </c>
      <c r="G100" s="240">
        <v>0</v>
      </c>
      <c r="H100" s="241">
        <v>0</v>
      </c>
    </row>
    <row r="101" spans="1:8" ht="15.75" x14ac:dyDescent="0.25">
      <c r="A101" s="163"/>
      <c r="B101" s="164">
        <f>DATE(24,10,1)</f>
        <v>9041</v>
      </c>
      <c r="C101" s="225">
        <v>0</v>
      </c>
      <c r="D101" s="225">
        <v>0</v>
      </c>
      <c r="E101" s="225">
        <v>0</v>
      </c>
      <c r="F101" s="165">
        <v>0</v>
      </c>
      <c r="G101" s="240">
        <v>0</v>
      </c>
      <c r="H101" s="241">
        <v>0</v>
      </c>
    </row>
    <row r="102" spans="1:8" ht="15.75" x14ac:dyDescent="0.25">
      <c r="A102" s="163"/>
      <c r="B102" s="164">
        <f>DATE(24,11,1)</f>
        <v>9072</v>
      </c>
      <c r="C102" s="225">
        <v>0</v>
      </c>
      <c r="D102" s="225">
        <v>0</v>
      </c>
      <c r="E102" s="225">
        <v>0</v>
      </c>
      <c r="F102" s="165">
        <v>0</v>
      </c>
      <c r="G102" s="240">
        <v>0</v>
      </c>
      <c r="H102" s="241">
        <v>0</v>
      </c>
    </row>
    <row r="103" spans="1:8" ht="15.75" x14ac:dyDescent="0.25">
      <c r="A103" s="163"/>
      <c r="B103" s="164">
        <f>DATE(24,12,1)</f>
        <v>9102</v>
      </c>
      <c r="C103" s="225">
        <v>0</v>
      </c>
      <c r="D103" s="225">
        <v>0</v>
      </c>
      <c r="E103" s="225">
        <v>0</v>
      </c>
      <c r="F103" s="165">
        <v>0</v>
      </c>
      <c r="G103" s="240">
        <v>0</v>
      </c>
      <c r="H103" s="288">
        <v>0</v>
      </c>
    </row>
    <row r="104" spans="1:8" ht="15.75" x14ac:dyDescent="0.25">
      <c r="A104" s="163"/>
      <c r="B104" s="164">
        <f>DATE(25,1,1)</f>
        <v>9133</v>
      </c>
      <c r="C104" s="225">
        <v>0</v>
      </c>
      <c r="D104" s="225">
        <v>0</v>
      </c>
      <c r="E104" s="225">
        <v>0</v>
      </c>
      <c r="F104" s="165">
        <v>0</v>
      </c>
      <c r="G104" s="240">
        <v>0</v>
      </c>
      <c r="H104" s="288">
        <v>0</v>
      </c>
    </row>
    <row r="105" spans="1:8" ht="15.75" x14ac:dyDescent="0.25">
      <c r="A105" s="163"/>
      <c r="B105" s="164">
        <f>DATE(25,2,1)</f>
        <v>9164</v>
      </c>
      <c r="C105" s="225">
        <v>0</v>
      </c>
      <c r="D105" s="225">
        <v>0</v>
      </c>
      <c r="E105" s="225">
        <v>0</v>
      </c>
      <c r="F105" s="165">
        <v>0</v>
      </c>
      <c r="G105" s="240">
        <v>0</v>
      </c>
      <c r="H105" s="288">
        <v>0</v>
      </c>
    </row>
    <row r="106" spans="1:8" ht="16.5" thickBot="1" x14ac:dyDescent="0.3">
      <c r="A106" s="163"/>
      <c r="B106" s="164"/>
      <c r="C106" s="225"/>
      <c r="D106" s="225"/>
      <c r="E106" s="225"/>
      <c r="F106" s="165"/>
      <c r="G106" s="240"/>
      <c r="H106" s="241"/>
    </row>
    <row r="107" spans="1:8" ht="17.25" thickTop="1" thickBot="1" x14ac:dyDescent="0.3">
      <c r="A107" s="173" t="s">
        <v>14</v>
      </c>
      <c r="B107" s="180"/>
      <c r="C107" s="227">
        <f>SUM(C98:C106)</f>
        <v>0</v>
      </c>
      <c r="D107" s="227">
        <f>SUM(D98:D106)</f>
        <v>0</v>
      </c>
      <c r="E107" s="227">
        <f>SUM(E98:E106)</f>
        <v>0</v>
      </c>
      <c r="F107" s="175">
        <v>0</v>
      </c>
      <c r="G107" s="244">
        <v>0</v>
      </c>
      <c r="H107" s="245">
        <v>0</v>
      </c>
    </row>
    <row r="108" spans="1:8" ht="15.75" thickTop="1" x14ac:dyDescent="0.2">
      <c r="A108" s="170"/>
      <c r="B108" s="171"/>
      <c r="C108" s="226"/>
      <c r="D108" s="226"/>
      <c r="E108" s="226"/>
      <c r="F108" s="172"/>
      <c r="G108" s="242"/>
      <c r="H108" s="243"/>
    </row>
    <row r="109" spans="1:8" ht="15.75" x14ac:dyDescent="0.25">
      <c r="A109" s="163" t="s">
        <v>53</v>
      </c>
      <c r="B109" s="164">
        <f>DATE(24,7,1)</f>
        <v>8949</v>
      </c>
      <c r="C109" s="225">
        <v>1481325</v>
      </c>
      <c r="D109" s="225">
        <v>68164.28</v>
      </c>
      <c r="E109" s="225">
        <v>0</v>
      </c>
      <c r="F109" s="165">
        <v>1</v>
      </c>
      <c r="G109" s="240">
        <f t="shared" ref="G109:G115" si="0">+D109/C109</f>
        <v>4.6015749413531801E-2</v>
      </c>
      <c r="H109" s="288">
        <f t="shared" ref="H109:H115" si="1">1-G109</f>
        <v>0.95398425058646819</v>
      </c>
    </row>
    <row r="110" spans="1:8" ht="15.75" x14ac:dyDescent="0.25">
      <c r="A110" s="163"/>
      <c r="B110" s="164">
        <f>DATE(24,8,1)</f>
        <v>8980</v>
      </c>
      <c r="C110" s="225">
        <v>1838291</v>
      </c>
      <c r="D110" s="225">
        <v>71751.61</v>
      </c>
      <c r="E110" s="225">
        <v>0</v>
      </c>
      <c r="F110" s="165">
        <v>1</v>
      </c>
      <c r="G110" s="240">
        <f t="shared" si="0"/>
        <v>3.9031693023574614E-2</v>
      </c>
      <c r="H110" s="288">
        <f t="shared" si="1"/>
        <v>0.96096830697642543</v>
      </c>
    </row>
    <row r="111" spans="1:8" ht="15.75" x14ac:dyDescent="0.25">
      <c r="A111" s="163"/>
      <c r="B111" s="164">
        <f>DATE(24,9,1)</f>
        <v>9011</v>
      </c>
      <c r="C111" s="225">
        <v>1248806</v>
      </c>
      <c r="D111" s="225">
        <v>43866.52</v>
      </c>
      <c r="E111" s="225">
        <v>0</v>
      </c>
      <c r="F111" s="165">
        <v>1</v>
      </c>
      <c r="G111" s="240">
        <f t="shared" si="0"/>
        <v>3.5126769089834607E-2</v>
      </c>
      <c r="H111" s="288">
        <f t="shared" si="1"/>
        <v>0.96487323091016541</v>
      </c>
    </row>
    <row r="112" spans="1:8" ht="15.75" x14ac:dyDescent="0.25">
      <c r="A112" s="163"/>
      <c r="B112" s="164">
        <f>DATE(24,10,1)</f>
        <v>9041</v>
      </c>
      <c r="C112" s="225">
        <v>1657478</v>
      </c>
      <c r="D112" s="225">
        <v>65540.570000000007</v>
      </c>
      <c r="E112" s="225">
        <v>0</v>
      </c>
      <c r="F112" s="165">
        <v>1</v>
      </c>
      <c r="G112" s="240">
        <f t="shared" si="0"/>
        <v>3.9542346866745744E-2</v>
      </c>
      <c r="H112" s="288">
        <f t="shared" si="1"/>
        <v>0.96045765313325426</v>
      </c>
    </row>
    <row r="113" spans="1:8" ht="15.75" x14ac:dyDescent="0.25">
      <c r="A113" s="163"/>
      <c r="B113" s="164">
        <f>DATE(24,11,1)</f>
        <v>9072</v>
      </c>
      <c r="C113" s="225">
        <v>2414551</v>
      </c>
      <c r="D113" s="225">
        <v>95014</v>
      </c>
      <c r="E113" s="225">
        <v>0</v>
      </c>
      <c r="F113" s="165">
        <v>1</v>
      </c>
      <c r="G113" s="240">
        <f t="shared" si="0"/>
        <v>3.9350587334870957E-2</v>
      </c>
      <c r="H113" s="288">
        <f t="shared" si="1"/>
        <v>0.96064941266512904</v>
      </c>
    </row>
    <row r="114" spans="1:8" ht="15.75" x14ac:dyDescent="0.25">
      <c r="A114" s="163"/>
      <c r="B114" s="164">
        <f>DATE(24,12,1)</f>
        <v>9102</v>
      </c>
      <c r="C114" s="225">
        <v>2063660</v>
      </c>
      <c r="D114" s="225">
        <v>68607.25</v>
      </c>
      <c r="E114" s="225">
        <v>0</v>
      </c>
      <c r="F114" s="165">
        <v>1</v>
      </c>
      <c r="G114" s="240">
        <f t="shared" si="0"/>
        <v>3.3245423180175031E-2</v>
      </c>
      <c r="H114" s="288">
        <f t="shared" si="1"/>
        <v>0.96675457681982502</v>
      </c>
    </row>
    <row r="115" spans="1:8" ht="15.75" x14ac:dyDescent="0.25">
      <c r="A115" s="163"/>
      <c r="B115" s="164">
        <f>DATE(25,1,1)</f>
        <v>9133</v>
      </c>
      <c r="C115" s="225">
        <v>343753</v>
      </c>
      <c r="D115" s="225">
        <v>4066.07</v>
      </c>
      <c r="E115" s="225">
        <v>0</v>
      </c>
      <c r="F115" s="165">
        <v>1</v>
      </c>
      <c r="G115" s="240">
        <f t="shared" si="0"/>
        <v>1.1828464042495629E-2</v>
      </c>
      <c r="H115" s="288">
        <f t="shared" si="1"/>
        <v>0.9881715359575044</v>
      </c>
    </row>
    <row r="116" spans="1:8" ht="15.75" x14ac:dyDescent="0.25">
      <c r="A116" s="163"/>
      <c r="B116" s="164">
        <f>DATE(25,2,1)</f>
        <v>9164</v>
      </c>
      <c r="C116" s="225">
        <v>0</v>
      </c>
      <c r="D116" s="225">
        <v>0</v>
      </c>
      <c r="E116" s="225">
        <v>73367.44</v>
      </c>
      <c r="F116" s="165">
        <v>-1</v>
      </c>
      <c r="G116" s="240">
        <v>0</v>
      </c>
      <c r="H116" s="288">
        <v>0</v>
      </c>
    </row>
    <row r="117" spans="1:8" ht="15.75" thickBot="1" x14ac:dyDescent="0.25">
      <c r="A117" s="166"/>
      <c r="B117" s="167"/>
      <c r="C117" s="225"/>
      <c r="D117" s="225"/>
      <c r="E117" s="225"/>
      <c r="F117" s="165"/>
      <c r="G117" s="240"/>
      <c r="H117" s="241"/>
    </row>
    <row r="118" spans="1:8" ht="17.25" thickTop="1" thickBot="1" x14ac:dyDescent="0.3">
      <c r="A118" s="173" t="s">
        <v>14</v>
      </c>
      <c r="B118" s="174"/>
      <c r="C118" s="227">
        <f>SUM(C109:C117)</f>
        <v>11047864</v>
      </c>
      <c r="D118" s="227">
        <f>SUM(D109:D117)</f>
        <v>417010.3</v>
      </c>
      <c r="E118" s="227">
        <f>SUM(E109:E117)</f>
        <v>73367.44</v>
      </c>
      <c r="F118" s="175">
        <v>1</v>
      </c>
      <c r="G118" s="290">
        <f>+D118/C118</f>
        <v>3.7745785067593157E-2</v>
      </c>
      <c r="H118" s="291">
        <f>1-G118</f>
        <v>0.96225421493240682</v>
      </c>
    </row>
    <row r="119" spans="1:8" ht="15.75" thickTop="1" x14ac:dyDescent="0.2">
      <c r="A119" s="166"/>
      <c r="B119" s="167"/>
      <c r="C119" s="225"/>
      <c r="D119" s="225"/>
      <c r="E119" s="225"/>
      <c r="F119" s="165"/>
      <c r="G119" s="240"/>
      <c r="H119" s="241"/>
    </row>
    <row r="120" spans="1:8" ht="15.75" x14ac:dyDescent="0.25">
      <c r="A120" s="163" t="s">
        <v>54</v>
      </c>
      <c r="B120" s="164">
        <f>DATE(24,7,1)</f>
        <v>8949</v>
      </c>
      <c r="C120" s="225">
        <v>0</v>
      </c>
      <c r="D120" s="225">
        <v>0</v>
      </c>
      <c r="E120" s="225">
        <v>0</v>
      </c>
      <c r="F120" s="165">
        <v>0</v>
      </c>
      <c r="G120" s="240">
        <v>0</v>
      </c>
      <c r="H120" s="241">
        <v>0</v>
      </c>
    </row>
    <row r="121" spans="1:8" ht="15.75" x14ac:dyDescent="0.25">
      <c r="A121" s="163"/>
      <c r="B121" s="164">
        <f>DATE(24,8,1)</f>
        <v>8980</v>
      </c>
      <c r="C121" s="225">
        <v>0</v>
      </c>
      <c r="D121" s="225">
        <v>0</v>
      </c>
      <c r="E121" s="225">
        <v>0</v>
      </c>
      <c r="F121" s="165">
        <v>0</v>
      </c>
      <c r="G121" s="240">
        <v>0</v>
      </c>
      <c r="H121" s="241">
        <v>0</v>
      </c>
    </row>
    <row r="122" spans="1:8" ht="15.75" x14ac:dyDescent="0.25">
      <c r="A122" s="163"/>
      <c r="B122" s="164">
        <f>DATE(24,9,1)</f>
        <v>9011</v>
      </c>
      <c r="C122" s="225">
        <v>0</v>
      </c>
      <c r="D122" s="225">
        <v>0</v>
      </c>
      <c r="E122" s="225">
        <v>0</v>
      </c>
      <c r="F122" s="165">
        <v>0</v>
      </c>
      <c r="G122" s="240">
        <v>0</v>
      </c>
      <c r="H122" s="241">
        <v>0</v>
      </c>
    </row>
    <row r="123" spans="1:8" ht="15.75" x14ac:dyDescent="0.25">
      <c r="A123" s="163"/>
      <c r="B123" s="164">
        <f>DATE(24,10,1)</f>
        <v>9041</v>
      </c>
      <c r="C123" s="225">
        <v>0</v>
      </c>
      <c r="D123" s="225">
        <v>0</v>
      </c>
      <c r="E123" s="225">
        <v>0</v>
      </c>
      <c r="F123" s="165">
        <v>0</v>
      </c>
      <c r="G123" s="240">
        <v>0</v>
      </c>
      <c r="H123" s="241">
        <v>0</v>
      </c>
    </row>
    <row r="124" spans="1:8" ht="15.75" x14ac:dyDescent="0.25">
      <c r="A124" s="163"/>
      <c r="B124" s="164">
        <f>DATE(24,11,1)</f>
        <v>9072</v>
      </c>
      <c r="C124" s="225">
        <v>0</v>
      </c>
      <c r="D124" s="225">
        <v>0</v>
      </c>
      <c r="E124" s="225">
        <v>0</v>
      </c>
      <c r="F124" s="165">
        <v>0</v>
      </c>
      <c r="G124" s="240">
        <v>0</v>
      </c>
      <c r="H124" s="241">
        <v>0</v>
      </c>
    </row>
    <row r="125" spans="1:8" ht="15.75" x14ac:dyDescent="0.25">
      <c r="A125" s="163"/>
      <c r="B125" s="164">
        <f>DATE(24,12,1)</f>
        <v>9102</v>
      </c>
      <c r="C125" s="225">
        <v>0</v>
      </c>
      <c r="D125" s="225">
        <v>0</v>
      </c>
      <c r="E125" s="225">
        <v>0</v>
      </c>
      <c r="F125" s="165">
        <v>0</v>
      </c>
      <c r="G125" s="240">
        <v>0</v>
      </c>
      <c r="H125" s="241">
        <v>0</v>
      </c>
    </row>
    <row r="126" spans="1:8" ht="15.75" x14ac:dyDescent="0.25">
      <c r="A126" s="163"/>
      <c r="B126" s="164">
        <f>DATE(25,1,1)</f>
        <v>9133</v>
      </c>
      <c r="C126" s="225">
        <v>0</v>
      </c>
      <c r="D126" s="225">
        <v>0</v>
      </c>
      <c r="E126" s="225">
        <v>0</v>
      </c>
      <c r="F126" s="165">
        <v>0</v>
      </c>
      <c r="G126" s="240">
        <v>0</v>
      </c>
      <c r="H126" s="288">
        <v>0</v>
      </c>
    </row>
    <row r="127" spans="1:8" ht="15.75" x14ac:dyDescent="0.25">
      <c r="A127" s="163"/>
      <c r="B127" s="164">
        <f>DATE(25,2,1)</f>
        <v>9164</v>
      </c>
      <c r="C127" s="225">
        <v>0</v>
      </c>
      <c r="D127" s="225">
        <v>0</v>
      </c>
      <c r="E127" s="225">
        <v>0</v>
      </c>
      <c r="F127" s="165">
        <v>0</v>
      </c>
      <c r="G127" s="240">
        <v>0</v>
      </c>
      <c r="H127" s="288">
        <v>0</v>
      </c>
    </row>
    <row r="128" spans="1:8" ht="15.75" thickBot="1" x14ac:dyDescent="0.25">
      <c r="A128" s="166"/>
      <c r="B128" s="167"/>
      <c r="C128" s="225"/>
      <c r="D128" s="225"/>
      <c r="E128" s="225"/>
      <c r="F128" s="165"/>
      <c r="G128" s="240"/>
      <c r="H128" s="241"/>
    </row>
    <row r="129" spans="1:8" ht="17.25" thickTop="1" thickBot="1" x14ac:dyDescent="0.3">
      <c r="A129" s="181" t="s">
        <v>14</v>
      </c>
      <c r="B129" s="182"/>
      <c r="C129" s="229">
        <f>SUM(C120:C128)</f>
        <v>0</v>
      </c>
      <c r="D129" s="229">
        <f>SUM(D120:D128)</f>
        <v>0</v>
      </c>
      <c r="E129" s="229">
        <f>SUM(E120:E128)</f>
        <v>0</v>
      </c>
      <c r="F129" s="175">
        <v>0</v>
      </c>
      <c r="G129" s="244">
        <v>0</v>
      </c>
      <c r="H129" s="245">
        <v>0</v>
      </c>
    </row>
    <row r="130" spans="1:8" ht="15.75" thickTop="1" x14ac:dyDescent="0.2">
      <c r="A130" s="166"/>
      <c r="B130" s="167"/>
      <c r="C130" s="225"/>
      <c r="D130" s="225"/>
      <c r="E130" s="225"/>
      <c r="F130" s="165"/>
      <c r="G130" s="240"/>
      <c r="H130" s="241"/>
    </row>
    <row r="131" spans="1:8" ht="15.75" x14ac:dyDescent="0.25">
      <c r="A131" s="163" t="s">
        <v>37</v>
      </c>
      <c r="B131" s="164">
        <f>DATE(24,7,1)</f>
        <v>8949</v>
      </c>
      <c r="C131" s="225">
        <v>0</v>
      </c>
      <c r="D131" s="225">
        <v>0</v>
      </c>
      <c r="E131" s="225">
        <v>179389.2</v>
      </c>
      <c r="F131" s="165">
        <f>+(D131-E131)/E131</f>
        <v>-1</v>
      </c>
      <c r="G131" s="240">
        <v>0</v>
      </c>
      <c r="H131" s="288">
        <v>0</v>
      </c>
    </row>
    <row r="132" spans="1:8" ht="15.75" x14ac:dyDescent="0.25">
      <c r="A132" s="163"/>
      <c r="B132" s="164">
        <f>DATE(24,8,1)</f>
        <v>8980</v>
      </c>
      <c r="C132" s="225">
        <v>0</v>
      </c>
      <c r="D132" s="225">
        <v>0</v>
      </c>
      <c r="E132" s="225">
        <v>198288.36</v>
      </c>
      <c r="F132" s="165">
        <f>+(D132-E132)/E132</f>
        <v>-1</v>
      </c>
      <c r="G132" s="240">
        <v>0</v>
      </c>
      <c r="H132" s="288">
        <v>0</v>
      </c>
    </row>
    <row r="133" spans="1:8" ht="15.75" x14ac:dyDescent="0.25">
      <c r="A133" s="163"/>
      <c r="B133" s="164">
        <f>DATE(24,9,1)</f>
        <v>9011</v>
      </c>
      <c r="C133" s="225">
        <v>0</v>
      </c>
      <c r="D133" s="225">
        <v>0</v>
      </c>
      <c r="E133" s="225">
        <v>223122.42</v>
      </c>
      <c r="F133" s="165">
        <f>+(D133-E133)/E133</f>
        <v>-1</v>
      </c>
      <c r="G133" s="240">
        <v>0</v>
      </c>
      <c r="H133" s="288">
        <v>0</v>
      </c>
    </row>
    <row r="134" spans="1:8" ht="15.75" x14ac:dyDescent="0.25">
      <c r="A134" s="163"/>
      <c r="B134" s="164">
        <f>DATE(24,10,1)</f>
        <v>9041</v>
      </c>
      <c r="C134" s="225">
        <v>0</v>
      </c>
      <c r="D134" s="225">
        <v>0</v>
      </c>
      <c r="E134" s="225">
        <v>233641.67</v>
      </c>
      <c r="F134" s="165">
        <f>+(D134-E134)/E134</f>
        <v>-1</v>
      </c>
      <c r="G134" s="240">
        <v>0</v>
      </c>
      <c r="H134" s="288">
        <v>0</v>
      </c>
    </row>
    <row r="135" spans="1:8" ht="15.75" x14ac:dyDescent="0.25">
      <c r="A135" s="163"/>
      <c r="B135" s="164">
        <f>DATE(24,11,1)</f>
        <v>9072</v>
      </c>
      <c r="C135" s="225">
        <v>0</v>
      </c>
      <c r="D135" s="225">
        <v>0</v>
      </c>
      <c r="E135" s="225">
        <v>43064.43</v>
      </c>
      <c r="F135" s="165">
        <f>+(D135-E135)/E135</f>
        <v>-1</v>
      </c>
      <c r="G135" s="240">
        <v>0</v>
      </c>
      <c r="H135" s="288">
        <v>0</v>
      </c>
    </row>
    <row r="136" spans="1:8" ht="15.75" x14ac:dyDescent="0.25">
      <c r="A136" s="163"/>
      <c r="B136" s="164">
        <f>DATE(24,12,1)</f>
        <v>9102</v>
      </c>
      <c r="C136" s="225">
        <v>0</v>
      </c>
      <c r="D136" s="225">
        <v>0</v>
      </c>
      <c r="E136" s="225">
        <v>0</v>
      </c>
      <c r="F136" s="165">
        <v>0</v>
      </c>
      <c r="G136" s="240">
        <v>0</v>
      </c>
      <c r="H136" s="288">
        <v>0</v>
      </c>
    </row>
    <row r="137" spans="1:8" ht="15.75" x14ac:dyDescent="0.25">
      <c r="A137" s="163"/>
      <c r="B137" s="164">
        <f>DATE(25,1,1)</f>
        <v>9133</v>
      </c>
      <c r="C137" s="225">
        <v>0</v>
      </c>
      <c r="D137" s="225">
        <v>0</v>
      </c>
      <c r="E137" s="225">
        <v>0</v>
      </c>
      <c r="F137" s="165">
        <v>0</v>
      </c>
      <c r="G137" s="240">
        <v>0</v>
      </c>
      <c r="H137" s="288">
        <v>0</v>
      </c>
    </row>
    <row r="138" spans="1:8" ht="15.75" x14ac:dyDescent="0.25">
      <c r="A138" s="163"/>
      <c r="B138" s="164">
        <f>DATE(25,2,1)</f>
        <v>9164</v>
      </c>
      <c r="C138" s="225">
        <v>0</v>
      </c>
      <c r="D138" s="225">
        <v>0</v>
      </c>
      <c r="E138" s="225">
        <v>0</v>
      </c>
      <c r="F138" s="165">
        <v>0</v>
      </c>
      <c r="G138" s="240">
        <v>0</v>
      </c>
      <c r="H138" s="288">
        <v>0</v>
      </c>
    </row>
    <row r="139" spans="1:8" ht="15.75" thickBot="1" x14ac:dyDescent="0.25">
      <c r="A139" s="166"/>
      <c r="B139" s="167"/>
      <c r="C139" s="225"/>
      <c r="D139" s="225"/>
      <c r="E139" s="225"/>
      <c r="F139" s="165"/>
      <c r="G139" s="240"/>
      <c r="H139" s="241"/>
    </row>
    <row r="140" spans="1:8" ht="17.25" thickTop="1" thickBot="1" x14ac:dyDescent="0.3">
      <c r="A140" s="173" t="s">
        <v>14</v>
      </c>
      <c r="B140" s="174"/>
      <c r="C140" s="227">
        <f>SUM(C131:C139)</f>
        <v>0</v>
      </c>
      <c r="D140" s="227">
        <f>SUM(D131:D139)</f>
        <v>0</v>
      </c>
      <c r="E140" s="227">
        <f>SUM(E131:E139)</f>
        <v>877506.08000000007</v>
      </c>
      <c r="F140" s="175">
        <f>+(D140-E140)/E140</f>
        <v>-1</v>
      </c>
      <c r="G140" s="244">
        <v>0</v>
      </c>
      <c r="H140" s="245">
        <v>0</v>
      </c>
    </row>
    <row r="141" spans="1:8" ht="15.75" thickTop="1" x14ac:dyDescent="0.2">
      <c r="A141" s="166"/>
      <c r="B141" s="167"/>
      <c r="C141" s="225"/>
      <c r="D141" s="225"/>
      <c r="E141" s="225"/>
      <c r="F141" s="165"/>
      <c r="G141" s="240"/>
      <c r="H141" s="241"/>
    </row>
    <row r="142" spans="1:8" ht="15.75" x14ac:dyDescent="0.25">
      <c r="A142" s="163" t="s">
        <v>57</v>
      </c>
      <c r="B142" s="164">
        <f>DATE(24,7,1)</f>
        <v>8949</v>
      </c>
      <c r="C142" s="225">
        <v>0</v>
      </c>
      <c r="D142" s="225">
        <v>0</v>
      </c>
      <c r="E142" s="225">
        <v>0</v>
      </c>
      <c r="F142" s="165">
        <v>0</v>
      </c>
      <c r="G142" s="240">
        <v>0</v>
      </c>
      <c r="H142" s="241">
        <v>0</v>
      </c>
    </row>
    <row r="143" spans="1:8" ht="15.75" x14ac:dyDescent="0.25">
      <c r="A143" s="163"/>
      <c r="B143" s="164">
        <f>DATE(24,8,1)</f>
        <v>8980</v>
      </c>
      <c r="C143" s="225">
        <v>0</v>
      </c>
      <c r="D143" s="225">
        <v>0</v>
      </c>
      <c r="E143" s="225">
        <v>0</v>
      </c>
      <c r="F143" s="165">
        <v>0</v>
      </c>
      <c r="G143" s="240">
        <v>0</v>
      </c>
      <c r="H143" s="241">
        <v>0</v>
      </c>
    </row>
    <row r="144" spans="1:8" ht="15.75" x14ac:dyDescent="0.25">
      <c r="A144" s="163"/>
      <c r="B144" s="164">
        <f>DATE(24,9,1)</f>
        <v>9011</v>
      </c>
      <c r="C144" s="225">
        <v>0</v>
      </c>
      <c r="D144" s="225">
        <v>0</v>
      </c>
      <c r="E144" s="225">
        <v>0</v>
      </c>
      <c r="F144" s="165">
        <v>0</v>
      </c>
      <c r="G144" s="240">
        <v>0</v>
      </c>
      <c r="H144" s="241">
        <v>0</v>
      </c>
    </row>
    <row r="145" spans="1:8" ht="15.75" x14ac:dyDescent="0.25">
      <c r="A145" s="163"/>
      <c r="B145" s="164">
        <f>DATE(24,10,1)</f>
        <v>9041</v>
      </c>
      <c r="C145" s="225">
        <v>107742</v>
      </c>
      <c r="D145" s="225">
        <v>9398.39</v>
      </c>
      <c r="E145" s="225">
        <v>0</v>
      </c>
      <c r="F145" s="165">
        <v>1</v>
      </c>
      <c r="G145" s="240">
        <f>+D145/C145</f>
        <v>8.7230513634422968E-2</v>
      </c>
      <c r="H145" s="288">
        <f>1-G145</f>
        <v>0.91276948636557709</v>
      </c>
    </row>
    <row r="146" spans="1:8" ht="15.75" x14ac:dyDescent="0.25">
      <c r="A146" s="163"/>
      <c r="B146" s="164">
        <f>DATE(24,11,1)</f>
        <v>9072</v>
      </c>
      <c r="C146" s="225">
        <v>1104749</v>
      </c>
      <c r="D146" s="225">
        <v>46941.19</v>
      </c>
      <c r="E146" s="225">
        <v>0</v>
      </c>
      <c r="F146" s="165">
        <v>1</v>
      </c>
      <c r="G146" s="240">
        <f>+D146/C146</f>
        <v>4.2490366590058018E-2</v>
      </c>
      <c r="H146" s="288">
        <f>1-G146</f>
        <v>0.957509633409942</v>
      </c>
    </row>
    <row r="147" spans="1:8" ht="15.75" x14ac:dyDescent="0.25">
      <c r="A147" s="163"/>
      <c r="B147" s="164">
        <f>DATE(24,12,1)</f>
        <v>9102</v>
      </c>
      <c r="C147" s="225">
        <v>787063</v>
      </c>
      <c r="D147" s="225">
        <v>46730.38</v>
      </c>
      <c r="E147" s="225">
        <v>0</v>
      </c>
      <c r="F147" s="165">
        <v>1</v>
      </c>
      <c r="G147" s="240">
        <f>+D147/C147</f>
        <v>5.9373112444620062E-2</v>
      </c>
      <c r="H147" s="288">
        <f>1-G147</f>
        <v>0.94062688755537993</v>
      </c>
    </row>
    <row r="148" spans="1:8" ht="15.75" x14ac:dyDescent="0.25">
      <c r="A148" s="163"/>
      <c r="B148" s="164">
        <f>DATE(25,1,1)</f>
        <v>9133</v>
      </c>
      <c r="C148" s="225">
        <v>510835</v>
      </c>
      <c r="D148" s="225">
        <v>29065.08</v>
      </c>
      <c r="E148" s="225">
        <v>0</v>
      </c>
      <c r="F148" s="165">
        <v>1</v>
      </c>
      <c r="G148" s="240">
        <f>+D148/C148</f>
        <v>5.6897197725292906E-2</v>
      </c>
      <c r="H148" s="288">
        <f>1-G148</f>
        <v>0.94310280227470711</v>
      </c>
    </row>
    <row r="149" spans="1:8" ht="15.75" x14ac:dyDescent="0.25">
      <c r="A149" s="163"/>
      <c r="B149" s="164">
        <f>DATE(25,2,1)</f>
        <v>9164</v>
      </c>
      <c r="C149" s="225">
        <v>681603</v>
      </c>
      <c r="D149" s="225">
        <v>19120.439999999999</v>
      </c>
      <c r="E149" s="225">
        <v>0</v>
      </c>
      <c r="F149" s="165">
        <v>1</v>
      </c>
      <c r="G149" s="240">
        <f>+D149/C149</f>
        <v>2.8052165263357114E-2</v>
      </c>
      <c r="H149" s="288">
        <f>1-G149</f>
        <v>0.97194783473664292</v>
      </c>
    </row>
    <row r="150" spans="1:8" ht="15.75" thickBot="1" x14ac:dyDescent="0.25">
      <c r="A150" s="166"/>
      <c r="B150" s="167"/>
      <c r="C150" s="225"/>
      <c r="D150" s="225"/>
      <c r="E150" s="225"/>
      <c r="F150" s="165"/>
      <c r="G150" s="240"/>
      <c r="H150" s="241"/>
    </row>
    <row r="151" spans="1:8" ht="17.25" thickTop="1" thickBot="1" x14ac:dyDescent="0.3">
      <c r="A151" s="168" t="s">
        <v>14</v>
      </c>
      <c r="B151" s="154"/>
      <c r="C151" s="222">
        <f>SUM(C142:C150)</f>
        <v>3191992</v>
      </c>
      <c r="D151" s="222">
        <f>SUM(D142:D150)</f>
        <v>151255.47999999998</v>
      </c>
      <c r="E151" s="222">
        <f>SUM(E142:E150)</f>
        <v>0</v>
      </c>
      <c r="F151" s="175">
        <v>1</v>
      </c>
      <c r="G151" s="290">
        <f>+D151/C151</f>
        <v>4.7385920766718707E-2</v>
      </c>
      <c r="H151" s="291">
        <f>1-G151</f>
        <v>0.95261407923328134</v>
      </c>
    </row>
    <row r="152" spans="1:8" ht="16.5" thickTop="1" thickBot="1" x14ac:dyDescent="0.25">
      <c r="A152" s="170"/>
      <c r="B152" s="171"/>
      <c r="C152" s="226"/>
      <c r="D152" s="226"/>
      <c r="E152" s="226"/>
      <c r="F152" s="172"/>
      <c r="G152" s="242"/>
      <c r="H152" s="243"/>
    </row>
    <row r="153" spans="1:8" ht="17.25" thickTop="1" thickBot="1" x14ac:dyDescent="0.3">
      <c r="A153" s="183" t="s">
        <v>38</v>
      </c>
      <c r="B153" s="154"/>
      <c r="C153" s="222">
        <f>C151+C140+C107+C85+C63+C41+C19+C52+C129+C30+C96+C118+C74</f>
        <v>14239856</v>
      </c>
      <c r="D153" s="222">
        <f>D151+D140+D107+D85+D63+D41+D19+D52+D129+D30+D96+D118+D74</f>
        <v>568265.78</v>
      </c>
      <c r="E153" s="222">
        <f>E151+E140+E107+E85+E63+E41+E19+E52+E129+E30+E96+E118+E74</f>
        <v>950873.52</v>
      </c>
      <c r="F153" s="175">
        <f>+(D153-E153)/E153</f>
        <v>-0.40237500777180124</v>
      </c>
      <c r="G153" s="235">
        <f>D153/C153</f>
        <v>3.9906708326263973E-2</v>
      </c>
      <c r="H153" s="236">
        <f>1-G153</f>
        <v>0.96009329167373603</v>
      </c>
    </row>
    <row r="154" spans="1:8" ht="17.25" thickTop="1" thickBot="1" x14ac:dyDescent="0.3">
      <c r="A154" s="183"/>
      <c r="B154" s="154"/>
      <c r="C154" s="222"/>
      <c r="D154" s="222"/>
      <c r="E154" s="222"/>
      <c r="F154" s="169"/>
      <c r="G154" s="235"/>
      <c r="H154" s="236"/>
    </row>
    <row r="155" spans="1:8" ht="17.25" thickTop="1" thickBot="1" x14ac:dyDescent="0.3">
      <c r="A155" s="183" t="s">
        <v>39</v>
      </c>
      <c r="B155" s="154"/>
      <c r="C155" s="222">
        <f>+C17+C28+C39+C50+C61+C72+C83+C94+C105+C116+C127+C138+C149</f>
        <v>681603</v>
      </c>
      <c r="D155" s="222">
        <f>+D17+D28+D39+D50+D61+D72+D83+D94+D105+D116+D127+D138+D149</f>
        <v>19120.439999999999</v>
      </c>
      <c r="E155" s="222">
        <f>+E17+E28+E39+E50+E61+E72+E83+E94+E105+E116+E127+E138+E149</f>
        <v>73367.44</v>
      </c>
      <c r="F155" s="175">
        <f>+(D155-E155)/E155</f>
        <v>-0.73938793557469085</v>
      </c>
      <c r="G155" s="235">
        <f>D155/C155</f>
        <v>2.8052165263357114E-2</v>
      </c>
      <c r="H155" s="245">
        <f>1-G155</f>
        <v>0.97194783473664292</v>
      </c>
    </row>
    <row r="156" spans="1:8" ht="16.5" thickTop="1" x14ac:dyDescent="0.25">
      <c r="A156" s="184"/>
      <c r="B156" s="185"/>
      <c r="C156" s="230"/>
      <c r="D156" s="230"/>
      <c r="E156" s="230"/>
      <c r="F156" s="186"/>
      <c r="G156" s="249"/>
      <c r="H156" s="249"/>
    </row>
    <row r="157" spans="1:8" ht="18.75" x14ac:dyDescent="0.3">
      <c r="A157" s="187" t="s">
        <v>49</v>
      </c>
      <c r="B157" s="188"/>
      <c r="C157" s="231"/>
      <c r="D157" s="231"/>
      <c r="E157" s="231"/>
      <c r="F157" s="189"/>
      <c r="G157" s="250"/>
      <c r="H157" s="250"/>
    </row>
    <row r="158" spans="1:8" ht="15.75" x14ac:dyDescent="0.25">
      <c r="A158" s="190"/>
      <c r="B158" s="188"/>
      <c r="C158" s="231"/>
      <c r="D158" s="231"/>
      <c r="E158" s="231"/>
      <c r="F158" s="189"/>
      <c r="G158" s="256"/>
      <c r="H158" s="256"/>
    </row>
  </sheetData>
  <printOptions horizontalCentered="1"/>
  <pageMargins left="0.7" right="0.45" top="0.25" bottom="0.25" header="0.3" footer="0.3"/>
  <pageSetup scale="65" orientation="landscape" r:id="rId1"/>
  <rowBreaks count="3" manualBreakCount="3">
    <brk id="52" max="16383" man="1"/>
    <brk id="96" max="16383" man="1"/>
    <brk id="1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59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1" customWidth="1"/>
    <col min="2" max="2" width="9.6640625" style="151" customWidth="1"/>
    <col min="3" max="3" width="18.33203125" style="232" customWidth="1"/>
    <col min="4" max="4" width="16.44140625" style="232" customWidth="1"/>
    <col min="5" max="5" width="15.5546875" style="232" customWidth="1"/>
    <col min="6" max="6" width="9.6640625" style="151" customWidth="1"/>
    <col min="7" max="7" width="9.6640625" style="251" customWidth="1"/>
    <col min="8" max="8" width="10.88671875" style="251" customWidth="1"/>
    <col min="9" max="9" width="1.6640625" style="151" customWidth="1"/>
    <col min="10" max="16384" width="9.6640625" style="151"/>
  </cols>
  <sheetData>
    <row r="1" spans="1:9" ht="18" x14ac:dyDescent="0.25">
      <c r="A1" s="148" t="s">
        <v>0</v>
      </c>
      <c r="B1" s="149"/>
      <c r="C1" s="221"/>
      <c r="D1" s="221"/>
      <c r="E1" s="221"/>
      <c r="F1" s="149"/>
      <c r="G1" s="233"/>
      <c r="H1" s="233"/>
      <c r="I1" s="150"/>
    </row>
    <row r="2" spans="1:9" ht="18.75" x14ac:dyDescent="0.3">
      <c r="A2" s="152" t="s">
        <v>41</v>
      </c>
      <c r="B2" s="149"/>
      <c r="C2" s="221"/>
      <c r="D2" s="221"/>
      <c r="E2" s="221"/>
      <c r="F2" s="149"/>
      <c r="G2" s="233"/>
      <c r="H2" s="233"/>
      <c r="I2" s="150"/>
    </row>
    <row r="3" spans="1:9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  <c r="I3" s="150"/>
    </row>
    <row r="4" spans="1:9" ht="18" x14ac:dyDescent="0.25">
      <c r="A4" s="284" t="s">
        <v>78</v>
      </c>
      <c r="B4" s="149"/>
      <c r="C4" s="221"/>
      <c r="D4" s="221"/>
      <c r="E4" s="221"/>
      <c r="F4" s="149"/>
      <c r="G4" s="233"/>
      <c r="H4" s="233"/>
      <c r="I4" s="150"/>
    </row>
    <row r="5" spans="1:9" x14ac:dyDescent="0.2">
      <c r="A5" s="285" t="s">
        <v>73</v>
      </c>
      <c r="B5" s="149"/>
      <c r="C5" s="221"/>
      <c r="D5" s="221"/>
      <c r="E5" s="221"/>
      <c r="F5" s="149"/>
      <c r="G5" s="233"/>
      <c r="H5" s="233"/>
      <c r="I5" s="150"/>
    </row>
    <row r="6" spans="1:9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  <c r="I6" s="150"/>
    </row>
    <row r="7" spans="1:9" ht="16.5" thickTop="1" x14ac:dyDescent="0.25">
      <c r="A7" s="153"/>
      <c r="B7" s="154" t="s">
        <v>2</v>
      </c>
      <c r="C7" s="222" t="s">
        <v>44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  <c r="I7" s="156"/>
    </row>
    <row r="8" spans="1:9" ht="16.5" thickBot="1" x14ac:dyDescent="0.3">
      <c r="A8" s="157" t="s">
        <v>5</v>
      </c>
      <c r="B8" s="158" t="s">
        <v>6</v>
      </c>
      <c r="C8" s="223" t="s">
        <v>45</v>
      </c>
      <c r="D8" s="223" t="s">
        <v>46</v>
      </c>
      <c r="E8" s="223" t="s">
        <v>46</v>
      </c>
      <c r="F8" s="159" t="s">
        <v>8</v>
      </c>
      <c r="G8" s="237" t="s">
        <v>35</v>
      </c>
      <c r="H8" s="253" t="s">
        <v>47</v>
      </c>
      <c r="I8" s="156"/>
    </row>
    <row r="9" spans="1:9" ht="15.75" customHeight="1" thickTop="1" x14ac:dyDescent="0.25">
      <c r="A9" s="160"/>
      <c r="B9" s="161"/>
      <c r="C9" s="224"/>
      <c r="D9" s="224"/>
      <c r="E9" s="224"/>
      <c r="F9" s="162"/>
      <c r="G9" s="238"/>
      <c r="H9" s="239"/>
      <c r="I9" s="156"/>
    </row>
    <row r="10" spans="1:9" ht="15.75" x14ac:dyDescent="0.25">
      <c r="A10" s="163" t="s">
        <v>36</v>
      </c>
      <c r="B10" s="164">
        <f>DATE(24,7,1)</f>
        <v>8949</v>
      </c>
      <c r="C10" s="225">
        <v>118534778.95999999</v>
      </c>
      <c r="D10" s="225">
        <v>11227961.560000001</v>
      </c>
      <c r="E10" s="225">
        <v>12225071.779999999</v>
      </c>
      <c r="F10" s="165">
        <f t="shared" ref="F10:F17" si="0">(+D10-E10)/E10</f>
        <v>-8.1562729278306031E-2</v>
      </c>
      <c r="G10" s="240">
        <f t="shared" ref="G10:G17" si="1">D10/C10</f>
        <v>9.4722929915690979E-2</v>
      </c>
      <c r="H10" s="241">
        <f t="shared" ref="H10:H17" si="2">1-G10</f>
        <v>0.90527707008430902</v>
      </c>
      <c r="I10" s="156"/>
    </row>
    <row r="11" spans="1:9" ht="15.75" x14ac:dyDescent="0.25">
      <c r="A11" s="163"/>
      <c r="B11" s="164">
        <f>DATE(24,8,1)</f>
        <v>8980</v>
      </c>
      <c r="C11" s="225">
        <v>125167763.87</v>
      </c>
      <c r="D11" s="225">
        <v>11755000.6</v>
      </c>
      <c r="E11" s="225">
        <v>11145204.02</v>
      </c>
      <c r="F11" s="165">
        <f t="shared" si="0"/>
        <v>5.4713810434131475E-2</v>
      </c>
      <c r="G11" s="240">
        <f t="shared" si="1"/>
        <v>9.3913961842514132E-2</v>
      </c>
      <c r="H11" s="241">
        <f t="shared" si="2"/>
        <v>0.9060860381574859</v>
      </c>
      <c r="I11" s="156"/>
    </row>
    <row r="12" spans="1:9" ht="15.75" x14ac:dyDescent="0.25">
      <c r="A12" s="163"/>
      <c r="B12" s="164">
        <f>DATE(24,9,1)</f>
        <v>9011</v>
      </c>
      <c r="C12" s="225">
        <v>114630255.55</v>
      </c>
      <c r="D12" s="225">
        <v>10612528.25</v>
      </c>
      <c r="E12" s="225">
        <v>10888864.68</v>
      </c>
      <c r="F12" s="165">
        <f t="shared" si="0"/>
        <v>-2.5377891829949685E-2</v>
      </c>
      <c r="G12" s="240">
        <f t="shared" si="1"/>
        <v>9.2580516366126173E-2</v>
      </c>
      <c r="H12" s="241">
        <f t="shared" si="2"/>
        <v>0.90741948363387381</v>
      </c>
      <c r="I12" s="156"/>
    </row>
    <row r="13" spans="1:9" ht="15.75" x14ac:dyDescent="0.25">
      <c r="A13" s="163"/>
      <c r="B13" s="164">
        <f>DATE(24,10,1)</f>
        <v>9041</v>
      </c>
      <c r="C13" s="225">
        <v>112082470.93000001</v>
      </c>
      <c r="D13" s="225">
        <v>10410698.33</v>
      </c>
      <c r="E13" s="225">
        <v>10286786.27</v>
      </c>
      <c r="F13" s="165">
        <f t="shared" si="0"/>
        <v>1.2045750416859836E-2</v>
      </c>
      <c r="G13" s="240">
        <f t="shared" si="1"/>
        <v>9.2884268553482363E-2</v>
      </c>
      <c r="H13" s="241">
        <f t="shared" si="2"/>
        <v>0.90711573144651769</v>
      </c>
      <c r="I13" s="156"/>
    </row>
    <row r="14" spans="1:9" ht="15.75" x14ac:dyDescent="0.25">
      <c r="A14" s="163"/>
      <c r="B14" s="164">
        <f>DATE(24,11,1)</f>
        <v>9072</v>
      </c>
      <c r="C14" s="225">
        <v>123959739.25</v>
      </c>
      <c r="D14" s="225">
        <v>11351688.85</v>
      </c>
      <c r="E14" s="225">
        <v>10696499.550000001</v>
      </c>
      <c r="F14" s="165">
        <f t="shared" si="0"/>
        <v>6.1252683360324064E-2</v>
      </c>
      <c r="G14" s="240">
        <f t="shared" si="1"/>
        <v>9.1575610909491317E-2</v>
      </c>
      <c r="H14" s="241">
        <f t="shared" si="2"/>
        <v>0.90842438909050871</v>
      </c>
      <c r="I14" s="156"/>
    </row>
    <row r="15" spans="1:9" ht="15.75" x14ac:dyDescent="0.25">
      <c r="A15" s="163"/>
      <c r="B15" s="164">
        <f>DATE(24,12,1)</f>
        <v>9102</v>
      </c>
      <c r="C15" s="225">
        <v>129635065.92</v>
      </c>
      <c r="D15" s="225">
        <v>11726074.779999999</v>
      </c>
      <c r="E15" s="225">
        <v>11420329.99</v>
      </c>
      <c r="F15" s="165">
        <f t="shared" si="0"/>
        <v>2.6771975088961428E-2</v>
      </c>
      <c r="G15" s="240">
        <f t="shared" si="1"/>
        <v>9.0454497760940389E-2</v>
      </c>
      <c r="H15" s="241">
        <f t="shared" si="2"/>
        <v>0.90954550223905961</v>
      </c>
      <c r="I15" s="156"/>
    </row>
    <row r="16" spans="1:9" ht="15.75" x14ac:dyDescent="0.25">
      <c r="A16" s="163"/>
      <c r="B16" s="164">
        <f>DATE(25,1,1)</f>
        <v>9133</v>
      </c>
      <c r="C16" s="225">
        <v>112641873.81</v>
      </c>
      <c r="D16" s="225">
        <v>10395293.800000001</v>
      </c>
      <c r="E16" s="225">
        <v>9832743.6199999992</v>
      </c>
      <c r="F16" s="165">
        <f t="shared" si="0"/>
        <v>5.7211923928918794E-2</v>
      </c>
      <c r="G16" s="240">
        <f t="shared" si="1"/>
        <v>9.2286229342512391E-2</v>
      </c>
      <c r="H16" s="241">
        <f t="shared" si="2"/>
        <v>0.9077137706574876</v>
      </c>
      <c r="I16" s="156"/>
    </row>
    <row r="17" spans="1:9" ht="15.75" x14ac:dyDescent="0.25">
      <c r="A17" s="163"/>
      <c r="B17" s="164">
        <f>DATE(25,2,1)</f>
        <v>9164</v>
      </c>
      <c r="C17" s="225">
        <v>112007900.75</v>
      </c>
      <c r="D17" s="225">
        <v>10016127.76</v>
      </c>
      <c r="E17" s="225">
        <v>11759548.859999999</v>
      </c>
      <c r="F17" s="165">
        <f t="shared" si="0"/>
        <v>-0.14825578096199174</v>
      </c>
      <c r="G17" s="240">
        <f t="shared" si="1"/>
        <v>8.9423404000364679E-2</v>
      </c>
      <c r="H17" s="241">
        <f t="shared" si="2"/>
        <v>0.91057659599963536</v>
      </c>
      <c r="I17" s="156"/>
    </row>
    <row r="18" spans="1:9" ht="15.75" thickBot="1" x14ac:dyDescent="0.25">
      <c r="A18" s="166"/>
      <c r="B18" s="167"/>
      <c r="C18" s="225"/>
      <c r="D18" s="225"/>
      <c r="E18" s="225"/>
      <c r="F18" s="165"/>
      <c r="G18" s="240"/>
      <c r="H18" s="241"/>
      <c r="I18" s="156"/>
    </row>
    <row r="19" spans="1:9" ht="17.25" thickTop="1" thickBot="1" x14ac:dyDescent="0.3">
      <c r="A19" s="168" t="s">
        <v>14</v>
      </c>
      <c r="B19" s="154"/>
      <c r="C19" s="222">
        <f>SUM(C10:C18)</f>
        <v>948659849.03999996</v>
      </c>
      <c r="D19" s="222">
        <f>SUM(D10:D18)</f>
        <v>87495373.930000007</v>
      </c>
      <c r="E19" s="222">
        <f>SUM(E10:E18)</f>
        <v>88255048.769999996</v>
      </c>
      <c r="F19" s="169">
        <f>(+D19-E19)/E19</f>
        <v>-8.6077210379177805E-3</v>
      </c>
      <c r="G19" s="235">
        <f>D19/C19</f>
        <v>9.2230501816368951E-2</v>
      </c>
      <c r="H19" s="236">
        <f>1-G19</f>
        <v>0.90776949818363106</v>
      </c>
      <c r="I19" s="156"/>
    </row>
    <row r="20" spans="1:9" ht="15.75" thickTop="1" x14ac:dyDescent="0.2">
      <c r="A20" s="170"/>
      <c r="B20" s="171"/>
      <c r="C20" s="226"/>
      <c r="D20" s="226"/>
      <c r="E20" s="226"/>
      <c r="F20" s="172"/>
      <c r="G20" s="242"/>
      <c r="H20" s="243"/>
      <c r="I20" s="156"/>
    </row>
    <row r="21" spans="1:9" ht="15.75" x14ac:dyDescent="0.25">
      <c r="A21" s="19" t="s">
        <v>48</v>
      </c>
      <c r="B21" s="164">
        <f>DATE(24,7,1)</f>
        <v>8949</v>
      </c>
      <c r="C21" s="225">
        <v>64713519.609999999</v>
      </c>
      <c r="D21" s="225">
        <v>6199829.7599999998</v>
      </c>
      <c r="E21" s="225">
        <v>7575374.3200000003</v>
      </c>
      <c r="F21" s="165">
        <f t="shared" ref="F21:F28" si="3">(+D21-E21)/E21</f>
        <v>-0.18158106806265389</v>
      </c>
      <c r="G21" s="240">
        <f t="shared" ref="G21:G28" si="4">D21/C21</f>
        <v>9.5804243029333824E-2</v>
      </c>
      <c r="H21" s="241">
        <f t="shared" ref="H21:H28" si="5">1-G21</f>
        <v>0.90419575697066623</v>
      </c>
      <c r="I21" s="156"/>
    </row>
    <row r="22" spans="1:9" ht="15.75" x14ac:dyDescent="0.25">
      <c r="A22" s="19"/>
      <c r="B22" s="164">
        <f>DATE(24,8,1)</f>
        <v>8980</v>
      </c>
      <c r="C22" s="225">
        <v>65418921.670000002</v>
      </c>
      <c r="D22" s="225">
        <v>6511097.2999999998</v>
      </c>
      <c r="E22" s="225">
        <v>7089689.0300000003</v>
      </c>
      <c r="F22" s="165">
        <f t="shared" si="3"/>
        <v>-8.1610311475114217E-2</v>
      </c>
      <c r="G22" s="240">
        <f t="shared" si="4"/>
        <v>9.9529266667595928E-2</v>
      </c>
      <c r="H22" s="241">
        <f t="shared" si="5"/>
        <v>0.90047073333240402</v>
      </c>
      <c r="I22" s="156"/>
    </row>
    <row r="23" spans="1:9" ht="15.75" x14ac:dyDescent="0.25">
      <c r="A23" s="19"/>
      <c r="B23" s="164">
        <f>DATE(24,9,1)</f>
        <v>9011</v>
      </c>
      <c r="C23" s="225">
        <v>60663890.479999997</v>
      </c>
      <c r="D23" s="225">
        <v>6272930.8499999996</v>
      </c>
      <c r="E23" s="225">
        <v>6608716.9299999997</v>
      </c>
      <c r="F23" s="165">
        <f t="shared" si="3"/>
        <v>-5.080957219936489E-2</v>
      </c>
      <c r="G23" s="240">
        <f t="shared" si="4"/>
        <v>0.10340469100095211</v>
      </c>
      <c r="H23" s="241">
        <f t="shared" si="5"/>
        <v>0.89659530899904794</v>
      </c>
      <c r="I23" s="156"/>
    </row>
    <row r="24" spans="1:9" ht="15.75" x14ac:dyDescent="0.25">
      <c r="A24" s="19"/>
      <c r="B24" s="164">
        <f>DATE(24,10,1)</f>
        <v>9041</v>
      </c>
      <c r="C24" s="225">
        <v>63207732.729999997</v>
      </c>
      <c r="D24" s="225">
        <v>6043389.6600000001</v>
      </c>
      <c r="E24" s="225">
        <v>6073572.6299999999</v>
      </c>
      <c r="F24" s="165">
        <f t="shared" si="3"/>
        <v>-4.9695577609318456E-3</v>
      </c>
      <c r="G24" s="240">
        <f t="shared" si="4"/>
        <v>9.5611555722384806E-2</v>
      </c>
      <c r="H24" s="241">
        <f t="shared" si="5"/>
        <v>0.90438844427761522</v>
      </c>
      <c r="I24" s="156"/>
    </row>
    <row r="25" spans="1:9" ht="15.75" x14ac:dyDescent="0.25">
      <c r="A25" s="19"/>
      <c r="B25" s="164">
        <f>DATE(24,11,1)</f>
        <v>9072</v>
      </c>
      <c r="C25" s="225">
        <v>65099302.43</v>
      </c>
      <c r="D25" s="225">
        <v>6494509.6699999999</v>
      </c>
      <c r="E25" s="225">
        <v>6219601.8899999997</v>
      </c>
      <c r="F25" s="165">
        <f t="shared" si="3"/>
        <v>4.4200221310306452E-2</v>
      </c>
      <c r="G25" s="240">
        <f t="shared" si="4"/>
        <v>9.9763122300479623E-2</v>
      </c>
      <c r="H25" s="241">
        <f t="shared" si="5"/>
        <v>0.90023687769952043</v>
      </c>
      <c r="I25" s="156"/>
    </row>
    <row r="26" spans="1:9" ht="15.75" x14ac:dyDescent="0.25">
      <c r="A26" s="19"/>
      <c r="B26" s="164">
        <f>DATE(24,12,1)</f>
        <v>9102</v>
      </c>
      <c r="C26" s="225">
        <v>66634021.969999999</v>
      </c>
      <c r="D26" s="225">
        <v>6626155.0700000003</v>
      </c>
      <c r="E26" s="225">
        <v>7129561.0199999996</v>
      </c>
      <c r="F26" s="165">
        <f t="shared" si="3"/>
        <v>-7.0608267267484481E-2</v>
      </c>
      <c r="G26" s="240">
        <f t="shared" si="4"/>
        <v>9.944101937870764E-2</v>
      </c>
      <c r="H26" s="241">
        <f t="shared" si="5"/>
        <v>0.90055898062129236</v>
      </c>
      <c r="I26" s="156"/>
    </row>
    <row r="27" spans="1:9" ht="15.75" x14ac:dyDescent="0.25">
      <c r="A27" s="19"/>
      <c r="B27" s="164">
        <f>DATE(25,1,1)</f>
        <v>9133</v>
      </c>
      <c r="C27" s="225">
        <v>58776029.950000003</v>
      </c>
      <c r="D27" s="225">
        <v>5440214.75</v>
      </c>
      <c r="E27" s="225">
        <v>5384241.8899999997</v>
      </c>
      <c r="F27" s="165">
        <f t="shared" si="3"/>
        <v>1.0395680792862808E-2</v>
      </c>
      <c r="G27" s="240">
        <f t="shared" si="4"/>
        <v>9.2558390803664681E-2</v>
      </c>
      <c r="H27" s="241">
        <f t="shared" si="5"/>
        <v>0.90744160919633532</v>
      </c>
      <c r="I27" s="156"/>
    </row>
    <row r="28" spans="1:9" ht="15.75" x14ac:dyDescent="0.25">
      <c r="A28" s="19"/>
      <c r="B28" s="164">
        <f>DATE(25,2,1)</f>
        <v>9164</v>
      </c>
      <c r="C28" s="225">
        <v>59844773.710000001</v>
      </c>
      <c r="D28" s="225">
        <v>6063044.0700000003</v>
      </c>
      <c r="E28" s="225">
        <v>6556548.7999999998</v>
      </c>
      <c r="F28" s="165">
        <f t="shared" si="3"/>
        <v>-7.5268978399123568E-2</v>
      </c>
      <c r="G28" s="240">
        <f t="shared" si="4"/>
        <v>0.10131284144177274</v>
      </c>
      <c r="H28" s="241">
        <f t="shared" si="5"/>
        <v>0.89868715855822723</v>
      </c>
      <c r="I28" s="156"/>
    </row>
    <row r="29" spans="1:9" ht="15.75" thickBot="1" x14ac:dyDescent="0.25">
      <c r="A29" s="166"/>
      <c r="B29" s="164"/>
      <c r="C29" s="225"/>
      <c r="D29" s="225"/>
      <c r="E29" s="225"/>
      <c r="F29" s="165"/>
      <c r="G29" s="240"/>
      <c r="H29" s="241"/>
      <c r="I29" s="156"/>
    </row>
    <row r="30" spans="1:9" ht="17.25" thickTop="1" thickBot="1" x14ac:dyDescent="0.3">
      <c r="A30" s="168" t="s">
        <v>14</v>
      </c>
      <c r="B30" s="154"/>
      <c r="C30" s="222">
        <f>SUM(C21:C29)</f>
        <v>504358192.54999995</v>
      </c>
      <c r="D30" s="222">
        <f>SUM(D21:D29)</f>
        <v>49651171.129999995</v>
      </c>
      <c r="E30" s="222">
        <f>SUM(E21:E29)</f>
        <v>52637306.50999999</v>
      </c>
      <c r="F30" s="169">
        <f>(+D30-E30)/E30</f>
        <v>-5.673039860868815E-2</v>
      </c>
      <c r="G30" s="235">
        <f>D30/C30</f>
        <v>9.8444264142844837E-2</v>
      </c>
      <c r="H30" s="236">
        <f>1-G30</f>
        <v>0.9015557358571552</v>
      </c>
      <c r="I30" s="156"/>
    </row>
    <row r="31" spans="1:9" ht="15.75" thickTop="1" x14ac:dyDescent="0.2">
      <c r="A31" s="170"/>
      <c r="B31" s="171"/>
      <c r="C31" s="226"/>
      <c r="D31" s="226"/>
      <c r="E31" s="226"/>
      <c r="F31" s="172"/>
      <c r="G31" s="242"/>
      <c r="H31" s="243"/>
      <c r="I31" s="156"/>
    </row>
    <row r="32" spans="1:9" ht="15.75" x14ac:dyDescent="0.25">
      <c r="A32" s="19" t="s">
        <v>62</v>
      </c>
      <c r="B32" s="164">
        <f>DATE(24,7,1)</f>
        <v>8949</v>
      </c>
      <c r="C32" s="225">
        <v>34246805.920000002</v>
      </c>
      <c r="D32" s="225">
        <v>3585663.09</v>
      </c>
      <c r="E32" s="225">
        <v>3728602.99</v>
      </c>
      <c r="F32" s="165">
        <f t="shared" ref="F32:F39" si="6">(+D32-E32)/E32</f>
        <v>-3.8336047142417909E-2</v>
      </c>
      <c r="G32" s="240">
        <f t="shared" ref="G32:G39" si="7">D32/C32</f>
        <v>0.10470065729271373</v>
      </c>
      <c r="H32" s="241">
        <f t="shared" ref="H32:H39" si="8">1-G32</f>
        <v>0.89529934270728628</v>
      </c>
      <c r="I32" s="156"/>
    </row>
    <row r="33" spans="1:9" ht="15.75" x14ac:dyDescent="0.25">
      <c r="A33" s="19"/>
      <c r="B33" s="164">
        <f>DATE(24,8,1)</f>
        <v>8980</v>
      </c>
      <c r="C33" s="225">
        <v>33907448.079999998</v>
      </c>
      <c r="D33" s="225">
        <v>3620973.03</v>
      </c>
      <c r="E33" s="225">
        <v>3492885.71</v>
      </c>
      <c r="F33" s="165">
        <f t="shared" si="6"/>
        <v>3.6670916438316513E-2</v>
      </c>
      <c r="G33" s="240">
        <f t="shared" si="7"/>
        <v>0.10678990118798701</v>
      </c>
      <c r="H33" s="241">
        <f t="shared" si="8"/>
        <v>0.89321009881201296</v>
      </c>
      <c r="I33" s="156"/>
    </row>
    <row r="34" spans="1:9" ht="15.75" x14ac:dyDescent="0.25">
      <c r="A34" s="19"/>
      <c r="B34" s="164">
        <f>DATE(24,9,1)</f>
        <v>9011</v>
      </c>
      <c r="C34" s="225">
        <v>33139127.579999998</v>
      </c>
      <c r="D34" s="225">
        <v>3548518.78</v>
      </c>
      <c r="E34" s="225">
        <v>3669671.06</v>
      </c>
      <c r="F34" s="165">
        <f t="shared" si="6"/>
        <v>-3.3014479504874274E-2</v>
      </c>
      <c r="G34" s="240">
        <f t="shared" si="7"/>
        <v>0.10707942662140534</v>
      </c>
      <c r="H34" s="241">
        <f t="shared" si="8"/>
        <v>0.89292057337859465</v>
      </c>
      <c r="I34" s="156"/>
    </row>
    <row r="35" spans="1:9" ht="15.75" x14ac:dyDescent="0.25">
      <c r="A35" s="19"/>
      <c r="B35" s="164">
        <f>DATE(24,10,1)</f>
        <v>9041</v>
      </c>
      <c r="C35" s="225">
        <v>27157085.620000001</v>
      </c>
      <c r="D35" s="225">
        <v>2824673.89</v>
      </c>
      <c r="E35" s="225">
        <v>3409284.9</v>
      </c>
      <c r="F35" s="165">
        <f t="shared" si="6"/>
        <v>-0.17147613858847638</v>
      </c>
      <c r="G35" s="240">
        <f t="shared" si="7"/>
        <v>0.10401240875124508</v>
      </c>
      <c r="H35" s="241">
        <f t="shared" si="8"/>
        <v>0.89598759124875493</v>
      </c>
      <c r="I35" s="156"/>
    </row>
    <row r="36" spans="1:9" ht="15.75" x14ac:dyDescent="0.25">
      <c r="A36" s="19"/>
      <c r="B36" s="164">
        <f>DATE(24,11,1)</f>
        <v>9072</v>
      </c>
      <c r="C36" s="225">
        <v>44619290.460000001</v>
      </c>
      <c r="D36" s="225">
        <v>4839169.95</v>
      </c>
      <c r="E36" s="225">
        <v>3276327.35</v>
      </c>
      <c r="F36" s="165">
        <f t="shared" si="6"/>
        <v>0.47701051605847627</v>
      </c>
      <c r="G36" s="240">
        <f t="shared" si="7"/>
        <v>0.10845465941100489</v>
      </c>
      <c r="H36" s="241">
        <f t="shared" si="8"/>
        <v>0.89154534058899515</v>
      </c>
      <c r="I36" s="156"/>
    </row>
    <row r="37" spans="1:9" ht="15.75" x14ac:dyDescent="0.25">
      <c r="A37" s="19"/>
      <c r="B37" s="164">
        <f>DATE(24,12,1)</f>
        <v>9102</v>
      </c>
      <c r="C37" s="225">
        <v>42412730.380000003</v>
      </c>
      <c r="D37" s="225">
        <v>4407875.1500000004</v>
      </c>
      <c r="E37" s="225">
        <v>3745372.22</v>
      </c>
      <c r="F37" s="165">
        <f t="shared" si="6"/>
        <v>0.17688573820841769</v>
      </c>
      <c r="G37" s="240">
        <f t="shared" si="7"/>
        <v>0.10392811569798303</v>
      </c>
      <c r="H37" s="241">
        <f t="shared" si="8"/>
        <v>0.89607188430201701</v>
      </c>
      <c r="I37" s="156"/>
    </row>
    <row r="38" spans="1:9" ht="15.75" x14ac:dyDescent="0.25">
      <c r="A38" s="19"/>
      <c r="B38" s="164">
        <f>DATE(25,1,1)</f>
        <v>9133</v>
      </c>
      <c r="C38" s="225">
        <v>37825438.439999998</v>
      </c>
      <c r="D38" s="225">
        <v>3955816.13</v>
      </c>
      <c r="E38" s="225">
        <v>3017306.94</v>
      </c>
      <c r="F38" s="165">
        <f t="shared" si="6"/>
        <v>0.31104200158038942</v>
      </c>
      <c r="G38" s="240">
        <f t="shared" si="7"/>
        <v>0.10458084012099028</v>
      </c>
      <c r="H38" s="241">
        <f t="shared" si="8"/>
        <v>0.89541915987900977</v>
      </c>
      <c r="I38" s="156"/>
    </row>
    <row r="39" spans="1:9" ht="15.75" x14ac:dyDescent="0.25">
      <c r="A39" s="19"/>
      <c r="B39" s="164">
        <f>DATE(25,2,1)</f>
        <v>9164</v>
      </c>
      <c r="C39" s="225">
        <v>40561783.469999999</v>
      </c>
      <c r="D39" s="225">
        <v>4213869.49</v>
      </c>
      <c r="E39" s="225">
        <v>3818039.93</v>
      </c>
      <c r="F39" s="165">
        <f t="shared" si="6"/>
        <v>0.10367349929732139</v>
      </c>
      <c r="G39" s="240">
        <f t="shared" si="7"/>
        <v>0.10388767774761755</v>
      </c>
      <c r="H39" s="241">
        <f t="shared" si="8"/>
        <v>0.89611232225238246</v>
      </c>
      <c r="I39" s="156"/>
    </row>
    <row r="40" spans="1:9" ht="15.75" thickBot="1" x14ac:dyDescent="0.25">
      <c r="A40" s="166"/>
      <c r="B40" s="164"/>
      <c r="C40" s="225"/>
      <c r="D40" s="225"/>
      <c r="E40" s="225"/>
      <c r="F40" s="165"/>
      <c r="G40" s="240"/>
      <c r="H40" s="241"/>
      <c r="I40" s="156"/>
    </row>
    <row r="41" spans="1:9" ht="17.25" thickTop="1" thickBot="1" x14ac:dyDescent="0.3">
      <c r="A41" s="173" t="s">
        <v>14</v>
      </c>
      <c r="B41" s="174"/>
      <c r="C41" s="227">
        <f>SUM(C32:C40)</f>
        <v>293869709.94999999</v>
      </c>
      <c r="D41" s="227">
        <f>SUM(D32:D40)</f>
        <v>30996559.509999998</v>
      </c>
      <c r="E41" s="227">
        <f>SUM(E32:E40)</f>
        <v>28157491.100000001</v>
      </c>
      <c r="F41" s="175">
        <f>(+D41-E41)/E41</f>
        <v>0.10082817392775439</v>
      </c>
      <c r="G41" s="244">
        <f>D41/C41</f>
        <v>0.10547721817016752</v>
      </c>
      <c r="H41" s="245">
        <f>1-G41</f>
        <v>0.89452278182983247</v>
      </c>
      <c r="I41" s="156"/>
    </row>
    <row r="42" spans="1:9" ht="15.75" thickTop="1" x14ac:dyDescent="0.2">
      <c r="A42" s="166"/>
      <c r="B42" s="167"/>
      <c r="C42" s="225"/>
      <c r="D42" s="225"/>
      <c r="E42" s="225"/>
      <c r="F42" s="165"/>
      <c r="G42" s="240"/>
      <c r="H42" s="241"/>
      <c r="I42" s="156"/>
    </row>
    <row r="43" spans="1:9" ht="15.75" x14ac:dyDescent="0.25">
      <c r="A43" s="176" t="s">
        <v>58</v>
      </c>
      <c r="B43" s="164">
        <f>DATE(24,7,1)</f>
        <v>8949</v>
      </c>
      <c r="C43" s="225">
        <v>202610536.06999999</v>
      </c>
      <c r="D43" s="225">
        <v>17635163.969999999</v>
      </c>
      <c r="E43" s="225">
        <v>18456668.579999998</v>
      </c>
      <c r="F43" s="165">
        <f t="shared" ref="F43:F50" si="9">(+D43-E43)/E43</f>
        <v>-4.4509907432059417E-2</v>
      </c>
      <c r="G43" s="240">
        <f t="shared" ref="G43:G50" si="10">D43/C43</f>
        <v>8.7039718230187288E-2</v>
      </c>
      <c r="H43" s="241">
        <f t="shared" ref="H43:H50" si="11">1-G43</f>
        <v>0.9129602817698127</v>
      </c>
      <c r="I43" s="156"/>
    </row>
    <row r="44" spans="1:9" ht="15.75" x14ac:dyDescent="0.25">
      <c r="A44" s="176"/>
      <c r="B44" s="164">
        <f>DATE(24,8,1)</f>
        <v>8980</v>
      </c>
      <c r="C44" s="225">
        <v>208101818.58000001</v>
      </c>
      <c r="D44" s="225">
        <v>18755463.760000002</v>
      </c>
      <c r="E44" s="225">
        <v>17397451.300000001</v>
      </c>
      <c r="F44" s="165">
        <f t="shared" si="9"/>
        <v>7.8058126824588431E-2</v>
      </c>
      <c r="G44" s="240">
        <f t="shared" si="10"/>
        <v>9.012638086480676E-2</v>
      </c>
      <c r="H44" s="241">
        <f t="shared" si="11"/>
        <v>0.90987361913519327</v>
      </c>
      <c r="I44" s="156"/>
    </row>
    <row r="45" spans="1:9" ht="15.75" x14ac:dyDescent="0.25">
      <c r="A45" s="176"/>
      <c r="B45" s="164">
        <f>DATE(24,9,1)</f>
        <v>9011</v>
      </c>
      <c r="C45" s="225">
        <v>192825170.84999999</v>
      </c>
      <c r="D45" s="225">
        <v>17095090.23</v>
      </c>
      <c r="E45" s="225">
        <v>17402399.579999998</v>
      </c>
      <c r="F45" s="165">
        <f t="shared" si="9"/>
        <v>-1.7659021595687198E-2</v>
      </c>
      <c r="G45" s="240">
        <f t="shared" si="10"/>
        <v>8.8655906045058755E-2</v>
      </c>
      <c r="H45" s="241">
        <f t="shared" si="11"/>
        <v>0.9113440939549412</v>
      </c>
      <c r="I45" s="156"/>
    </row>
    <row r="46" spans="1:9" ht="15.75" x14ac:dyDescent="0.25">
      <c r="A46" s="176"/>
      <c r="B46" s="164">
        <f>DATE(24,10,1)</f>
        <v>9041</v>
      </c>
      <c r="C46" s="225">
        <v>202608930.46000001</v>
      </c>
      <c r="D46" s="225">
        <v>18243581.699999999</v>
      </c>
      <c r="E46" s="225">
        <v>16465993.380000001</v>
      </c>
      <c r="F46" s="165">
        <f t="shared" si="9"/>
        <v>0.10795512174559117</v>
      </c>
      <c r="G46" s="240">
        <f t="shared" si="10"/>
        <v>9.0043324638159186E-2</v>
      </c>
      <c r="H46" s="241">
        <f t="shared" si="11"/>
        <v>0.90995667536184077</v>
      </c>
      <c r="I46" s="156"/>
    </row>
    <row r="47" spans="1:9" ht="15.75" x14ac:dyDescent="0.25">
      <c r="A47" s="176"/>
      <c r="B47" s="164">
        <f>DATE(24,11,1)</f>
        <v>9072</v>
      </c>
      <c r="C47" s="225">
        <v>190345398.75999999</v>
      </c>
      <c r="D47" s="225">
        <v>16765785.65</v>
      </c>
      <c r="E47" s="225">
        <v>16419604.9</v>
      </c>
      <c r="F47" s="165">
        <f t="shared" si="9"/>
        <v>2.1083378808950511E-2</v>
      </c>
      <c r="G47" s="240">
        <f t="shared" si="10"/>
        <v>8.8080855955648324E-2</v>
      </c>
      <c r="H47" s="241">
        <f t="shared" si="11"/>
        <v>0.9119191440443517</v>
      </c>
      <c r="I47" s="156"/>
    </row>
    <row r="48" spans="1:9" ht="15.75" x14ac:dyDescent="0.25">
      <c r="A48" s="176"/>
      <c r="B48" s="164">
        <f>DATE(24,12,1)</f>
        <v>9102</v>
      </c>
      <c r="C48" s="225">
        <v>199915822.74000001</v>
      </c>
      <c r="D48" s="225">
        <v>18263258.199999999</v>
      </c>
      <c r="E48" s="225">
        <v>18063260.059999999</v>
      </c>
      <c r="F48" s="165">
        <f t="shared" si="9"/>
        <v>1.107209547643531E-2</v>
      </c>
      <c r="G48" s="240">
        <f t="shared" si="10"/>
        <v>9.135474095890965E-2</v>
      </c>
      <c r="H48" s="241">
        <f t="shared" si="11"/>
        <v>0.90864525904109039</v>
      </c>
      <c r="I48" s="156"/>
    </row>
    <row r="49" spans="1:9" ht="15.75" x14ac:dyDescent="0.25">
      <c r="A49" s="176"/>
      <c r="B49" s="164">
        <f>DATE(25,1,1)</f>
        <v>9133</v>
      </c>
      <c r="C49" s="225">
        <v>176629210.63</v>
      </c>
      <c r="D49" s="225">
        <v>15748977.17</v>
      </c>
      <c r="E49" s="225">
        <v>15246319.380000001</v>
      </c>
      <c r="F49" s="165">
        <f t="shared" si="9"/>
        <v>3.2969123725650244E-2</v>
      </c>
      <c r="G49" s="240">
        <f t="shared" si="10"/>
        <v>8.9164057937113822E-2</v>
      </c>
      <c r="H49" s="241">
        <f t="shared" si="11"/>
        <v>0.91083594206288621</v>
      </c>
      <c r="I49" s="156"/>
    </row>
    <row r="50" spans="1:9" ht="15.75" x14ac:dyDescent="0.25">
      <c r="A50" s="176"/>
      <c r="B50" s="164">
        <f>DATE(25,2,1)</f>
        <v>9164</v>
      </c>
      <c r="C50" s="225">
        <v>182113548.28999999</v>
      </c>
      <c r="D50" s="225">
        <v>15895327.640000001</v>
      </c>
      <c r="E50" s="225">
        <v>17151647.350000001</v>
      </c>
      <c r="F50" s="165">
        <f t="shared" si="9"/>
        <v>-7.3247757743806499E-2</v>
      </c>
      <c r="G50" s="240">
        <f t="shared" si="10"/>
        <v>8.7282510220975287E-2</v>
      </c>
      <c r="H50" s="241">
        <f t="shared" si="11"/>
        <v>0.91271748977902467</v>
      </c>
      <c r="I50" s="156"/>
    </row>
    <row r="51" spans="1:9" ht="15.75" thickBot="1" x14ac:dyDescent="0.25">
      <c r="A51" s="166"/>
      <c r="B51" s="167"/>
      <c r="C51" s="225"/>
      <c r="D51" s="225"/>
      <c r="E51" s="225"/>
      <c r="F51" s="165"/>
      <c r="G51" s="240"/>
      <c r="H51" s="241"/>
      <c r="I51" s="156"/>
    </row>
    <row r="52" spans="1:9" ht="17.25" thickTop="1" thickBot="1" x14ac:dyDescent="0.3">
      <c r="A52" s="173" t="s">
        <v>14</v>
      </c>
      <c r="B52" s="177"/>
      <c r="C52" s="227">
        <f>SUM(C43:C51)</f>
        <v>1555150436.3800001</v>
      </c>
      <c r="D52" s="227">
        <f>SUM(D43:D51)</f>
        <v>138402648.32000002</v>
      </c>
      <c r="E52" s="227">
        <f>SUM(E43:E51)</f>
        <v>136603344.53</v>
      </c>
      <c r="F52" s="175">
        <f>(+D52-E52)/E52</f>
        <v>1.317174038593813E-2</v>
      </c>
      <c r="G52" s="244">
        <f>D52/C52</f>
        <v>8.8996308705778099E-2</v>
      </c>
      <c r="H52" s="245">
        <f>1-G52</f>
        <v>0.91100369129422187</v>
      </c>
      <c r="I52" s="156"/>
    </row>
    <row r="53" spans="1:9" ht="15.75" thickTop="1" x14ac:dyDescent="0.2">
      <c r="A53" s="166"/>
      <c r="B53" s="167"/>
      <c r="C53" s="225"/>
      <c r="D53" s="225"/>
      <c r="E53" s="225"/>
      <c r="F53" s="165"/>
      <c r="G53" s="240"/>
      <c r="H53" s="241"/>
      <c r="I53" s="156"/>
    </row>
    <row r="54" spans="1:9" ht="15.75" x14ac:dyDescent="0.25">
      <c r="A54" s="163" t="s">
        <v>60</v>
      </c>
      <c r="B54" s="164">
        <f>DATE(24,7,1)</f>
        <v>8949</v>
      </c>
      <c r="C54" s="225">
        <v>99443642.319999993</v>
      </c>
      <c r="D54" s="225">
        <v>9741383.2799999993</v>
      </c>
      <c r="E54" s="225">
        <v>12067335.59</v>
      </c>
      <c r="F54" s="165">
        <f t="shared" ref="F54:F61" si="12">(+D54-E54)/E54</f>
        <v>-0.1927477936328777</v>
      </c>
      <c r="G54" s="240">
        <f t="shared" ref="G54:G61" si="13">D54/C54</f>
        <v>9.7958834297854583E-2</v>
      </c>
      <c r="H54" s="241">
        <f t="shared" ref="H54:H61" si="14">1-G54</f>
        <v>0.90204116570214543</v>
      </c>
      <c r="I54" s="156"/>
    </row>
    <row r="55" spans="1:9" ht="15.75" x14ac:dyDescent="0.25">
      <c r="A55" s="163"/>
      <c r="B55" s="164">
        <f>DATE(24,8,1)</f>
        <v>8980</v>
      </c>
      <c r="C55" s="225">
        <v>105627378.45999999</v>
      </c>
      <c r="D55" s="225">
        <v>10213981.68</v>
      </c>
      <c r="E55" s="225">
        <v>10973674.99</v>
      </c>
      <c r="F55" s="165">
        <f t="shared" si="12"/>
        <v>-6.9228705123150408E-2</v>
      </c>
      <c r="G55" s="240">
        <f t="shared" si="13"/>
        <v>9.6698240824635531E-2</v>
      </c>
      <c r="H55" s="241">
        <f t="shared" si="14"/>
        <v>0.90330175917536448</v>
      </c>
      <c r="I55" s="156"/>
    </row>
    <row r="56" spans="1:9" ht="15.75" x14ac:dyDescent="0.25">
      <c r="A56" s="163"/>
      <c r="B56" s="164">
        <f>DATE(24,9,1)</f>
        <v>9011</v>
      </c>
      <c r="C56" s="225">
        <v>100621148.75</v>
      </c>
      <c r="D56" s="225">
        <v>9094034.0600000005</v>
      </c>
      <c r="E56" s="225">
        <v>10801103.67</v>
      </c>
      <c r="F56" s="165">
        <f t="shared" si="12"/>
        <v>-0.15804584995710899</v>
      </c>
      <c r="G56" s="240">
        <f t="shared" si="13"/>
        <v>9.0378952864022047E-2</v>
      </c>
      <c r="H56" s="241">
        <f t="shared" si="14"/>
        <v>0.90962104713597791</v>
      </c>
      <c r="I56" s="156"/>
    </row>
    <row r="57" spans="1:9" ht="15.75" x14ac:dyDescent="0.25">
      <c r="A57" s="163"/>
      <c r="B57" s="164">
        <f>DATE(24,10,1)</f>
        <v>9041</v>
      </c>
      <c r="C57" s="225">
        <v>105572646.09</v>
      </c>
      <c r="D57" s="225">
        <v>9949775.4600000009</v>
      </c>
      <c r="E57" s="225">
        <v>10564246.92</v>
      </c>
      <c r="F57" s="165">
        <f t="shared" si="12"/>
        <v>-5.8165192905203229E-2</v>
      </c>
      <c r="G57" s="240">
        <f t="shared" si="13"/>
        <v>9.4245771310097509E-2</v>
      </c>
      <c r="H57" s="241">
        <f t="shared" si="14"/>
        <v>0.90575422868990252</v>
      </c>
      <c r="I57" s="156"/>
    </row>
    <row r="58" spans="1:9" ht="15.75" x14ac:dyDescent="0.25">
      <c r="A58" s="163"/>
      <c r="B58" s="164">
        <f>DATE(24,11,1)</f>
        <v>9072</v>
      </c>
      <c r="C58" s="225">
        <v>104510467.56999999</v>
      </c>
      <c r="D58" s="225">
        <v>9979085.8399999999</v>
      </c>
      <c r="E58" s="225">
        <v>9910289.5700000003</v>
      </c>
      <c r="F58" s="165">
        <f t="shared" si="12"/>
        <v>6.9419031113133814E-3</v>
      </c>
      <c r="G58" s="240">
        <f t="shared" si="13"/>
        <v>9.5484079939802347E-2</v>
      </c>
      <c r="H58" s="241">
        <f t="shared" si="14"/>
        <v>0.90451592006019765</v>
      </c>
      <c r="I58" s="156"/>
    </row>
    <row r="59" spans="1:9" ht="15.75" x14ac:dyDescent="0.25">
      <c r="A59" s="163"/>
      <c r="B59" s="164">
        <f>DATE(24,12,1)</f>
        <v>9102</v>
      </c>
      <c r="C59" s="225">
        <v>110263662.33</v>
      </c>
      <c r="D59" s="225">
        <v>10902773.140000001</v>
      </c>
      <c r="E59" s="225">
        <v>11816376.119999999</v>
      </c>
      <c r="F59" s="165">
        <f t="shared" si="12"/>
        <v>-7.7316680742217148E-2</v>
      </c>
      <c r="G59" s="240">
        <f t="shared" si="13"/>
        <v>9.8879113114979739E-2</v>
      </c>
      <c r="H59" s="241">
        <f t="shared" si="14"/>
        <v>0.90112088688502023</v>
      </c>
      <c r="I59" s="156"/>
    </row>
    <row r="60" spans="1:9" ht="15.75" x14ac:dyDescent="0.25">
      <c r="A60" s="163"/>
      <c r="B60" s="164">
        <f>DATE(25,1,1)</f>
        <v>9133</v>
      </c>
      <c r="C60" s="225">
        <v>98052235.530000001</v>
      </c>
      <c r="D60" s="225">
        <v>9509561.3300000001</v>
      </c>
      <c r="E60" s="225">
        <v>8636364.1500000004</v>
      </c>
      <c r="F60" s="165">
        <f t="shared" si="12"/>
        <v>0.10110703588152888</v>
      </c>
      <c r="G60" s="240">
        <f t="shared" si="13"/>
        <v>9.6984645771696465E-2</v>
      </c>
      <c r="H60" s="241">
        <f t="shared" si="14"/>
        <v>0.90301535422830348</v>
      </c>
      <c r="I60" s="156"/>
    </row>
    <row r="61" spans="1:9" ht="15.75" x14ac:dyDescent="0.25">
      <c r="A61" s="163"/>
      <c r="B61" s="164">
        <f>DATE(25,2,1)</f>
        <v>9164</v>
      </c>
      <c r="C61" s="225">
        <v>103834468.98999999</v>
      </c>
      <c r="D61" s="225">
        <v>9681980.4499999993</v>
      </c>
      <c r="E61" s="225">
        <v>10543506.25</v>
      </c>
      <c r="F61" s="165">
        <f t="shared" si="12"/>
        <v>-8.1711508446253425E-2</v>
      </c>
      <c r="G61" s="240">
        <f t="shared" si="13"/>
        <v>9.324437775024827E-2</v>
      </c>
      <c r="H61" s="241">
        <f t="shared" si="14"/>
        <v>0.9067556222497517</v>
      </c>
      <c r="I61" s="156"/>
    </row>
    <row r="62" spans="1:9" ht="15.75" thickBot="1" x14ac:dyDescent="0.25">
      <c r="A62" s="166"/>
      <c r="B62" s="164"/>
      <c r="C62" s="225"/>
      <c r="D62" s="225"/>
      <c r="E62" s="225"/>
      <c r="F62" s="165"/>
      <c r="G62" s="240"/>
      <c r="H62" s="241"/>
      <c r="I62" s="156"/>
    </row>
    <row r="63" spans="1:9" ht="17.25" thickTop="1" thickBot="1" x14ac:dyDescent="0.3">
      <c r="A63" s="173" t="s">
        <v>14</v>
      </c>
      <c r="B63" s="174"/>
      <c r="C63" s="227">
        <f>SUM(C54:C62)</f>
        <v>827925650.03999996</v>
      </c>
      <c r="D63" s="229">
        <f>SUM(D54:D62)</f>
        <v>79072575.24000001</v>
      </c>
      <c r="E63" s="270">
        <f>SUM(E54:E62)</f>
        <v>85312897.260000005</v>
      </c>
      <c r="F63" s="271">
        <f>(+D63-E63)/E63</f>
        <v>-7.3146291128549534E-2</v>
      </c>
      <c r="G63" s="248">
        <f>D63/C63</f>
        <v>9.550685527882817E-2</v>
      </c>
      <c r="H63" s="269">
        <f>1-G63</f>
        <v>0.90449314472117182</v>
      </c>
      <c r="I63" s="156"/>
    </row>
    <row r="64" spans="1:9" ht="15.75" thickTop="1" x14ac:dyDescent="0.2">
      <c r="A64" s="166"/>
      <c r="B64" s="167"/>
      <c r="C64" s="225"/>
      <c r="D64" s="225"/>
      <c r="E64" s="225"/>
      <c r="F64" s="165"/>
      <c r="G64" s="240"/>
      <c r="H64" s="241"/>
      <c r="I64" s="156"/>
    </row>
    <row r="65" spans="1:9" ht="15.75" x14ac:dyDescent="0.25">
      <c r="A65" s="163" t="s">
        <v>64</v>
      </c>
      <c r="B65" s="164">
        <f>DATE(24,7,1)</f>
        <v>8949</v>
      </c>
      <c r="C65" s="225">
        <v>49733278</v>
      </c>
      <c r="D65" s="225">
        <v>5096504.7300000004</v>
      </c>
      <c r="E65" s="225">
        <v>5575819.8300000001</v>
      </c>
      <c r="F65" s="165">
        <f t="shared" ref="F65:F72" si="15">(+D65-E65)/E65</f>
        <v>-8.5963161402939303E-2</v>
      </c>
      <c r="G65" s="240">
        <f t="shared" ref="G65:G72" si="16">D65/C65</f>
        <v>0.10247675067788616</v>
      </c>
      <c r="H65" s="241">
        <f t="shared" ref="H65:H72" si="17">1-G65</f>
        <v>0.8975232493221138</v>
      </c>
      <c r="I65" s="156"/>
    </row>
    <row r="66" spans="1:9" ht="15.75" x14ac:dyDescent="0.25">
      <c r="A66" s="163"/>
      <c r="B66" s="164">
        <f>DATE(24,8,1)</f>
        <v>8980</v>
      </c>
      <c r="C66" s="225">
        <v>51492711.810000002</v>
      </c>
      <c r="D66" s="225">
        <v>5390961.3799999999</v>
      </c>
      <c r="E66" s="225">
        <v>5122977.68</v>
      </c>
      <c r="F66" s="165">
        <f t="shared" si="15"/>
        <v>5.2310143970801019E-2</v>
      </c>
      <c r="G66" s="240">
        <f t="shared" si="16"/>
        <v>0.10469367781389721</v>
      </c>
      <c r="H66" s="241">
        <f t="shared" si="17"/>
        <v>0.89530632218610284</v>
      </c>
      <c r="I66" s="156"/>
    </row>
    <row r="67" spans="1:9" ht="15.75" x14ac:dyDescent="0.25">
      <c r="A67" s="163"/>
      <c r="B67" s="164">
        <f>DATE(24,9,1)</f>
        <v>9011</v>
      </c>
      <c r="C67" s="225">
        <v>50284933.159999996</v>
      </c>
      <c r="D67" s="225">
        <v>4962842.88</v>
      </c>
      <c r="E67" s="225">
        <v>4693957.13</v>
      </c>
      <c r="F67" s="165">
        <f t="shared" si="15"/>
        <v>5.7283384264738696E-2</v>
      </c>
      <c r="G67" s="240">
        <f t="shared" si="16"/>
        <v>9.8694431276440023E-2</v>
      </c>
      <c r="H67" s="241">
        <f t="shared" si="17"/>
        <v>0.90130556872355994</v>
      </c>
      <c r="I67" s="156"/>
    </row>
    <row r="68" spans="1:9" ht="15.75" x14ac:dyDescent="0.25">
      <c r="A68" s="163"/>
      <c r="B68" s="164">
        <f>DATE(24,10,1)</f>
        <v>9041</v>
      </c>
      <c r="C68" s="225">
        <v>48940334.909999996</v>
      </c>
      <c r="D68" s="225">
        <v>4961723.2699999996</v>
      </c>
      <c r="E68" s="225">
        <v>4687600.6900000004</v>
      </c>
      <c r="F68" s="165">
        <f t="shared" si="15"/>
        <v>5.8478227589816127E-2</v>
      </c>
      <c r="G68" s="240">
        <f t="shared" si="16"/>
        <v>0.10138310820971044</v>
      </c>
      <c r="H68" s="241">
        <f t="shared" si="17"/>
        <v>0.89861689179028958</v>
      </c>
      <c r="I68" s="156"/>
    </row>
    <row r="69" spans="1:9" ht="15.75" x14ac:dyDescent="0.25">
      <c r="A69" s="163"/>
      <c r="B69" s="164">
        <f>DATE(24,11,1)</f>
        <v>9072</v>
      </c>
      <c r="C69" s="225">
        <v>51403048.530000001</v>
      </c>
      <c r="D69" s="225">
        <v>5565441.5499999998</v>
      </c>
      <c r="E69" s="225">
        <v>4597031.58</v>
      </c>
      <c r="F69" s="165">
        <f t="shared" si="15"/>
        <v>0.21065984715293162</v>
      </c>
      <c r="G69" s="240">
        <f t="shared" si="16"/>
        <v>0.10827065143328767</v>
      </c>
      <c r="H69" s="241">
        <f t="shared" si="17"/>
        <v>0.89172934856671238</v>
      </c>
      <c r="I69" s="156"/>
    </row>
    <row r="70" spans="1:9" ht="15.75" x14ac:dyDescent="0.25">
      <c r="A70" s="163"/>
      <c r="B70" s="164">
        <f>DATE(24,12,1)</f>
        <v>9102</v>
      </c>
      <c r="C70" s="225">
        <v>50798902.229999997</v>
      </c>
      <c r="D70" s="225">
        <v>5321819.12</v>
      </c>
      <c r="E70" s="225">
        <v>5308528.92</v>
      </c>
      <c r="F70" s="165">
        <f t="shared" si="15"/>
        <v>2.5035561075930214E-3</v>
      </c>
      <c r="G70" s="240">
        <f t="shared" si="16"/>
        <v>0.10476248277777006</v>
      </c>
      <c r="H70" s="241">
        <f t="shared" si="17"/>
        <v>0.89523751722222999</v>
      </c>
      <c r="I70" s="156"/>
    </row>
    <row r="71" spans="1:9" ht="15.75" x14ac:dyDescent="0.25">
      <c r="A71" s="163"/>
      <c r="B71" s="164">
        <f>DATE(25,1,1)</f>
        <v>9133</v>
      </c>
      <c r="C71" s="225">
        <v>43233762.789999999</v>
      </c>
      <c r="D71" s="225">
        <v>4347024.5</v>
      </c>
      <c r="E71" s="225">
        <v>4172035.59</v>
      </c>
      <c r="F71" s="165">
        <f t="shared" si="15"/>
        <v>4.1943292722486133E-2</v>
      </c>
      <c r="G71" s="240">
        <f t="shared" si="16"/>
        <v>0.1005469850291511</v>
      </c>
      <c r="H71" s="241">
        <f t="shared" si="17"/>
        <v>0.89945301497084884</v>
      </c>
      <c r="I71" s="156"/>
    </row>
    <row r="72" spans="1:9" ht="15.75" x14ac:dyDescent="0.25">
      <c r="A72" s="163"/>
      <c r="B72" s="164">
        <f>DATE(25,2,1)</f>
        <v>9164</v>
      </c>
      <c r="C72" s="225">
        <v>48001208.710000001</v>
      </c>
      <c r="D72" s="225">
        <v>5036764.01</v>
      </c>
      <c r="E72" s="225">
        <v>5059953.28</v>
      </c>
      <c r="F72" s="165">
        <f t="shared" si="15"/>
        <v>-4.5829019986525412E-3</v>
      </c>
      <c r="G72" s="240">
        <f t="shared" si="16"/>
        <v>0.10492994125272309</v>
      </c>
      <c r="H72" s="241">
        <f t="shared" si="17"/>
        <v>0.89507005874727685</v>
      </c>
      <c r="I72" s="156"/>
    </row>
    <row r="73" spans="1:9" ht="15.75" thickBot="1" x14ac:dyDescent="0.25">
      <c r="A73" s="166"/>
      <c r="B73" s="164"/>
      <c r="C73" s="225"/>
      <c r="D73" s="225"/>
      <c r="E73" s="225"/>
      <c r="F73" s="165"/>
      <c r="G73" s="240"/>
      <c r="H73" s="241"/>
      <c r="I73" s="156"/>
    </row>
    <row r="74" spans="1:9" ht="17.25" thickTop="1" thickBot="1" x14ac:dyDescent="0.3">
      <c r="A74" s="173" t="s">
        <v>14</v>
      </c>
      <c r="B74" s="174"/>
      <c r="C74" s="227">
        <f>SUM(C65:C73)</f>
        <v>393888180.13999999</v>
      </c>
      <c r="D74" s="229">
        <f>SUM(D65:D73)</f>
        <v>40683081.439999998</v>
      </c>
      <c r="E74" s="270">
        <f>SUM(E65:E73)</f>
        <v>39217904.700000003</v>
      </c>
      <c r="F74" s="271">
        <f>(+D74-E74)/E74</f>
        <v>3.7359893426432714E-2</v>
      </c>
      <c r="G74" s="248">
        <f>D74/C74</f>
        <v>0.10328586510399976</v>
      </c>
      <c r="H74" s="269">
        <f>1-G74</f>
        <v>0.89671413489600027</v>
      </c>
      <c r="I74" s="156"/>
    </row>
    <row r="75" spans="1:9" ht="15.75" thickTop="1" x14ac:dyDescent="0.2">
      <c r="A75" s="166"/>
      <c r="B75" s="167"/>
      <c r="C75" s="225"/>
      <c r="D75" s="225"/>
      <c r="E75" s="225"/>
      <c r="F75" s="165"/>
      <c r="G75" s="240"/>
      <c r="H75" s="241"/>
      <c r="I75" s="156"/>
    </row>
    <row r="76" spans="1:9" ht="15.75" x14ac:dyDescent="0.25">
      <c r="A76" s="289" t="s">
        <v>67</v>
      </c>
      <c r="B76" s="164">
        <f>DATE(24,7,1)</f>
        <v>8949</v>
      </c>
      <c r="C76" s="225">
        <v>96961191.780000001</v>
      </c>
      <c r="D76" s="225">
        <v>10638892.560000001</v>
      </c>
      <c r="E76" s="225">
        <v>9977929.8800000008</v>
      </c>
      <c r="F76" s="165">
        <f t="shared" ref="F76:F83" si="18">(+D76-E76)/E76</f>
        <v>6.6242465917188798E-2</v>
      </c>
      <c r="G76" s="240">
        <f t="shared" ref="G76:G83" si="19">D76/C76</f>
        <v>0.10972320332178986</v>
      </c>
      <c r="H76" s="241">
        <f t="shared" ref="H76:H83" si="20">1-G76</f>
        <v>0.89027679667821014</v>
      </c>
      <c r="I76" s="156"/>
    </row>
    <row r="77" spans="1:9" ht="15.75" x14ac:dyDescent="0.25">
      <c r="A77" s="289"/>
      <c r="B77" s="164">
        <f>DATE(24,8,1)</f>
        <v>8980</v>
      </c>
      <c r="C77" s="225">
        <v>103358368.09</v>
      </c>
      <c r="D77" s="225">
        <v>11116423.300000001</v>
      </c>
      <c r="E77" s="225">
        <v>9956028.8800000008</v>
      </c>
      <c r="F77" s="165">
        <f t="shared" si="18"/>
        <v>0.11655193390720657</v>
      </c>
      <c r="G77" s="240">
        <f t="shared" si="19"/>
        <v>0.10755223312272402</v>
      </c>
      <c r="H77" s="241">
        <f t="shared" si="20"/>
        <v>0.89244776687727601</v>
      </c>
      <c r="I77" s="156"/>
    </row>
    <row r="78" spans="1:9" ht="15.75" x14ac:dyDescent="0.25">
      <c r="A78" s="289"/>
      <c r="B78" s="164">
        <f>DATE(24,9,1)</f>
        <v>9011</v>
      </c>
      <c r="C78" s="225">
        <v>92952299.620000005</v>
      </c>
      <c r="D78" s="225">
        <v>10219644.369999999</v>
      </c>
      <c r="E78" s="225">
        <v>10479555.779999999</v>
      </c>
      <c r="F78" s="165">
        <f t="shared" si="18"/>
        <v>-2.4801758343233914E-2</v>
      </c>
      <c r="G78" s="240">
        <f t="shared" si="19"/>
        <v>0.10994504075508744</v>
      </c>
      <c r="H78" s="241">
        <f t="shared" si="20"/>
        <v>0.89005495924491251</v>
      </c>
      <c r="I78" s="156"/>
    </row>
    <row r="79" spans="1:9" ht="15.75" x14ac:dyDescent="0.25">
      <c r="A79" s="289"/>
      <c r="B79" s="164">
        <f>DATE(24,10,1)</f>
        <v>9041</v>
      </c>
      <c r="C79" s="225">
        <v>95954433.400000006</v>
      </c>
      <c r="D79" s="225">
        <v>10771197.369999999</v>
      </c>
      <c r="E79" s="225">
        <v>10708668.119999999</v>
      </c>
      <c r="F79" s="165">
        <f t="shared" si="18"/>
        <v>5.8391248378701277E-3</v>
      </c>
      <c r="G79" s="240">
        <f t="shared" si="19"/>
        <v>0.11225325384496511</v>
      </c>
      <c r="H79" s="241">
        <f t="shared" si="20"/>
        <v>0.8877467461550349</v>
      </c>
      <c r="I79" s="156"/>
    </row>
    <row r="80" spans="1:9" ht="15.75" x14ac:dyDescent="0.25">
      <c r="A80" s="289"/>
      <c r="B80" s="164">
        <f>DATE(24,11,1)</f>
        <v>9072</v>
      </c>
      <c r="C80" s="225">
        <v>87810107.760000005</v>
      </c>
      <c r="D80" s="225">
        <v>9849647.8100000005</v>
      </c>
      <c r="E80" s="225">
        <v>10522780.289999999</v>
      </c>
      <c r="F80" s="165">
        <f t="shared" si="18"/>
        <v>-6.3969071048617196E-2</v>
      </c>
      <c r="G80" s="240">
        <f t="shared" si="19"/>
        <v>0.11216986359839994</v>
      </c>
      <c r="H80" s="241">
        <f t="shared" si="20"/>
        <v>0.88783013640160002</v>
      </c>
      <c r="I80" s="156"/>
    </row>
    <row r="81" spans="1:9" ht="15.75" x14ac:dyDescent="0.25">
      <c r="A81" s="289"/>
      <c r="B81" s="164">
        <f>DATE(24,12,1)</f>
        <v>9102</v>
      </c>
      <c r="C81" s="225">
        <v>88528262.730000004</v>
      </c>
      <c r="D81" s="225">
        <v>9955704.7599999998</v>
      </c>
      <c r="E81" s="225">
        <v>10763645.630000001</v>
      </c>
      <c r="F81" s="165">
        <f t="shared" si="18"/>
        <v>-7.5062009450417119E-2</v>
      </c>
      <c r="G81" s="240">
        <f t="shared" si="19"/>
        <v>0.11245792533355861</v>
      </c>
      <c r="H81" s="241">
        <f t="shared" si="20"/>
        <v>0.88754207466644142</v>
      </c>
      <c r="I81" s="156"/>
    </row>
    <row r="82" spans="1:9" ht="15.75" x14ac:dyDescent="0.25">
      <c r="A82" s="289"/>
      <c r="B82" s="164">
        <f>DATE(25,1,1)</f>
        <v>9133</v>
      </c>
      <c r="C82" s="225">
        <v>77921173.939999998</v>
      </c>
      <c r="D82" s="225">
        <v>8356220.0700000003</v>
      </c>
      <c r="E82" s="225">
        <v>8504931.5700000003</v>
      </c>
      <c r="F82" s="165">
        <f t="shared" si="18"/>
        <v>-1.748532586958839E-2</v>
      </c>
      <c r="G82" s="240">
        <f t="shared" si="19"/>
        <v>0.10723940166038007</v>
      </c>
      <c r="H82" s="241">
        <f t="shared" si="20"/>
        <v>0.89276059833961996</v>
      </c>
      <c r="I82" s="156"/>
    </row>
    <row r="83" spans="1:9" ht="15.75" x14ac:dyDescent="0.25">
      <c r="A83" s="289"/>
      <c r="B83" s="164">
        <f>DATE(25,2,1)</f>
        <v>9164</v>
      </c>
      <c r="C83" s="225">
        <v>80479770.120000005</v>
      </c>
      <c r="D83" s="225">
        <v>9040094.6699999999</v>
      </c>
      <c r="E83" s="225">
        <v>10006367.91</v>
      </c>
      <c r="F83" s="165">
        <f t="shared" si="18"/>
        <v>-9.6565831747435743E-2</v>
      </c>
      <c r="G83" s="240">
        <f t="shared" si="19"/>
        <v>0.11232754090277214</v>
      </c>
      <c r="H83" s="241">
        <f t="shared" si="20"/>
        <v>0.88767245909722781</v>
      </c>
      <c r="I83" s="156"/>
    </row>
    <row r="84" spans="1:9" ht="15.75" thickBot="1" x14ac:dyDescent="0.25">
      <c r="A84" s="166"/>
      <c r="B84" s="164"/>
      <c r="C84" s="225"/>
      <c r="D84" s="225"/>
      <c r="E84" s="225"/>
      <c r="F84" s="165"/>
      <c r="G84" s="240"/>
      <c r="H84" s="241"/>
      <c r="I84" s="156"/>
    </row>
    <row r="85" spans="1:9" ht="17.25" thickTop="1" thickBot="1" x14ac:dyDescent="0.3">
      <c r="A85" s="173" t="s">
        <v>14</v>
      </c>
      <c r="B85" s="174"/>
      <c r="C85" s="227">
        <f>SUM(C76:C84)</f>
        <v>723965607.43999994</v>
      </c>
      <c r="D85" s="229">
        <f>SUM(D76:D84)</f>
        <v>79947824.909999996</v>
      </c>
      <c r="E85" s="270">
        <f>SUM(E76:E84)</f>
        <v>80919908.060000002</v>
      </c>
      <c r="F85" s="271">
        <f>(+D85-E85)/E85</f>
        <v>-1.2012904775907947E-2</v>
      </c>
      <c r="G85" s="248">
        <f>D85/C85</f>
        <v>0.11043041836296875</v>
      </c>
      <c r="H85" s="269">
        <f>1-G85</f>
        <v>0.88956958163703126</v>
      </c>
      <c r="I85" s="156"/>
    </row>
    <row r="86" spans="1:9" ht="15.75" thickTop="1" x14ac:dyDescent="0.2">
      <c r="A86" s="166"/>
      <c r="B86" s="167"/>
      <c r="C86" s="225"/>
      <c r="D86" s="225"/>
      <c r="E86" s="225"/>
      <c r="F86" s="165"/>
      <c r="G86" s="240"/>
      <c r="H86" s="241"/>
      <c r="I86" s="156"/>
    </row>
    <row r="87" spans="1:9" ht="15.75" x14ac:dyDescent="0.25">
      <c r="A87" s="163" t="s">
        <v>69</v>
      </c>
      <c r="B87" s="164">
        <f>DATE(24,7,1)</f>
        <v>8949</v>
      </c>
      <c r="C87" s="225">
        <v>98195046.150000006</v>
      </c>
      <c r="D87" s="225">
        <v>10449496.5</v>
      </c>
      <c r="E87" s="225">
        <v>12329543.52</v>
      </c>
      <c r="F87" s="165">
        <f t="shared" ref="F87:F94" si="21">(+D87-E87)/E87</f>
        <v>-0.15248310020158798</v>
      </c>
      <c r="G87" s="240">
        <f t="shared" ref="G87:G94" si="22">D87/C87</f>
        <v>0.10641571962843871</v>
      </c>
      <c r="H87" s="241">
        <f t="shared" ref="H87:H94" si="23">1-G87</f>
        <v>0.89358428037156123</v>
      </c>
      <c r="I87" s="156"/>
    </row>
    <row r="88" spans="1:9" ht="15.75" x14ac:dyDescent="0.25">
      <c r="A88" s="163"/>
      <c r="B88" s="164">
        <f>DATE(24,8,1)</f>
        <v>8980</v>
      </c>
      <c r="C88" s="225">
        <v>100939375.79000001</v>
      </c>
      <c r="D88" s="225">
        <v>10275632.210000001</v>
      </c>
      <c r="E88" s="225">
        <v>11665095.210000001</v>
      </c>
      <c r="F88" s="165">
        <f t="shared" si="21"/>
        <v>-0.11911287263295298</v>
      </c>
      <c r="G88" s="240">
        <f t="shared" si="22"/>
        <v>0.10180003719636634</v>
      </c>
      <c r="H88" s="241">
        <f t="shared" si="23"/>
        <v>0.89819996280363368</v>
      </c>
      <c r="I88" s="156"/>
    </row>
    <row r="89" spans="1:9" ht="15.75" x14ac:dyDescent="0.25">
      <c r="A89" s="163"/>
      <c r="B89" s="164">
        <f>DATE(24,9,1)</f>
        <v>9011</v>
      </c>
      <c r="C89" s="225">
        <v>92743358.060000002</v>
      </c>
      <c r="D89" s="225">
        <v>9114774.1799999997</v>
      </c>
      <c r="E89" s="225">
        <v>12009719.560000001</v>
      </c>
      <c r="F89" s="165">
        <f t="shared" si="21"/>
        <v>-0.24105020650457226</v>
      </c>
      <c r="G89" s="240">
        <f t="shared" si="22"/>
        <v>9.8279535814340763E-2</v>
      </c>
      <c r="H89" s="241">
        <f t="shared" si="23"/>
        <v>0.90172046418565921</v>
      </c>
      <c r="I89" s="156"/>
    </row>
    <row r="90" spans="1:9" ht="15.75" x14ac:dyDescent="0.25">
      <c r="A90" s="163"/>
      <c r="B90" s="164">
        <f>DATE(24,10,1)</f>
        <v>9041</v>
      </c>
      <c r="C90" s="225">
        <v>93510318.420000002</v>
      </c>
      <c r="D90" s="225">
        <v>9368778.4199999999</v>
      </c>
      <c r="E90" s="225">
        <v>10536048.18</v>
      </c>
      <c r="F90" s="165">
        <f t="shared" si="21"/>
        <v>-0.11078819497197856</v>
      </c>
      <c r="G90" s="240">
        <f t="shared" si="22"/>
        <v>0.1001897820294044</v>
      </c>
      <c r="H90" s="241">
        <f t="shared" si="23"/>
        <v>0.89981021797059557</v>
      </c>
      <c r="I90" s="156"/>
    </row>
    <row r="91" spans="1:9" ht="15.75" x14ac:dyDescent="0.25">
      <c r="A91" s="163"/>
      <c r="B91" s="164">
        <f>DATE(24,11,1)</f>
        <v>9072</v>
      </c>
      <c r="C91" s="225">
        <v>94910870.790000007</v>
      </c>
      <c r="D91" s="225">
        <v>9909604.9700000007</v>
      </c>
      <c r="E91" s="225">
        <v>10658883.08</v>
      </c>
      <c r="F91" s="165">
        <f t="shared" si="21"/>
        <v>-7.0296118681132905E-2</v>
      </c>
      <c r="G91" s="240">
        <f t="shared" si="22"/>
        <v>0.10440958856995437</v>
      </c>
      <c r="H91" s="241">
        <f t="shared" si="23"/>
        <v>0.89559041143004559</v>
      </c>
      <c r="I91" s="156"/>
    </row>
    <row r="92" spans="1:9" ht="15.75" x14ac:dyDescent="0.25">
      <c r="A92" s="163"/>
      <c r="B92" s="164">
        <f>DATE(24,12,1)</f>
        <v>9102</v>
      </c>
      <c r="C92" s="225">
        <v>105214561.76000001</v>
      </c>
      <c r="D92" s="225">
        <v>11021433.1</v>
      </c>
      <c r="E92" s="225">
        <v>12581806.52</v>
      </c>
      <c r="F92" s="165">
        <f t="shared" si="21"/>
        <v>-0.1240182335914668</v>
      </c>
      <c r="G92" s="240">
        <f t="shared" si="22"/>
        <v>0.10475197459017577</v>
      </c>
      <c r="H92" s="241">
        <f t="shared" si="23"/>
        <v>0.89524802540982429</v>
      </c>
      <c r="I92" s="156"/>
    </row>
    <row r="93" spans="1:9" ht="15.75" x14ac:dyDescent="0.25">
      <c r="A93" s="163"/>
      <c r="B93" s="164">
        <f>DATE(25,1,1)</f>
        <v>9133</v>
      </c>
      <c r="C93" s="225">
        <v>89372629.090000004</v>
      </c>
      <c r="D93" s="225">
        <v>9200834.5999999996</v>
      </c>
      <c r="E93" s="225">
        <v>9437829.5099999998</v>
      </c>
      <c r="F93" s="165">
        <f t="shared" si="21"/>
        <v>-2.5111166688155204E-2</v>
      </c>
      <c r="G93" s="240">
        <f t="shared" si="22"/>
        <v>0.10294913211890161</v>
      </c>
      <c r="H93" s="241">
        <f t="shared" si="23"/>
        <v>0.89705086788109845</v>
      </c>
      <c r="I93" s="156"/>
    </row>
    <row r="94" spans="1:9" ht="15.75" x14ac:dyDescent="0.25">
      <c r="A94" s="163"/>
      <c r="B94" s="164">
        <f>DATE(25,2,1)</f>
        <v>9164</v>
      </c>
      <c r="C94" s="225">
        <v>107635958.17</v>
      </c>
      <c r="D94" s="225">
        <v>10606038.84</v>
      </c>
      <c r="E94" s="225">
        <v>10885967.029999999</v>
      </c>
      <c r="F94" s="165">
        <f t="shared" si="21"/>
        <v>-2.5714591016908445E-2</v>
      </c>
      <c r="G94" s="240">
        <f t="shared" si="22"/>
        <v>9.853620500361826E-2</v>
      </c>
      <c r="H94" s="241">
        <f t="shared" si="23"/>
        <v>0.90146379499638174</v>
      </c>
      <c r="I94" s="156"/>
    </row>
    <row r="95" spans="1:9" ht="15.75" thickBot="1" x14ac:dyDescent="0.25">
      <c r="A95" s="166"/>
      <c r="B95" s="164"/>
      <c r="C95" s="225"/>
      <c r="D95" s="225"/>
      <c r="E95" s="225"/>
      <c r="F95" s="165"/>
      <c r="G95" s="240"/>
      <c r="H95" s="241"/>
      <c r="I95" s="156"/>
    </row>
    <row r="96" spans="1:9" ht="17.25" thickTop="1" thickBot="1" x14ac:dyDescent="0.3">
      <c r="A96" s="173" t="s">
        <v>14</v>
      </c>
      <c r="B96" s="174"/>
      <c r="C96" s="227">
        <f>SUM(C87:C95)</f>
        <v>782522118.23000002</v>
      </c>
      <c r="D96" s="229">
        <f>SUM(D87:D95)</f>
        <v>79946592.820000008</v>
      </c>
      <c r="E96" s="270">
        <f>SUM(E87:E95)</f>
        <v>90104892.609999999</v>
      </c>
      <c r="F96" s="175">
        <f>(+D96-E96)/E96</f>
        <v>-0.11273860381775325</v>
      </c>
      <c r="G96" s="248">
        <f>D96/C96</f>
        <v>0.10216528192306251</v>
      </c>
      <c r="H96" s="269">
        <f>1-G96</f>
        <v>0.89783471807693749</v>
      </c>
      <c r="I96" s="156"/>
    </row>
    <row r="97" spans="1:9" ht="15.75" thickTop="1" x14ac:dyDescent="0.2">
      <c r="A97" s="166"/>
      <c r="B97" s="178"/>
      <c r="C97" s="228"/>
      <c r="D97" s="228"/>
      <c r="E97" s="228"/>
      <c r="F97" s="179"/>
      <c r="G97" s="246"/>
      <c r="H97" s="247"/>
      <c r="I97" s="156"/>
    </row>
    <row r="98" spans="1:9" ht="15.75" x14ac:dyDescent="0.25">
      <c r="A98" s="163" t="s">
        <v>16</v>
      </c>
      <c r="B98" s="164">
        <f>DATE(24,7,1)</f>
        <v>8949</v>
      </c>
      <c r="C98" s="225">
        <v>151481252</v>
      </c>
      <c r="D98" s="225">
        <v>14744546.640000001</v>
      </c>
      <c r="E98" s="225">
        <v>15534932.51</v>
      </c>
      <c r="F98" s="165">
        <f t="shared" ref="F98:F105" si="24">(+D98-E98)/E98</f>
        <v>-5.0877972562238007E-2</v>
      </c>
      <c r="G98" s="240">
        <f t="shared" ref="G98:G105" si="25">D98/C98</f>
        <v>9.7335785421155618E-2</v>
      </c>
      <c r="H98" s="241">
        <f t="shared" ref="H98:H105" si="26">1-G98</f>
        <v>0.90266421457884438</v>
      </c>
      <c r="I98" s="156"/>
    </row>
    <row r="99" spans="1:9" ht="15.75" x14ac:dyDescent="0.25">
      <c r="A99" s="163"/>
      <c r="B99" s="164">
        <f>DATE(24,8,1)</f>
        <v>8980</v>
      </c>
      <c r="C99" s="225">
        <v>158229059.27000001</v>
      </c>
      <c r="D99" s="225">
        <v>15706191.880000001</v>
      </c>
      <c r="E99" s="225">
        <v>14573354.48</v>
      </c>
      <c r="F99" s="165">
        <f t="shared" si="24"/>
        <v>7.7733469089403526E-2</v>
      </c>
      <c r="G99" s="240">
        <f t="shared" si="25"/>
        <v>9.9262372869190596E-2</v>
      </c>
      <c r="H99" s="241">
        <f t="shared" si="26"/>
        <v>0.9007376271308094</v>
      </c>
      <c r="I99" s="156"/>
    </row>
    <row r="100" spans="1:9" ht="15.75" x14ac:dyDescent="0.25">
      <c r="A100" s="163"/>
      <c r="B100" s="164">
        <f>DATE(24,9,1)</f>
        <v>9011</v>
      </c>
      <c r="C100" s="225">
        <v>144531767.61000001</v>
      </c>
      <c r="D100" s="225">
        <v>14330045.689999999</v>
      </c>
      <c r="E100" s="225">
        <v>14733622.32</v>
      </c>
      <c r="F100" s="165">
        <f t="shared" si="24"/>
        <v>-2.739154168843937E-2</v>
      </c>
      <c r="G100" s="240">
        <f t="shared" si="25"/>
        <v>9.9148069154372659E-2</v>
      </c>
      <c r="H100" s="241">
        <f t="shared" si="26"/>
        <v>0.90085193084562731</v>
      </c>
      <c r="I100" s="156"/>
    </row>
    <row r="101" spans="1:9" ht="15.75" x14ac:dyDescent="0.25">
      <c r="A101" s="163"/>
      <c r="B101" s="164">
        <f>DATE(24,10,1)</f>
        <v>9041</v>
      </c>
      <c r="C101" s="225">
        <v>141890232.83000001</v>
      </c>
      <c r="D101" s="225">
        <v>13581004.15</v>
      </c>
      <c r="E101" s="225">
        <v>13951699.710000001</v>
      </c>
      <c r="F101" s="165">
        <f t="shared" si="24"/>
        <v>-2.6569921063761232E-2</v>
      </c>
      <c r="G101" s="240">
        <f t="shared" si="25"/>
        <v>9.5714862673257614E-2</v>
      </c>
      <c r="H101" s="241">
        <f t="shared" si="26"/>
        <v>0.90428513732674243</v>
      </c>
      <c r="I101" s="156"/>
    </row>
    <row r="102" spans="1:9" ht="15.75" x14ac:dyDescent="0.25">
      <c r="A102" s="163"/>
      <c r="B102" s="164">
        <f>DATE(24,11,1)</f>
        <v>9072</v>
      </c>
      <c r="C102" s="225">
        <v>147917349.22999999</v>
      </c>
      <c r="D102" s="225">
        <v>14427428.6</v>
      </c>
      <c r="E102" s="225">
        <v>12735247.210000001</v>
      </c>
      <c r="F102" s="165">
        <f t="shared" si="24"/>
        <v>0.13287385490807435</v>
      </c>
      <c r="G102" s="240">
        <f t="shared" si="25"/>
        <v>9.7537095378625732E-2</v>
      </c>
      <c r="H102" s="241">
        <f t="shared" si="26"/>
        <v>0.90246290462137424</v>
      </c>
      <c r="I102" s="156"/>
    </row>
    <row r="103" spans="1:9" ht="15.75" x14ac:dyDescent="0.25">
      <c r="A103" s="163"/>
      <c r="B103" s="164">
        <f>DATE(24,12,1)</f>
        <v>9102</v>
      </c>
      <c r="C103" s="225">
        <v>157563972.93000001</v>
      </c>
      <c r="D103" s="225">
        <v>15257011.199999999</v>
      </c>
      <c r="E103" s="225">
        <v>15817366.869999999</v>
      </c>
      <c r="F103" s="165">
        <f t="shared" si="24"/>
        <v>-3.542660890434287E-2</v>
      </c>
      <c r="G103" s="240">
        <f t="shared" si="25"/>
        <v>9.6830581993373188E-2</v>
      </c>
      <c r="H103" s="241">
        <f t="shared" si="26"/>
        <v>0.90316941800662676</v>
      </c>
      <c r="I103" s="156"/>
    </row>
    <row r="104" spans="1:9" ht="15.75" x14ac:dyDescent="0.25">
      <c r="A104" s="163"/>
      <c r="B104" s="164">
        <f>DATE(25,1,1)</f>
        <v>9133</v>
      </c>
      <c r="C104" s="225">
        <v>133340246.81999999</v>
      </c>
      <c r="D104" s="225">
        <v>12855639.5</v>
      </c>
      <c r="E104" s="225">
        <v>12314089.77</v>
      </c>
      <c r="F104" s="165">
        <f t="shared" si="24"/>
        <v>4.3978056041084103E-2</v>
      </c>
      <c r="G104" s="240">
        <f t="shared" si="25"/>
        <v>9.6412297161518043E-2</v>
      </c>
      <c r="H104" s="241">
        <f t="shared" si="26"/>
        <v>0.903587702838482</v>
      </c>
      <c r="I104" s="156"/>
    </row>
    <row r="105" spans="1:9" ht="15.75" x14ac:dyDescent="0.25">
      <c r="A105" s="163"/>
      <c r="B105" s="164">
        <f>DATE(25,2,1)</f>
        <v>9164</v>
      </c>
      <c r="C105" s="225">
        <v>139325317.34</v>
      </c>
      <c r="D105" s="225">
        <v>13452340.16</v>
      </c>
      <c r="E105" s="225">
        <v>14557071.74</v>
      </c>
      <c r="F105" s="165">
        <f t="shared" si="24"/>
        <v>-7.5889684390605339E-2</v>
      </c>
      <c r="G105" s="240">
        <f t="shared" si="25"/>
        <v>9.6553450706821836E-2</v>
      </c>
      <c r="H105" s="241">
        <f t="shared" si="26"/>
        <v>0.90344654929317814</v>
      </c>
      <c r="I105" s="156"/>
    </row>
    <row r="106" spans="1:9" ht="15.75" customHeight="1" thickBot="1" x14ac:dyDescent="0.3">
      <c r="A106" s="163"/>
      <c r="B106" s="164"/>
      <c r="C106" s="225"/>
      <c r="D106" s="225"/>
      <c r="E106" s="225"/>
      <c r="F106" s="165"/>
      <c r="G106" s="240"/>
      <c r="H106" s="241"/>
      <c r="I106" s="156"/>
    </row>
    <row r="107" spans="1:9" ht="17.25" thickTop="1" thickBot="1" x14ac:dyDescent="0.3">
      <c r="A107" s="173" t="s">
        <v>14</v>
      </c>
      <c r="B107" s="180"/>
      <c r="C107" s="227">
        <f>SUM(C98:C106)</f>
        <v>1174279198.03</v>
      </c>
      <c r="D107" s="227">
        <f>SUM(D98:D106)</f>
        <v>114354207.81999999</v>
      </c>
      <c r="E107" s="227">
        <f>SUM(E98:E106)</f>
        <v>114217384.61</v>
      </c>
      <c r="F107" s="175">
        <f>(+D107-E107)/E107</f>
        <v>1.1979193050793621E-3</v>
      </c>
      <c r="G107" s="244">
        <f>D107/C107</f>
        <v>9.7382469187773629E-2</v>
      </c>
      <c r="H107" s="245">
        <f>1-G107</f>
        <v>0.9026175308122264</v>
      </c>
      <c r="I107" s="156"/>
    </row>
    <row r="108" spans="1:9" ht="15.75" thickTop="1" x14ac:dyDescent="0.2">
      <c r="A108" s="170"/>
      <c r="B108" s="171"/>
      <c r="C108" s="226"/>
      <c r="D108" s="226"/>
      <c r="E108" s="226"/>
      <c r="F108" s="172"/>
      <c r="G108" s="242"/>
      <c r="H108" s="243"/>
      <c r="I108" s="156"/>
    </row>
    <row r="109" spans="1:9" ht="15.75" x14ac:dyDescent="0.25">
      <c r="A109" s="163" t="s">
        <v>53</v>
      </c>
      <c r="B109" s="164">
        <f>DATE(24,7,1)</f>
        <v>8949</v>
      </c>
      <c r="C109" s="225">
        <v>199355720.71000001</v>
      </c>
      <c r="D109" s="225">
        <v>18005179.460000001</v>
      </c>
      <c r="E109" s="225">
        <v>19538214.289999999</v>
      </c>
      <c r="F109" s="165">
        <f t="shared" ref="F109:F116" si="27">(+D109-E109)/E109</f>
        <v>-7.8463405470203709E-2</v>
      </c>
      <c r="G109" s="240">
        <f t="shared" ref="G109:G116" si="28">D109/C109</f>
        <v>9.0316843659540041E-2</v>
      </c>
      <c r="H109" s="241">
        <f t="shared" ref="H109:H116" si="29">1-G109</f>
        <v>0.90968315634045993</v>
      </c>
      <c r="I109" s="156"/>
    </row>
    <row r="110" spans="1:9" ht="15.75" x14ac:dyDescent="0.25">
      <c r="A110" s="163"/>
      <c r="B110" s="164">
        <f>DATE(24,8,1)</f>
        <v>8980</v>
      </c>
      <c r="C110" s="225">
        <v>206483807.88999999</v>
      </c>
      <c r="D110" s="225">
        <v>18616519.079999998</v>
      </c>
      <c r="E110" s="225">
        <v>18436883.300000001</v>
      </c>
      <c r="F110" s="165">
        <f t="shared" si="27"/>
        <v>9.743283453987988E-3</v>
      </c>
      <c r="G110" s="240">
        <f t="shared" si="28"/>
        <v>9.0159704386687634E-2</v>
      </c>
      <c r="H110" s="241">
        <f t="shared" si="29"/>
        <v>0.90984029561331237</v>
      </c>
      <c r="I110" s="156"/>
    </row>
    <row r="111" spans="1:9" ht="15.75" x14ac:dyDescent="0.25">
      <c r="A111" s="163"/>
      <c r="B111" s="164">
        <f>DATE(24,9,1)</f>
        <v>9011</v>
      </c>
      <c r="C111" s="225">
        <v>192127916.56</v>
      </c>
      <c r="D111" s="225">
        <v>17799029.699999999</v>
      </c>
      <c r="E111" s="225">
        <v>17898589.149999999</v>
      </c>
      <c r="F111" s="165">
        <f t="shared" si="27"/>
        <v>-5.5624188680815246E-3</v>
      </c>
      <c r="G111" s="240">
        <f t="shared" si="28"/>
        <v>9.2641558908704999E-2</v>
      </c>
      <c r="H111" s="241">
        <f t="shared" si="29"/>
        <v>0.90735844109129504</v>
      </c>
      <c r="I111" s="156"/>
    </row>
    <row r="112" spans="1:9" ht="15.75" x14ac:dyDescent="0.25">
      <c r="A112" s="163"/>
      <c r="B112" s="164">
        <f>DATE(24,10,1)</f>
        <v>9041</v>
      </c>
      <c r="C112" s="225">
        <v>195930574.16</v>
      </c>
      <c r="D112" s="225">
        <v>18415945.390000001</v>
      </c>
      <c r="E112" s="225">
        <v>17243191.43</v>
      </c>
      <c r="F112" s="165">
        <f t="shared" si="27"/>
        <v>6.8012581357742366E-2</v>
      </c>
      <c r="G112" s="240">
        <f t="shared" si="28"/>
        <v>9.3992198353694656E-2</v>
      </c>
      <c r="H112" s="241">
        <f t="shared" si="29"/>
        <v>0.90600780164630534</v>
      </c>
      <c r="I112" s="156"/>
    </row>
    <row r="113" spans="1:9" ht="15.75" x14ac:dyDescent="0.25">
      <c r="A113" s="163"/>
      <c r="B113" s="164">
        <f>DATE(24,11,1)</f>
        <v>9072</v>
      </c>
      <c r="C113" s="225">
        <v>197686789.69</v>
      </c>
      <c r="D113" s="225">
        <v>18255156.379999999</v>
      </c>
      <c r="E113" s="225">
        <v>17317167.579999998</v>
      </c>
      <c r="F113" s="165">
        <f t="shared" si="27"/>
        <v>5.4165255124244797E-2</v>
      </c>
      <c r="G113" s="240">
        <f t="shared" si="28"/>
        <v>9.2343835461269758E-2</v>
      </c>
      <c r="H113" s="241">
        <f t="shared" si="29"/>
        <v>0.90765616453873021</v>
      </c>
      <c r="I113" s="156"/>
    </row>
    <row r="114" spans="1:9" ht="15.75" x14ac:dyDescent="0.25">
      <c r="A114" s="163"/>
      <c r="B114" s="164">
        <f>DATE(24,12,1)</f>
        <v>9102</v>
      </c>
      <c r="C114" s="225">
        <v>204631524.47</v>
      </c>
      <c r="D114" s="225">
        <v>18839339.469999999</v>
      </c>
      <c r="E114" s="225">
        <v>19257637.91</v>
      </c>
      <c r="F114" s="165">
        <f t="shared" si="27"/>
        <v>-2.1721170683284559E-2</v>
      </c>
      <c r="G114" s="240">
        <f t="shared" si="28"/>
        <v>9.2064697845526441E-2</v>
      </c>
      <c r="H114" s="241">
        <f t="shared" si="29"/>
        <v>0.9079353021544736</v>
      </c>
      <c r="I114" s="156"/>
    </row>
    <row r="115" spans="1:9" ht="15.75" x14ac:dyDescent="0.25">
      <c r="A115" s="163"/>
      <c r="B115" s="164">
        <f>DATE(25,1,1)</f>
        <v>9133</v>
      </c>
      <c r="C115" s="225">
        <v>178657243.59</v>
      </c>
      <c r="D115" s="225">
        <v>16638394.73</v>
      </c>
      <c r="E115" s="225">
        <v>15797155.789999999</v>
      </c>
      <c r="F115" s="165">
        <f t="shared" si="27"/>
        <v>5.3252557054132933E-2</v>
      </c>
      <c r="G115" s="240">
        <f t="shared" si="28"/>
        <v>9.3130255430243877E-2</v>
      </c>
      <c r="H115" s="241">
        <f t="shared" si="29"/>
        <v>0.90686974456975611</v>
      </c>
      <c r="I115" s="156"/>
    </row>
    <row r="116" spans="1:9" ht="15.75" x14ac:dyDescent="0.25">
      <c r="A116" s="163"/>
      <c r="B116" s="164">
        <f>DATE(25,2,1)</f>
        <v>9164</v>
      </c>
      <c r="C116" s="225">
        <v>184139457.44</v>
      </c>
      <c r="D116" s="225">
        <v>17966102.890000001</v>
      </c>
      <c r="E116" s="225">
        <v>18190190.059999999</v>
      </c>
      <c r="F116" s="165">
        <f t="shared" si="27"/>
        <v>-1.2319121969635872E-2</v>
      </c>
      <c r="G116" s="240">
        <f t="shared" si="28"/>
        <v>9.7567914773801681E-2</v>
      </c>
      <c r="H116" s="241">
        <f t="shared" si="29"/>
        <v>0.90243208522619833</v>
      </c>
      <c r="I116" s="156"/>
    </row>
    <row r="117" spans="1:9" ht="15.75" thickBot="1" x14ac:dyDescent="0.25">
      <c r="A117" s="166"/>
      <c r="B117" s="167"/>
      <c r="C117" s="225"/>
      <c r="D117" s="225"/>
      <c r="E117" s="225"/>
      <c r="F117" s="165"/>
      <c r="G117" s="240"/>
      <c r="H117" s="241"/>
      <c r="I117" s="156"/>
    </row>
    <row r="118" spans="1:9" ht="17.25" thickTop="1" thickBot="1" x14ac:dyDescent="0.3">
      <c r="A118" s="173" t="s">
        <v>14</v>
      </c>
      <c r="B118" s="174"/>
      <c r="C118" s="227">
        <f>SUM(C109:C117)</f>
        <v>1559013034.51</v>
      </c>
      <c r="D118" s="227">
        <f>SUM(D109:D117)</f>
        <v>144535667.09999999</v>
      </c>
      <c r="E118" s="227">
        <f>SUM(E109:E117)</f>
        <v>143679029.50999999</v>
      </c>
      <c r="F118" s="175">
        <f>(+D118-E118)/E118</f>
        <v>5.9621615828103994E-3</v>
      </c>
      <c r="G118" s="248">
        <f>D118/C118</f>
        <v>9.2709723331740948E-2</v>
      </c>
      <c r="H118" s="269">
        <f>1-G118</f>
        <v>0.90729027666825901</v>
      </c>
      <c r="I118" s="156"/>
    </row>
    <row r="119" spans="1:9" ht="15.75" thickTop="1" x14ac:dyDescent="0.2">
      <c r="A119" s="166"/>
      <c r="B119" s="167"/>
      <c r="C119" s="225"/>
      <c r="D119" s="225"/>
      <c r="E119" s="225"/>
      <c r="F119" s="165"/>
      <c r="G119" s="240"/>
      <c r="H119" s="241"/>
      <c r="I119" s="156"/>
    </row>
    <row r="120" spans="1:9" ht="15.75" x14ac:dyDescent="0.25">
      <c r="A120" s="163" t="s">
        <v>54</v>
      </c>
      <c r="B120" s="164">
        <f>DATE(24,7,1)</f>
        <v>8949</v>
      </c>
      <c r="C120" s="225">
        <v>26342389.710000001</v>
      </c>
      <c r="D120" s="225">
        <v>2829692.37</v>
      </c>
      <c r="E120" s="225">
        <v>3124210.48</v>
      </c>
      <c r="F120" s="165">
        <f t="shared" ref="F120:F127" si="30">(+D120-E120)/E120</f>
        <v>-9.4269612078120887E-2</v>
      </c>
      <c r="G120" s="240">
        <f t="shared" ref="G120:G127" si="31">D120/C120</f>
        <v>0.10741972923306205</v>
      </c>
      <c r="H120" s="241">
        <f t="shared" ref="H120:H127" si="32">1-G120</f>
        <v>0.89258027076693791</v>
      </c>
      <c r="I120" s="156"/>
    </row>
    <row r="121" spans="1:9" ht="15.75" x14ac:dyDescent="0.25">
      <c r="A121" s="163"/>
      <c r="B121" s="164">
        <f>DATE(24,8,1)</f>
        <v>8980</v>
      </c>
      <c r="C121" s="225">
        <v>24520575.949999999</v>
      </c>
      <c r="D121" s="225">
        <v>2718513.58</v>
      </c>
      <c r="E121" s="225">
        <v>2824739.23</v>
      </c>
      <c r="F121" s="165">
        <f t="shared" si="30"/>
        <v>-3.7605471284512131E-2</v>
      </c>
      <c r="G121" s="240">
        <f t="shared" si="31"/>
        <v>0.11086662831832872</v>
      </c>
      <c r="H121" s="241">
        <f t="shared" si="32"/>
        <v>0.88913337168167128</v>
      </c>
      <c r="I121" s="156"/>
    </row>
    <row r="122" spans="1:9" ht="15.75" x14ac:dyDescent="0.25">
      <c r="A122" s="163"/>
      <c r="B122" s="164">
        <f>DATE(24,9,1)</f>
        <v>9011</v>
      </c>
      <c r="C122" s="225">
        <v>22560708.02</v>
      </c>
      <c r="D122" s="225">
        <v>2469404.4700000002</v>
      </c>
      <c r="E122" s="225">
        <v>2831375.91</v>
      </c>
      <c r="F122" s="165">
        <f t="shared" si="30"/>
        <v>-0.12784294685900607</v>
      </c>
      <c r="G122" s="240">
        <f t="shared" si="31"/>
        <v>0.1094559828446377</v>
      </c>
      <c r="H122" s="241">
        <f t="shared" si="32"/>
        <v>0.89054401715536224</v>
      </c>
      <c r="I122" s="156"/>
    </row>
    <row r="123" spans="1:9" ht="15.75" x14ac:dyDescent="0.25">
      <c r="A123" s="163"/>
      <c r="B123" s="164">
        <f>DATE(24,10,1)</f>
        <v>9041</v>
      </c>
      <c r="C123" s="225">
        <v>22207272.640000001</v>
      </c>
      <c r="D123" s="225">
        <v>2475216.7799999998</v>
      </c>
      <c r="E123" s="225">
        <v>3046238.53</v>
      </c>
      <c r="F123" s="165">
        <f t="shared" si="30"/>
        <v>-0.18745142390408936</v>
      </c>
      <c r="G123" s="240">
        <f t="shared" si="31"/>
        <v>0.11145973754298896</v>
      </c>
      <c r="H123" s="241">
        <f t="shared" si="32"/>
        <v>0.88854026245701101</v>
      </c>
      <c r="I123" s="156"/>
    </row>
    <row r="124" spans="1:9" ht="15.75" x14ac:dyDescent="0.25">
      <c r="A124" s="163"/>
      <c r="B124" s="164">
        <f>DATE(24,11,1)</f>
        <v>9072</v>
      </c>
      <c r="C124" s="225">
        <v>22764918.050000001</v>
      </c>
      <c r="D124" s="225">
        <v>2520547.39</v>
      </c>
      <c r="E124" s="225">
        <v>2721817.54</v>
      </c>
      <c r="F124" s="165">
        <f t="shared" si="30"/>
        <v>-7.3946966334855757E-2</v>
      </c>
      <c r="G124" s="240">
        <f t="shared" si="31"/>
        <v>0.11072068805448654</v>
      </c>
      <c r="H124" s="241">
        <f t="shared" si="32"/>
        <v>0.88927931194551346</v>
      </c>
      <c r="I124" s="156"/>
    </row>
    <row r="125" spans="1:9" ht="15.75" x14ac:dyDescent="0.25">
      <c r="A125" s="163"/>
      <c r="B125" s="164">
        <f>DATE(24,12,1)</f>
        <v>9102</v>
      </c>
      <c r="C125" s="225">
        <v>23619518.34</v>
      </c>
      <c r="D125" s="225">
        <v>2529744.4500000002</v>
      </c>
      <c r="E125" s="225">
        <v>3202742.31</v>
      </c>
      <c r="F125" s="165">
        <f t="shared" si="30"/>
        <v>-0.21013175424656624</v>
      </c>
      <c r="G125" s="240">
        <f t="shared" si="31"/>
        <v>0.10710398127449708</v>
      </c>
      <c r="H125" s="241">
        <f t="shared" si="32"/>
        <v>0.89289601872550295</v>
      </c>
      <c r="I125" s="156"/>
    </row>
    <row r="126" spans="1:9" ht="15.75" x14ac:dyDescent="0.25">
      <c r="A126" s="163"/>
      <c r="B126" s="164">
        <f>DATE(25,1,1)</f>
        <v>9133</v>
      </c>
      <c r="C126" s="225">
        <v>21681942.600000001</v>
      </c>
      <c r="D126" s="225">
        <v>2327370.2200000002</v>
      </c>
      <c r="E126" s="225">
        <v>2214416.4300000002</v>
      </c>
      <c r="F126" s="165">
        <f t="shared" si="30"/>
        <v>5.1008377859624185E-2</v>
      </c>
      <c r="G126" s="240">
        <f t="shared" si="31"/>
        <v>0.10734140676121889</v>
      </c>
      <c r="H126" s="241">
        <f t="shared" si="32"/>
        <v>0.89265859323878116</v>
      </c>
      <c r="I126" s="156"/>
    </row>
    <row r="127" spans="1:9" ht="15.75" x14ac:dyDescent="0.25">
      <c r="A127" s="163"/>
      <c r="B127" s="164">
        <f>DATE(25,2,1)</f>
        <v>9164</v>
      </c>
      <c r="C127" s="225">
        <v>23139911.010000002</v>
      </c>
      <c r="D127" s="225">
        <v>2398819.19</v>
      </c>
      <c r="E127" s="225">
        <v>3115244.86</v>
      </c>
      <c r="F127" s="165">
        <f t="shared" si="30"/>
        <v>-0.22997411189051764</v>
      </c>
      <c r="G127" s="240">
        <f t="shared" si="31"/>
        <v>0.10366587792681402</v>
      </c>
      <c r="H127" s="241">
        <f t="shared" si="32"/>
        <v>0.89633412207318597</v>
      </c>
      <c r="I127" s="156"/>
    </row>
    <row r="128" spans="1:9" ht="15.75" thickBot="1" x14ac:dyDescent="0.25">
      <c r="A128" s="166"/>
      <c r="B128" s="167"/>
      <c r="C128" s="225"/>
      <c r="D128" s="225"/>
      <c r="E128" s="225"/>
      <c r="F128" s="165"/>
      <c r="G128" s="240"/>
      <c r="H128" s="241"/>
      <c r="I128" s="156"/>
    </row>
    <row r="129" spans="1:9" ht="17.25" thickTop="1" thickBot="1" x14ac:dyDescent="0.3">
      <c r="A129" s="181" t="s">
        <v>14</v>
      </c>
      <c r="B129" s="182"/>
      <c r="C129" s="229">
        <f>SUM(C120:C128)</f>
        <v>186837236.31999996</v>
      </c>
      <c r="D129" s="229">
        <f>SUM(D120:D128)</f>
        <v>20269308.449999999</v>
      </c>
      <c r="E129" s="229">
        <f>SUM(E120:E128)</f>
        <v>23080785.289999999</v>
      </c>
      <c r="F129" s="175">
        <f>(+D129-E129)/E129</f>
        <v>-0.12181027658613083</v>
      </c>
      <c r="G129" s="248">
        <f>D129/C129</f>
        <v>0.10848644975289796</v>
      </c>
      <c r="H129" s="245">
        <f>1-G129</f>
        <v>0.89151355024710199</v>
      </c>
      <c r="I129" s="156"/>
    </row>
    <row r="130" spans="1:9" ht="15.75" thickTop="1" x14ac:dyDescent="0.2">
      <c r="A130" s="166"/>
      <c r="B130" s="167"/>
      <c r="C130" s="225"/>
      <c r="D130" s="225"/>
      <c r="E130" s="225"/>
      <c r="F130" s="165"/>
      <c r="G130" s="240"/>
      <c r="H130" s="241"/>
      <c r="I130" s="156"/>
    </row>
    <row r="131" spans="1:9" ht="15.75" x14ac:dyDescent="0.25">
      <c r="A131" s="163" t="s">
        <v>37</v>
      </c>
      <c r="B131" s="164">
        <f>DATE(24,7,1)</f>
        <v>8949</v>
      </c>
      <c r="C131" s="225">
        <v>214526687.88</v>
      </c>
      <c r="D131" s="225">
        <v>19555438.370000001</v>
      </c>
      <c r="E131" s="225">
        <v>20801294.73</v>
      </c>
      <c r="F131" s="165">
        <f t="shared" ref="F131:F138" si="33">(+D131-E131)/E131</f>
        <v>-5.9893212233717498E-2</v>
      </c>
      <c r="G131" s="240">
        <f t="shared" ref="G131:G138" si="34">D131/C131</f>
        <v>9.1156203282916237E-2</v>
      </c>
      <c r="H131" s="241">
        <f t="shared" ref="H131:H138" si="35">1-G131</f>
        <v>0.90884379671708371</v>
      </c>
      <c r="I131" s="156"/>
    </row>
    <row r="132" spans="1:9" ht="15.75" x14ac:dyDescent="0.25">
      <c r="A132" s="163"/>
      <c r="B132" s="164">
        <f>DATE(24,8,1)</f>
        <v>8980</v>
      </c>
      <c r="C132" s="225">
        <v>226588625.44999999</v>
      </c>
      <c r="D132" s="225">
        <v>20551772.199999999</v>
      </c>
      <c r="E132" s="225">
        <v>20038616.34</v>
      </c>
      <c r="F132" s="165">
        <f t="shared" si="33"/>
        <v>2.5608347966404522E-2</v>
      </c>
      <c r="G132" s="240">
        <f t="shared" si="34"/>
        <v>9.0700811478001755E-2</v>
      </c>
      <c r="H132" s="241">
        <f t="shared" si="35"/>
        <v>0.9092991885219982</v>
      </c>
      <c r="I132" s="156"/>
    </row>
    <row r="133" spans="1:9" ht="15.75" x14ac:dyDescent="0.25">
      <c r="A133" s="163"/>
      <c r="B133" s="164">
        <f>DATE(24,9,1)</f>
        <v>9011</v>
      </c>
      <c r="C133" s="225">
        <v>210013954.52000001</v>
      </c>
      <c r="D133" s="225">
        <v>19042710.359999999</v>
      </c>
      <c r="E133" s="225">
        <v>19545369.489999998</v>
      </c>
      <c r="F133" s="165">
        <f t="shared" si="33"/>
        <v>-2.5717555774894641E-2</v>
      </c>
      <c r="G133" s="240">
        <f t="shared" si="34"/>
        <v>9.0673547876965133E-2</v>
      </c>
      <c r="H133" s="241">
        <f t="shared" si="35"/>
        <v>0.90932645212303487</v>
      </c>
      <c r="I133" s="156"/>
    </row>
    <row r="134" spans="1:9" ht="15.75" x14ac:dyDescent="0.25">
      <c r="A134" s="163"/>
      <c r="B134" s="164">
        <f>DATE(24,10,1)</f>
        <v>9041</v>
      </c>
      <c r="C134" s="225">
        <v>206575231.5</v>
      </c>
      <c r="D134" s="225">
        <v>18868532.739999998</v>
      </c>
      <c r="E134" s="225">
        <v>18492281.440000001</v>
      </c>
      <c r="F134" s="165">
        <f t="shared" si="33"/>
        <v>2.0346397020874943E-2</v>
      </c>
      <c r="G134" s="240">
        <f t="shared" si="34"/>
        <v>9.1339763257145365E-2</v>
      </c>
      <c r="H134" s="241">
        <f t="shared" si="35"/>
        <v>0.90866023674285468</v>
      </c>
      <c r="I134" s="156"/>
    </row>
    <row r="135" spans="1:9" ht="15.75" x14ac:dyDescent="0.25">
      <c r="A135" s="163"/>
      <c r="B135" s="164">
        <f>DATE(24,11,1)</f>
        <v>9072</v>
      </c>
      <c r="C135" s="225">
        <v>214833883.83000001</v>
      </c>
      <c r="D135" s="225">
        <v>19074076.34</v>
      </c>
      <c r="E135" s="225">
        <v>18402679.75</v>
      </c>
      <c r="F135" s="165">
        <f t="shared" si="33"/>
        <v>3.6483631684130123E-2</v>
      </c>
      <c r="G135" s="240">
        <f t="shared" si="34"/>
        <v>8.8785232571103587E-2</v>
      </c>
      <c r="H135" s="241">
        <f t="shared" si="35"/>
        <v>0.9112147674288964</v>
      </c>
      <c r="I135" s="156"/>
    </row>
    <row r="136" spans="1:9" ht="15.75" x14ac:dyDescent="0.25">
      <c r="A136" s="163"/>
      <c r="B136" s="164">
        <f>DATE(24,12,1)</f>
        <v>9102</v>
      </c>
      <c r="C136" s="225">
        <v>233900706.40000001</v>
      </c>
      <c r="D136" s="225">
        <v>21256764.370000001</v>
      </c>
      <c r="E136" s="225">
        <v>21541149.52</v>
      </c>
      <c r="F136" s="165">
        <f t="shared" si="33"/>
        <v>-1.3201948658123352E-2</v>
      </c>
      <c r="G136" s="240">
        <f t="shared" si="34"/>
        <v>9.0879436394895818E-2</v>
      </c>
      <c r="H136" s="241">
        <f t="shared" si="35"/>
        <v>0.90912056360510418</v>
      </c>
      <c r="I136" s="156"/>
    </row>
    <row r="137" spans="1:9" ht="15.75" x14ac:dyDescent="0.25">
      <c r="A137" s="163"/>
      <c r="B137" s="164">
        <f>DATE(25,1,1)</f>
        <v>9133</v>
      </c>
      <c r="C137" s="225">
        <v>202158946.28999999</v>
      </c>
      <c r="D137" s="225">
        <v>17541112.239999998</v>
      </c>
      <c r="E137" s="225">
        <v>17525611.690000001</v>
      </c>
      <c r="F137" s="165">
        <f t="shared" si="33"/>
        <v>8.8445129757391187E-4</v>
      </c>
      <c r="G137" s="240">
        <f t="shared" si="34"/>
        <v>8.676891407435916E-2</v>
      </c>
      <c r="H137" s="241">
        <f t="shared" si="35"/>
        <v>0.91323108592564084</v>
      </c>
      <c r="I137" s="156"/>
    </row>
    <row r="138" spans="1:9" ht="15.75" x14ac:dyDescent="0.25">
      <c r="A138" s="163"/>
      <c r="B138" s="164">
        <f>DATE(25,2,1)</f>
        <v>9164</v>
      </c>
      <c r="C138" s="225">
        <v>202953069.94999999</v>
      </c>
      <c r="D138" s="225">
        <v>19240846.050000001</v>
      </c>
      <c r="E138" s="225">
        <v>19835218.719999999</v>
      </c>
      <c r="F138" s="165">
        <f t="shared" si="33"/>
        <v>-2.9965521348180934E-2</v>
      </c>
      <c r="G138" s="240">
        <f t="shared" si="34"/>
        <v>9.4804409978820336E-2</v>
      </c>
      <c r="H138" s="241">
        <f t="shared" si="35"/>
        <v>0.90519559002117966</v>
      </c>
      <c r="I138" s="156"/>
    </row>
    <row r="139" spans="1:9" ht="15.75" thickBot="1" x14ac:dyDescent="0.25">
      <c r="A139" s="166"/>
      <c r="B139" s="167"/>
      <c r="C139" s="225"/>
      <c r="D139" s="225"/>
      <c r="E139" s="225"/>
      <c r="F139" s="165"/>
      <c r="G139" s="240"/>
      <c r="H139" s="241"/>
      <c r="I139" s="156"/>
    </row>
    <row r="140" spans="1:9" ht="17.25" thickTop="1" thickBot="1" x14ac:dyDescent="0.3">
      <c r="A140" s="173" t="s">
        <v>14</v>
      </c>
      <c r="B140" s="174"/>
      <c r="C140" s="227">
        <f>SUM(C131:C139)</f>
        <v>1711551105.8200002</v>
      </c>
      <c r="D140" s="227">
        <f>SUM(D131:D139)</f>
        <v>155131252.67000002</v>
      </c>
      <c r="E140" s="227">
        <f>SUM(E131:E139)</f>
        <v>156182221.68000001</v>
      </c>
      <c r="F140" s="175">
        <f>(+D140-E140)/E140</f>
        <v>-6.7291206303449124E-3</v>
      </c>
      <c r="G140" s="244">
        <f>D140/C140</f>
        <v>9.0637815103789723E-2</v>
      </c>
      <c r="H140" s="245">
        <f>1-G140</f>
        <v>0.90936218489621023</v>
      </c>
      <c r="I140" s="156"/>
    </row>
    <row r="141" spans="1:9" ht="15.75" thickTop="1" x14ac:dyDescent="0.2">
      <c r="A141" s="166"/>
      <c r="B141" s="167"/>
      <c r="C141" s="225"/>
      <c r="D141" s="225"/>
      <c r="E141" s="225"/>
      <c r="F141" s="165"/>
      <c r="G141" s="240"/>
      <c r="H141" s="241"/>
      <c r="I141" s="156"/>
    </row>
    <row r="142" spans="1:9" ht="15.75" x14ac:dyDescent="0.25">
      <c r="A142" s="163" t="s">
        <v>57</v>
      </c>
      <c r="B142" s="164">
        <f>DATE(24,7,1)</f>
        <v>8949</v>
      </c>
      <c r="C142" s="225">
        <v>33789311.990000002</v>
      </c>
      <c r="D142" s="225">
        <v>3886760.9</v>
      </c>
      <c r="E142" s="225">
        <v>3743935.17</v>
      </c>
      <c r="F142" s="165">
        <f t="shared" ref="F142:F149" si="36">(+D142-E142)/E142</f>
        <v>3.8148558539276199E-2</v>
      </c>
      <c r="G142" s="240">
        <f t="shared" ref="G142:G149" si="37">D142/C142</f>
        <v>0.11502929983156486</v>
      </c>
      <c r="H142" s="241">
        <f t="shared" ref="H142:H149" si="38">1-G142</f>
        <v>0.88497070016843515</v>
      </c>
      <c r="I142" s="156"/>
    </row>
    <row r="143" spans="1:9" ht="15.75" x14ac:dyDescent="0.25">
      <c r="A143" s="163"/>
      <c r="B143" s="164">
        <f>DATE(24,8,1)</f>
        <v>8980</v>
      </c>
      <c r="C143" s="225">
        <v>35967561.380000003</v>
      </c>
      <c r="D143" s="225">
        <v>4094103.92</v>
      </c>
      <c r="E143" s="225">
        <v>3650833.47</v>
      </c>
      <c r="F143" s="165">
        <f t="shared" si="36"/>
        <v>0.12141623375661659</v>
      </c>
      <c r="G143" s="240">
        <f t="shared" si="37"/>
        <v>0.11382767590900819</v>
      </c>
      <c r="H143" s="241">
        <f t="shared" si="38"/>
        <v>0.88617232409099178</v>
      </c>
      <c r="I143" s="156"/>
    </row>
    <row r="144" spans="1:9" ht="15.75" x14ac:dyDescent="0.25">
      <c r="A144" s="163"/>
      <c r="B144" s="164">
        <f>DATE(24,9,1)</f>
        <v>9011</v>
      </c>
      <c r="C144" s="225">
        <v>31698488.16</v>
      </c>
      <c r="D144" s="225">
        <v>3432175.67</v>
      </c>
      <c r="E144" s="225">
        <v>3571965.85</v>
      </c>
      <c r="F144" s="165">
        <f t="shared" si="36"/>
        <v>-3.9135362954267928E-2</v>
      </c>
      <c r="G144" s="240">
        <f t="shared" si="37"/>
        <v>0.1082756897640004</v>
      </c>
      <c r="H144" s="241">
        <f t="shared" si="38"/>
        <v>0.89172431023599963</v>
      </c>
      <c r="I144" s="156"/>
    </row>
    <row r="145" spans="1:9" ht="15.75" x14ac:dyDescent="0.25">
      <c r="A145" s="163"/>
      <c r="B145" s="164">
        <f>DATE(24,10,1)</f>
        <v>9041</v>
      </c>
      <c r="C145" s="225">
        <v>31975397.300000001</v>
      </c>
      <c r="D145" s="225">
        <v>3513094.6</v>
      </c>
      <c r="E145" s="225">
        <v>3454191.96</v>
      </c>
      <c r="F145" s="165">
        <f t="shared" si="36"/>
        <v>1.7052509148912539E-2</v>
      </c>
      <c r="G145" s="240">
        <f t="shared" si="37"/>
        <v>0.10986867706566386</v>
      </c>
      <c r="H145" s="241">
        <f t="shared" si="38"/>
        <v>0.89013132293433617</v>
      </c>
      <c r="I145" s="156"/>
    </row>
    <row r="146" spans="1:9" ht="15.75" x14ac:dyDescent="0.25">
      <c r="A146" s="163"/>
      <c r="B146" s="164">
        <f>DATE(24,11,1)</f>
        <v>9072</v>
      </c>
      <c r="C146" s="225">
        <v>33381707.550000001</v>
      </c>
      <c r="D146" s="225">
        <v>3625606.94</v>
      </c>
      <c r="E146" s="225">
        <v>3511199.02</v>
      </c>
      <c r="F146" s="165">
        <f t="shared" si="36"/>
        <v>3.2583718367522191E-2</v>
      </c>
      <c r="G146" s="240">
        <f t="shared" si="37"/>
        <v>0.1086105896341423</v>
      </c>
      <c r="H146" s="241">
        <f t="shared" si="38"/>
        <v>0.89138941036585773</v>
      </c>
      <c r="I146" s="156"/>
    </row>
    <row r="147" spans="1:9" ht="15.75" x14ac:dyDescent="0.25">
      <c r="A147" s="163"/>
      <c r="B147" s="164">
        <f>DATE(24,12,1)</f>
        <v>9102</v>
      </c>
      <c r="C147" s="225">
        <v>35190954.490000002</v>
      </c>
      <c r="D147" s="225">
        <v>3707970.79</v>
      </c>
      <c r="E147" s="225">
        <v>4306408.66</v>
      </c>
      <c r="F147" s="165">
        <f t="shared" si="36"/>
        <v>-0.13896448694211944</v>
      </c>
      <c r="G147" s="240">
        <f t="shared" si="37"/>
        <v>0.10536715595633166</v>
      </c>
      <c r="H147" s="241">
        <f t="shared" si="38"/>
        <v>0.89463284404366838</v>
      </c>
      <c r="I147" s="156"/>
    </row>
    <row r="148" spans="1:9" ht="15.75" x14ac:dyDescent="0.25">
      <c r="A148" s="163"/>
      <c r="B148" s="164">
        <f>DATE(25,1,1)</f>
        <v>9133</v>
      </c>
      <c r="C148" s="225">
        <v>29560669.399999999</v>
      </c>
      <c r="D148" s="225">
        <v>3156795.44</v>
      </c>
      <c r="E148" s="225">
        <v>3188752.13</v>
      </c>
      <c r="F148" s="165">
        <f t="shared" si="36"/>
        <v>-1.0021691463362487E-2</v>
      </c>
      <c r="G148" s="240">
        <f t="shared" si="37"/>
        <v>0.10679039088336749</v>
      </c>
      <c r="H148" s="241">
        <f t="shared" si="38"/>
        <v>0.8932096091166325</v>
      </c>
      <c r="I148" s="156"/>
    </row>
    <row r="149" spans="1:9" ht="15.75" x14ac:dyDescent="0.25">
      <c r="A149" s="163"/>
      <c r="B149" s="164">
        <f>DATE(25,2,1)</f>
        <v>9164</v>
      </c>
      <c r="C149" s="225">
        <v>32885813.710000001</v>
      </c>
      <c r="D149" s="225">
        <v>3469914.56</v>
      </c>
      <c r="E149" s="225">
        <v>4123827.11</v>
      </c>
      <c r="F149" s="165">
        <f t="shared" si="36"/>
        <v>-0.15856934167155223</v>
      </c>
      <c r="G149" s="240">
        <f t="shared" si="37"/>
        <v>0.1055140246976726</v>
      </c>
      <c r="H149" s="241">
        <f t="shared" si="38"/>
        <v>0.89448597530232743</v>
      </c>
      <c r="I149" s="156"/>
    </row>
    <row r="150" spans="1:9" ht="15.75" thickBot="1" x14ac:dyDescent="0.25">
      <c r="A150" s="166"/>
      <c r="B150" s="167"/>
      <c r="C150" s="225"/>
      <c r="D150" s="225"/>
      <c r="E150" s="225"/>
      <c r="F150" s="165"/>
      <c r="G150" s="240"/>
      <c r="H150" s="241"/>
      <c r="I150" s="156"/>
    </row>
    <row r="151" spans="1:9" ht="17.25" thickTop="1" thickBot="1" x14ac:dyDescent="0.3">
      <c r="A151" s="168" t="s">
        <v>14</v>
      </c>
      <c r="B151" s="154"/>
      <c r="C151" s="222">
        <f>SUM(C142:C150)</f>
        <v>264449903.98000002</v>
      </c>
      <c r="D151" s="222">
        <f>SUM(D142:D150)</f>
        <v>28886422.82</v>
      </c>
      <c r="E151" s="222">
        <f>SUM(E142:E150)</f>
        <v>29551113.369999997</v>
      </c>
      <c r="F151" s="175">
        <f>(+D151-E151)/E151</f>
        <v>-2.2492910560682439E-2</v>
      </c>
      <c r="G151" s="244">
        <f>D151/C151</f>
        <v>0.10923211687830539</v>
      </c>
      <c r="H151" s="245">
        <f>1-G151</f>
        <v>0.89076788312169464</v>
      </c>
      <c r="I151" s="156"/>
    </row>
    <row r="152" spans="1:9" ht="16.5" thickTop="1" thickBot="1" x14ac:dyDescent="0.25">
      <c r="A152" s="170"/>
      <c r="B152" s="171"/>
      <c r="C152" s="226"/>
      <c r="D152" s="226"/>
      <c r="E152" s="226"/>
      <c r="F152" s="172"/>
      <c r="G152" s="242"/>
      <c r="H152" s="243"/>
      <c r="I152" s="156"/>
    </row>
    <row r="153" spans="1:9" ht="17.25" thickTop="1" thickBot="1" x14ac:dyDescent="0.3">
      <c r="A153" s="183" t="s">
        <v>38</v>
      </c>
      <c r="B153" s="154"/>
      <c r="C153" s="222">
        <f>C151+C140+C107+C85+C63+C41+C19+C52+C129+C30+C96+C118+C74</f>
        <v>10926470222.429998</v>
      </c>
      <c r="D153" s="222">
        <f>D151+D140+D107+D85+D63+D41+D19+D52+D129+D30+D96+D118+D74</f>
        <v>1049372686.1600003</v>
      </c>
      <c r="E153" s="222">
        <f>E151+E140+E107+E85+E63+E41+E19+E52+E129+E30+E96+E118+E74</f>
        <v>1067919328</v>
      </c>
      <c r="F153" s="169">
        <f>(+D153-E153)/E153</f>
        <v>-1.7367081345679769E-2</v>
      </c>
      <c r="G153" s="235">
        <f>D153/C153</f>
        <v>9.6039495353754278E-2</v>
      </c>
      <c r="H153" s="236">
        <f>1-G153</f>
        <v>0.90396050464624578</v>
      </c>
      <c r="I153" s="156"/>
    </row>
    <row r="154" spans="1:9" ht="17.25" thickTop="1" thickBot="1" x14ac:dyDescent="0.3">
      <c r="A154" s="183"/>
      <c r="B154" s="154"/>
      <c r="C154" s="222"/>
      <c r="D154" s="222"/>
      <c r="E154" s="222"/>
      <c r="F154" s="169"/>
      <c r="G154" s="235"/>
      <c r="H154" s="236"/>
      <c r="I154" s="156"/>
    </row>
    <row r="155" spans="1:9" ht="17.25" thickTop="1" thickBot="1" x14ac:dyDescent="0.3">
      <c r="A155" s="183" t="s">
        <v>39</v>
      </c>
      <c r="B155" s="154"/>
      <c r="C155" s="222">
        <f>+C17+C28+C39+C50+C61+C72+C83+C105+C94+C116+C127+C138+C149</f>
        <v>1316922981.6600001</v>
      </c>
      <c r="D155" s="222">
        <f>+D17+D28+D39+D50+D61+D72+D83+D105+D94+D116+D127+D138+D149</f>
        <v>127081269.78</v>
      </c>
      <c r="E155" s="222">
        <f>+E17+E28+E39+E50+E61+E72+E83+E105+E94+E116+E127+E138+E149</f>
        <v>135603131.90000001</v>
      </c>
      <c r="F155" s="169">
        <f>(+D155-E155)/E155</f>
        <v>-6.2844139369025914E-2</v>
      </c>
      <c r="G155" s="235">
        <f>D155/C155</f>
        <v>9.6498634733985927E-2</v>
      </c>
      <c r="H155" s="245">
        <f>1-G155</f>
        <v>0.9035013652660141</v>
      </c>
      <c r="I155" s="156"/>
    </row>
    <row r="156" spans="1:9" ht="16.5" thickTop="1" x14ac:dyDescent="0.25">
      <c r="A156" s="184"/>
      <c r="B156" s="185"/>
      <c r="C156" s="230"/>
      <c r="D156" s="230"/>
      <c r="E156" s="230"/>
      <c r="F156" s="186"/>
      <c r="G156" s="249"/>
      <c r="H156" s="249"/>
      <c r="I156" s="150"/>
    </row>
    <row r="157" spans="1:9" ht="16.5" customHeight="1" x14ac:dyDescent="0.3">
      <c r="A157" s="187" t="s">
        <v>49</v>
      </c>
      <c r="B157" s="188"/>
      <c r="C157" s="231"/>
      <c r="D157" s="231"/>
      <c r="E157" s="231"/>
      <c r="F157" s="189"/>
      <c r="G157" s="250"/>
      <c r="H157" s="250"/>
      <c r="I157" s="150"/>
    </row>
    <row r="158" spans="1:9" ht="15.75" x14ac:dyDescent="0.25">
      <c r="A158" s="190"/>
      <c r="B158" s="188"/>
      <c r="C158" s="231"/>
      <c r="D158" s="231"/>
      <c r="E158" s="231"/>
      <c r="F158" s="189"/>
      <c r="G158" s="256"/>
      <c r="H158" s="256"/>
      <c r="I158" s="150"/>
    </row>
    <row r="159" spans="1:9" ht="15.75" x14ac:dyDescent="0.25">
      <c r="A159" s="71"/>
      <c r="I159" s="150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3" manualBreakCount="3">
    <brk id="52" max="8" man="1"/>
    <brk id="96" max="8" man="1"/>
    <brk id="1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2025-03-06T20:34:17Z</cp:lastPrinted>
  <dcterms:created xsi:type="dcterms:W3CDTF">2003-09-09T14:41:43Z</dcterms:created>
  <dcterms:modified xsi:type="dcterms:W3CDTF">2025-03-06T20:34:22Z</dcterms:modified>
</cp:coreProperties>
</file>