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November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STATS'!$A$1:$M$104</definedName>
    <definedName name="_xlnm.Print_Area" localSheetId="4">'SLOT STATS'!$A$1:$I$105</definedName>
    <definedName name="_xlnm.Print_Area" localSheetId="2">'TABLE STATS'!$A$1:$H$104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G54" i="1" l="1"/>
  <c r="H54" i="1"/>
  <c r="G96" i="1"/>
  <c r="G98" i="1"/>
  <c r="H98" i="1"/>
  <c r="G89" i="1"/>
  <c r="H89" i="1"/>
  <c r="G82" i="1"/>
  <c r="G84" i="1"/>
  <c r="G75" i="1"/>
  <c r="G68" i="1"/>
  <c r="G61" i="1"/>
  <c r="H61" i="1"/>
  <c r="G47" i="1"/>
  <c r="G49" i="1"/>
  <c r="G40" i="1"/>
  <c r="G33" i="1"/>
  <c r="H33" i="1"/>
  <c r="G26" i="1"/>
  <c r="G19" i="1"/>
  <c r="G12" i="1"/>
  <c r="F11" i="1"/>
  <c r="H11" i="1"/>
  <c r="F12" i="1"/>
  <c r="J12" i="1"/>
  <c r="F96" i="1"/>
  <c r="J96" i="1"/>
  <c r="F88" i="1"/>
  <c r="J88" i="1"/>
  <c r="F89" i="1"/>
  <c r="J89" i="1"/>
  <c r="F82" i="1"/>
  <c r="J82" i="1"/>
  <c r="F75" i="1"/>
  <c r="J75" i="1"/>
  <c r="F68" i="1"/>
  <c r="J68" i="1"/>
  <c r="F61" i="1"/>
  <c r="J61" i="1"/>
  <c r="F54" i="1"/>
  <c r="F47" i="1"/>
  <c r="J47" i="1"/>
  <c r="F39" i="1"/>
  <c r="F40" i="1"/>
  <c r="H40" i="1"/>
  <c r="F31" i="1"/>
  <c r="F30" i="1"/>
  <c r="H30" i="1"/>
  <c r="J30" i="1"/>
  <c r="F33" i="1"/>
  <c r="J33" i="1"/>
  <c r="F26" i="1"/>
  <c r="J26" i="1"/>
  <c r="F19" i="1"/>
  <c r="E103" i="4"/>
  <c r="D103" i="4"/>
  <c r="C103" i="4"/>
  <c r="G97" i="4"/>
  <c r="H97" i="4"/>
  <c r="F97" i="4"/>
  <c r="G90" i="4"/>
  <c r="H90" i="4"/>
  <c r="F90" i="4"/>
  <c r="G83" i="4"/>
  <c r="H83" i="4"/>
  <c r="F83" i="4"/>
  <c r="G76" i="4"/>
  <c r="H76" i="4"/>
  <c r="F76" i="4"/>
  <c r="G69" i="4"/>
  <c r="H69" i="4"/>
  <c r="F69" i="4"/>
  <c r="G62" i="4"/>
  <c r="H62" i="4"/>
  <c r="F62" i="4"/>
  <c r="G55" i="4"/>
  <c r="H55" i="4"/>
  <c r="F55" i="4"/>
  <c r="G48" i="4"/>
  <c r="H48" i="4"/>
  <c r="F48" i="4"/>
  <c r="G41" i="4"/>
  <c r="H41" i="4"/>
  <c r="F41" i="4"/>
  <c r="G34" i="4"/>
  <c r="H34" i="4"/>
  <c r="F34" i="4"/>
  <c r="G27" i="4"/>
  <c r="H27" i="4"/>
  <c r="F27" i="4"/>
  <c r="G20" i="4"/>
  <c r="H20" i="4"/>
  <c r="F20" i="4"/>
  <c r="G13" i="4"/>
  <c r="H13" i="4"/>
  <c r="F13" i="4"/>
  <c r="B97" i="4"/>
  <c r="B90" i="4"/>
  <c r="B83" i="4"/>
  <c r="B76" i="4"/>
  <c r="B69" i="4"/>
  <c r="B62" i="4"/>
  <c r="B55" i="4"/>
  <c r="B48" i="4"/>
  <c r="B41" i="4"/>
  <c r="B34" i="4"/>
  <c r="B27" i="4"/>
  <c r="B20" i="4"/>
  <c r="B13" i="4"/>
  <c r="E103" i="5"/>
  <c r="D103" i="5"/>
  <c r="C103" i="5"/>
  <c r="G90" i="5"/>
  <c r="H90" i="5"/>
  <c r="F90" i="5"/>
  <c r="B97" i="5"/>
  <c r="B90" i="5"/>
  <c r="B83" i="5"/>
  <c r="B76" i="5"/>
  <c r="B69" i="5"/>
  <c r="B62" i="5"/>
  <c r="B55" i="5"/>
  <c r="B48" i="5"/>
  <c r="B41" i="5"/>
  <c r="B34" i="5"/>
  <c r="B27" i="5"/>
  <c r="B20" i="5"/>
  <c r="B13" i="5"/>
  <c r="E102" i="3"/>
  <c r="D102" i="3"/>
  <c r="C102" i="3"/>
  <c r="G96" i="3"/>
  <c r="F96" i="3"/>
  <c r="G89" i="3"/>
  <c r="F89" i="3"/>
  <c r="G82" i="3"/>
  <c r="F82" i="3"/>
  <c r="G75" i="3"/>
  <c r="F75" i="3"/>
  <c r="G68" i="3"/>
  <c r="F68" i="3"/>
  <c r="G61" i="3"/>
  <c r="F61" i="3"/>
  <c r="G54" i="3"/>
  <c r="F54" i="3"/>
  <c r="G47" i="3"/>
  <c r="F47" i="3"/>
  <c r="G40" i="3"/>
  <c r="F40" i="3"/>
  <c r="G33" i="3"/>
  <c r="F33" i="3"/>
  <c r="G26" i="3"/>
  <c r="F26" i="3"/>
  <c r="G19" i="3"/>
  <c r="F19" i="3"/>
  <c r="B96" i="3"/>
  <c r="B89" i="3"/>
  <c r="B82" i="3"/>
  <c r="B75" i="3"/>
  <c r="B68" i="3"/>
  <c r="B61" i="3"/>
  <c r="B54" i="3"/>
  <c r="B47" i="3"/>
  <c r="B40" i="3"/>
  <c r="B33" i="3"/>
  <c r="B26" i="3"/>
  <c r="B19" i="3"/>
  <c r="G12" i="3"/>
  <c r="F12" i="3"/>
  <c r="B12" i="3"/>
  <c r="N34" i="2"/>
  <c r="N44" i="2"/>
  <c r="M34" i="2"/>
  <c r="L34" i="2"/>
  <c r="K34" i="2"/>
  <c r="J34" i="2"/>
  <c r="I34" i="2"/>
  <c r="H34" i="2"/>
  <c r="H44" i="2"/>
  <c r="G34" i="2"/>
  <c r="F34" i="2"/>
  <c r="F44" i="2"/>
  <c r="E34" i="2"/>
  <c r="D34" i="2"/>
  <c r="C34" i="2"/>
  <c r="B34" i="2"/>
  <c r="A34" i="2"/>
  <c r="N13" i="2"/>
  <c r="N23" i="2"/>
  <c r="M13" i="2"/>
  <c r="L13" i="2"/>
  <c r="K13" i="2"/>
  <c r="J13" i="2"/>
  <c r="I13" i="2"/>
  <c r="I23" i="2"/>
  <c r="H13" i="2"/>
  <c r="G13" i="2"/>
  <c r="F13" i="2"/>
  <c r="E13" i="2"/>
  <c r="D13" i="2"/>
  <c r="D23" i="2"/>
  <c r="C13" i="2"/>
  <c r="B13" i="2"/>
  <c r="A13" i="2"/>
  <c r="L102" i="1"/>
  <c r="K102" i="1"/>
  <c r="M102" i="1"/>
  <c r="D102" i="1"/>
  <c r="C102" i="1"/>
  <c r="M96" i="1"/>
  <c r="I96" i="1"/>
  <c r="H96" i="1"/>
  <c r="E96" i="1"/>
  <c r="M89" i="1"/>
  <c r="I89" i="1"/>
  <c r="E89" i="1"/>
  <c r="M82" i="1"/>
  <c r="I82" i="1"/>
  <c r="E82" i="1"/>
  <c r="M75" i="1"/>
  <c r="I75" i="1"/>
  <c r="H75" i="1"/>
  <c r="E75" i="1"/>
  <c r="M68" i="1"/>
  <c r="I68" i="1"/>
  <c r="E68" i="1"/>
  <c r="M61" i="1"/>
  <c r="I61" i="1"/>
  <c r="E61" i="1"/>
  <c r="M54" i="1"/>
  <c r="J54" i="1"/>
  <c r="I54" i="1"/>
  <c r="E54" i="1"/>
  <c r="M47" i="1"/>
  <c r="I47" i="1"/>
  <c r="E47" i="1"/>
  <c r="M40" i="1"/>
  <c r="J40" i="1"/>
  <c r="I40" i="1"/>
  <c r="E40" i="1"/>
  <c r="M33" i="1"/>
  <c r="I33" i="1"/>
  <c r="E33" i="1"/>
  <c r="M26" i="1"/>
  <c r="I26" i="1"/>
  <c r="H26" i="1"/>
  <c r="E26" i="1"/>
  <c r="M19" i="1"/>
  <c r="J19" i="1"/>
  <c r="I19" i="1"/>
  <c r="E19" i="1"/>
  <c r="M12" i="1"/>
  <c r="I12" i="1"/>
  <c r="H12" i="1"/>
  <c r="E12" i="1"/>
  <c r="B96" i="1"/>
  <c r="B89" i="1"/>
  <c r="B82" i="1"/>
  <c r="B75" i="1"/>
  <c r="B68" i="1"/>
  <c r="B61" i="1"/>
  <c r="B54" i="1"/>
  <c r="B47" i="1"/>
  <c r="B40" i="1"/>
  <c r="B33" i="1"/>
  <c r="B26" i="1"/>
  <c r="B19" i="1"/>
  <c r="B12" i="1"/>
  <c r="F53" i="1"/>
  <c r="H53" i="1"/>
  <c r="G95" i="1"/>
  <c r="G88" i="1"/>
  <c r="G81" i="1"/>
  <c r="G74" i="1"/>
  <c r="G77" i="1"/>
  <c r="G67" i="1"/>
  <c r="G60" i="1"/>
  <c r="G53" i="1"/>
  <c r="G46" i="1"/>
  <c r="G39" i="1"/>
  <c r="G32" i="1"/>
  <c r="H32" i="1"/>
  <c r="G25" i="1"/>
  <c r="G18" i="1"/>
  <c r="G11" i="1"/>
  <c r="G14" i="1"/>
  <c r="F95" i="1"/>
  <c r="F91" i="1"/>
  <c r="F81" i="1"/>
  <c r="F74" i="1"/>
  <c r="F67" i="1"/>
  <c r="F60" i="1"/>
  <c r="F63" i="1"/>
  <c r="F46" i="1"/>
  <c r="H39" i="1"/>
  <c r="F32" i="1"/>
  <c r="F25" i="1"/>
  <c r="H25" i="1"/>
  <c r="F18" i="1"/>
  <c r="J18" i="1"/>
  <c r="G96" i="4"/>
  <c r="H96" i="4"/>
  <c r="F96" i="4"/>
  <c r="G89" i="4"/>
  <c r="H89" i="4"/>
  <c r="F89" i="4"/>
  <c r="G82" i="4"/>
  <c r="H82" i="4"/>
  <c r="F82" i="4"/>
  <c r="G75" i="4"/>
  <c r="H75" i="4"/>
  <c r="F75" i="4"/>
  <c r="G68" i="4"/>
  <c r="H68" i="4"/>
  <c r="F68" i="4"/>
  <c r="G61" i="4"/>
  <c r="H61" i="4"/>
  <c r="F61" i="4"/>
  <c r="G54" i="4"/>
  <c r="H54" i="4"/>
  <c r="F54" i="4"/>
  <c r="G47" i="4"/>
  <c r="H47" i="4"/>
  <c r="F47" i="4"/>
  <c r="G40" i="4"/>
  <c r="H40" i="4"/>
  <c r="F40" i="4"/>
  <c r="G33" i="4"/>
  <c r="H33" i="4"/>
  <c r="F33" i="4"/>
  <c r="G26" i="4"/>
  <c r="H26" i="4"/>
  <c r="F26" i="4"/>
  <c r="G19" i="4"/>
  <c r="H19" i="4"/>
  <c r="F19" i="4"/>
  <c r="G12" i="4"/>
  <c r="H12" i="4"/>
  <c r="F12" i="4"/>
  <c r="B96" i="4"/>
  <c r="B89" i="4"/>
  <c r="B82" i="4"/>
  <c r="B75" i="4"/>
  <c r="B68" i="4"/>
  <c r="B61" i="4"/>
  <c r="B54" i="4"/>
  <c r="B47" i="4"/>
  <c r="B40" i="4"/>
  <c r="B33" i="4"/>
  <c r="B26" i="4"/>
  <c r="B19" i="4"/>
  <c r="B12" i="4"/>
  <c r="G89" i="5"/>
  <c r="H89" i="5"/>
  <c r="F89" i="5"/>
  <c r="B96" i="5"/>
  <c r="B89" i="5"/>
  <c r="B82" i="5"/>
  <c r="B75" i="5"/>
  <c r="B68" i="5"/>
  <c r="B61" i="5"/>
  <c r="B54" i="5"/>
  <c r="B47" i="5"/>
  <c r="B40" i="5"/>
  <c r="B33" i="5"/>
  <c r="B26" i="5"/>
  <c r="B19" i="5"/>
  <c r="B12" i="5"/>
  <c r="G95" i="3"/>
  <c r="F95" i="3"/>
  <c r="G88" i="3"/>
  <c r="F88" i="3"/>
  <c r="G81" i="3"/>
  <c r="F81" i="3"/>
  <c r="G74" i="3"/>
  <c r="F74" i="3"/>
  <c r="G67" i="3"/>
  <c r="F67" i="3"/>
  <c r="G60" i="3"/>
  <c r="F60" i="3"/>
  <c r="G53" i="3"/>
  <c r="F53" i="3"/>
  <c r="G46" i="3"/>
  <c r="F46" i="3"/>
  <c r="G39" i="3"/>
  <c r="F39" i="3"/>
  <c r="G32" i="3"/>
  <c r="F32" i="3"/>
  <c r="G25" i="3"/>
  <c r="F25" i="3"/>
  <c r="G18" i="3"/>
  <c r="F18" i="3"/>
  <c r="B95" i="3"/>
  <c r="B88" i="3"/>
  <c r="B81" i="3"/>
  <c r="B74" i="3"/>
  <c r="B67" i="3"/>
  <c r="B60" i="3"/>
  <c r="B53" i="3"/>
  <c r="B46" i="3"/>
  <c r="B39" i="3"/>
  <c r="B32" i="3"/>
  <c r="B25" i="3"/>
  <c r="B18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12" i="2"/>
  <c r="M12" i="2"/>
  <c r="L12" i="2"/>
  <c r="K12" i="2"/>
  <c r="J12" i="2"/>
  <c r="I12" i="2"/>
  <c r="H12" i="2"/>
  <c r="G12" i="2"/>
  <c r="F12" i="2"/>
  <c r="E12" i="2"/>
  <c r="D12" i="2"/>
  <c r="C12" i="2"/>
  <c r="C23" i="2"/>
  <c r="B12" i="2"/>
  <c r="B23" i="2"/>
  <c r="A12" i="2"/>
  <c r="M95" i="1"/>
  <c r="J95" i="1"/>
  <c r="I95" i="1"/>
  <c r="E95" i="1"/>
  <c r="M88" i="1"/>
  <c r="I88" i="1"/>
  <c r="E88" i="1"/>
  <c r="M81" i="1"/>
  <c r="J81" i="1"/>
  <c r="I81" i="1"/>
  <c r="E81" i="1"/>
  <c r="M74" i="1"/>
  <c r="J74" i="1"/>
  <c r="I74" i="1"/>
  <c r="E74" i="1"/>
  <c r="M67" i="1"/>
  <c r="J67" i="1"/>
  <c r="I67" i="1"/>
  <c r="H67" i="1"/>
  <c r="E67" i="1"/>
  <c r="M60" i="1"/>
  <c r="J60" i="1"/>
  <c r="I60" i="1"/>
  <c r="E60" i="1"/>
  <c r="M53" i="1"/>
  <c r="I53" i="1"/>
  <c r="E53" i="1"/>
  <c r="M46" i="1"/>
  <c r="J46" i="1"/>
  <c r="I46" i="1"/>
  <c r="E46" i="1"/>
  <c r="M39" i="1"/>
  <c r="J39" i="1"/>
  <c r="I39" i="1"/>
  <c r="E39" i="1"/>
  <c r="M32" i="1"/>
  <c r="J32" i="1"/>
  <c r="I32" i="1"/>
  <c r="E32" i="1"/>
  <c r="M25" i="1"/>
  <c r="J25" i="1"/>
  <c r="I25" i="1"/>
  <c r="E25" i="1"/>
  <c r="M18" i="1"/>
  <c r="I18" i="1"/>
  <c r="E18" i="1"/>
  <c r="M11" i="1"/>
  <c r="I11" i="1"/>
  <c r="E11" i="1"/>
  <c r="B95" i="1"/>
  <c r="B88" i="1"/>
  <c r="B81" i="1"/>
  <c r="B74" i="1"/>
  <c r="B67" i="1"/>
  <c r="B60" i="1"/>
  <c r="B53" i="1"/>
  <c r="B46" i="1"/>
  <c r="B39" i="1"/>
  <c r="B32" i="1"/>
  <c r="B25" i="1"/>
  <c r="B18" i="1"/>
  <c r="B11" i="1"/>
  <c r="G95" i="4"/>
  <c r="H95" i="4"/>
  <c r="F95" i="4"/>
  <c r="G88" i="4"/>
  <c r="H88" i="4"/>
  <c r="F88" i="4"/>
  <c r="G81" i="4"/>
  <c r="H81" i="4"/>
  <c r="F81" i="4"/>
  <c r="G74" i="4"/>
  <c r="H74" i="4"/>
  <c r="F74" i="4"/>
  <c r="G67" i="4"/>
  <c r="H67" i="4"/>
  <c r="F67" i="4"/>
  <c r="G60" i="4"/>
  <c r="H60" i="4"/>
  <c r="F60" i="4"/>
  <c r="G53" i="4"/>
  <c r="H53" i="4"/>
  <c r="F53" i="4"/>
  <c r="G46" i="4"/>
  <c r="H46" i="4"/>
  <c r="F46" i="4"/>
  <c r="G39" i="4"/>
  <c r="H39" i="4"/>
  <c r="F39" i="4"/>
  <c r="G32" i="4"/>
  <c r="H32" i="4"/>
  <c r="F32" i="4"/>
  <c r="G25" i="4"/>
  <c r="H25" i="4"/>
  <c r="F25" i="4"/>
  <c r="G18" i="4"/>
  <c r="H18" i="4"/>
  <c r="F18" i="4"/>
  <c r="G11" i="4"/>
  <c r="H11" i="4"/>
  <c r="F11" i="4"/>
  <c r="B95" i="4"/>
  <c r="B88" i="4"/>
  <c r="B81" i="4"/>
  <c r="B74" i="4"/>
  <c r="B67" i="4"/>
  <c r="B60" i="4"/>
  <c r="B53" i="4"/>
  <c r="B46" i="4"/>
  <c r="B39" i="4"/>
  <c r="B32" i="4"/>
  <c r="B25" i="4"/>
  <c r="B18" i="4"/>
  <c r="B11" i="4"/>
  <c r="G88" i="5"/>
  <c r="H88" i="5"/>
  <c r="F88" i="5"/>
  <c r="B95" i="5"/>
  <c r="B88" i="5"/>
  <c r="B81" i="5"/>
  <c r="B74" i="5"/>
  <c r="B67" i="5"/>
  <c r="B60" i="5"/>
  <c r="B53" i="5"/>
  <c r="B46" i="5"/>
  <c r="B39" i="5"/>
  <c r="B32" i="5"/>
  <c r="B25" i="5"/>
  <c r="B18" i="5"/>
  <c r="B11" i="5"/>
  <c r="G94" i="3"/>
  <c r="F94" i="3"/>
  <c r="G87" i="3"/>
  <c r="F87" i="3"/>
  <c r="G80" i="3"/>
  <c r="F80" i="3"/>
  <c r="G73" i="3"/>
  <c r="F73" i="3"/>
  <c r="G66" i="3"/>
  <c r="F66" i="3"/>
  <c r="G59" i="3"/>
  <c r="F59" i="3"/>
  <c r="G52" i="3"/>
  <c r="F52" i="3"/>
  <c r="G45" i="3"/>
  <c r="F45" i="3"/>
  <c r="G38" i="3"/>
  <c r="F38" i="3"/>
  <c r="G31" i="3"/>
  <c r="F31" i="3"/>
  <c r="G24" i="3"/>
  <c r="F24" i="3"/>
  <c r="G17" i="3"/>
  <c r="F17" i="3"/>
  <c r="G10" i="3"/>
  <c r="F10" i="3"/>
  <c r="B94" i="3"/>
  <c r="B87" i="3"/>
  <c r="B80" i="3"/>
  <c r="B73" i="3"/>
  <c r="B66" i="3"/>
  <c r="B59" i="3"/>
  <c r="B52" i="3"/>
  <c r="B45" i="3"/>
  <c r="B38" i="3"/>
  <c r="B31" i="3"/>
  <c r="B24" i="3"/>
  <c r="B17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58" i="1"/>
  <c r="M94" i="1"/>
  <c r="J94" i="1"/>
  <c r="I94" i="1"/>
  <c r="H94" i="1"/>
  <c r="E94" i="1"/>
  <c r="G94" i="1"/>
  <c r="F94" i="1"/>
  <c r="M87" i="1"/>
  <c r="J87" i="1"/>
  <c r="I87" i="1"/>
  <c r="H87" i="1"/>
  <c r="E87" i="1"/>
  <c r="G87" i="1"/>
  <c r="F87" i="1"/>
  <c r="M80" i="1"/>
  <c r="J80" i="1"/>
  <c r="I80" i="1"/>
  <c r="H80" i="1"/>
  <c r="E80" i="1"/>
  <c r="G80" i="1"/>
  <c r="F80" i="1"/>
  <c r="M73" i="1"/>
  <c r="J73" i="1"/>
  <c r="I73" i="1"/>
  <c r="H73" i="1"/>
  <c r="E73" i="1"/>
  <c r="G73" i="1"/>
  <c r="F73" i="1"/>
  <c r="M66" i="1"/>
  <c r="J66" i="1"/>
  <c r="I66" i="1"/>
  <c r="H66" i="1"/>
  <c r="E66" i="1"/>
  <c r="G66" i="1"/>
  <c r="F66" i="1"/>
  <c r="M59" i="1"/>
  <c r="J59" i="1"/>
  <c r="I59" i="1"/>
  <c r="H59" i="1"/>
  <c r="E59" i="1"/>
  <c r="G59" i="1"/>
  <c r="F59" i="1"/>
  <c r="M52" i="1"/>
  <c r="J52" i="1"/>
  <c r="I52" i="1"/>
  <c r="H52" i="1"/>
  <c r="E52" i="1"/>
  <c r="G52" i="1"/>
  <c r="F52" i="1"/>
  <c r="M45" i="1"/>
  <c r="J45" i="1"/>
  <c r="I45" i="1"/>
  <c r="H45" i="1"/>
  <c r="E45" i="1"/>
  <c r="G45" i="1"/>
  <c r="F45" i="1"/>
  <c r="M38" i="1"/>
  <c r="J38" i="1"/>
  <c r="I38" i="1"/>
  <c r="H38" i="1"/>
  <c r="E38" i="1"/>
  <c r="G38" i="1"/>
  <c r="F38" i="1"/>
  <c r="M31" i="1"/>
  <c r="I31" i="1"/>
  <c r="E31" i="1"/>
  <c r="G31" i="1"/>
  <c r="J31" i="1"/>
  <c r="M24" i="1"/>
  <c r="J24" i="1"/>
  <c r="I24" i="1"/>
  <c r="H24" i="1"/>
  <c r="E24" i="1"/>
  <c r="G24" i="1"/>
  <c r="F24" i="1"/>
  <c r="M17" i="1"/>
  <c r="I17" i="1"/>
  <c r="E17" i="1"/>
  <c r="G17" i="1"/>
  <c r="F17" i="1"/>
  <c r="H17" i="1"/>
  <c r="M10" i="1"/>
  <c r="J10" i="1"/>
  <c r="I10" i="1"/>
  <c r="H10" i="1"/>
  <c r="E10" i="1"/>
  <c r="G10" i="1"/>
  <c r="F10" i="1"/>
  <c r="B94" i="1"/>
  <c r="B87" i="1"/>
  <c r="B80" i="1"/>
  <c r="B73" i="1"/>
  <c r="B66" i="1"/>
  <c r="B59" i="1"/>
  <c r="B52" i="1"/>
  <c r="B45" i="1"/>
  <c r="B38" i="1"/>
  <c r="B31" i="1"/>
  <c r="B24" i="1"/>
  <c r="B17" i="1"/>
  <c r="B10" i="1"/>
  <c r="B94" i="4"/>
  <c r="B87" i="4"/>
  <c r="B80" i="4"/>
  <c r="B73" i="4"/>
  <c r="B66" i="4"/>
  <c r="B59" i="4"/>
  <c r="B52" i="4"/>
  <c r="B45" i="4"/>
  <c r="B38" i="4"/>
  <c r="B31" i="4"/>
  <c r="B24" i="4"/>
  <c r="B17" i="4"/>
  <c r="B10" i="4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B93" i="3"/>
  <c r="B86" i="3"/>
  <c r="B79" i="3"/>
  <c r="B72" i="3"/>
  <c r="B65" i="3"/>
  <c r="B58" i="3"/>
  <c r="B51" i="3"/>
  <c r="B44" i="3"/>
  <c r="B37" i="3"/>
  <c r="B30" i="3"/>
  <c r="B23" i="3"/>
  <c r="B16" i="3"/>
  <c r="B9" i="3"/>
  <c r="A31" i="2"/>
  <c r="A10" i="2"/>
  <c r="G93" i="1"/>
  <c r="F93" i="1"/>
  <c r="G86" i="1"/>
  <c r="F86" i="1"/>
  <c r="G79" i="1"/>
  <c r="F79" i="1"/>
  <c r="G72" i="1"/>
  <c r="F72" i="1"/>
  <c r="G65" i="1"/>
  <c r="F65" i="1"/>
  <c r="F58" i="1"/>
  <c r="G51" i="1"/>
  <c r="F51" i="1"/>
  <c r="G44" i="1"/>
  <c r="F44" i="1"/>
  <c r="G37" i="1"/>
  <c r="F37" i="1"/>
  <c r="G30" i="1"/>
  <c r="G23" i="1"/>
  <c r="F23" i="1"/>
  <c r="G16" i="1"/>
  <c r="G21" i="1"/>
  <c r="F16" i="1"/>
  <c r="G9" i="1"/>
  <c r="F9" i="1"/>
  <c r="B93" i="1"/>
  <c r="B86" i="1"/>
  <c r="B79" i="1"/>
  <c r="B72" i="1"/>
  <c r="B65" i="1"/>
  <c r="B58" i="1"/>
  <c r="B51" i="1"/>
  <c r="B44" i="1"/>
  <c r="B37" i="1"/>
  <c r="B30" i="1"/>
  <c r="B23" i="1"/>
  <c r="B16" i="1"/>
  <c r="B9" i="1"/>
  <c r="J72" i="1"/>
  <c r="F14" i="1"/>
  <c r="H14" i="1"/>
  <c r="F87" i="5"/>
  <c r="J79" i="1"/>
  <c r="J44" i="1"/>
  <c r="F28" i="1"/>
  <c r="G87" i="5"/>
  <c r="H87" i="5"/>
  <c r="B10" i="2"/>
  <c r="E99" i="5"/>
  <c r="D99" i="5"/>
  <c r="C99" i="5"/>
  <c r="E92" i="5"/>
  <c r="D92" i="5"/>
  <c r="C92" i="5"/>
  <c r="G92" i="5"/>
  <c r="H92" i="5"/>
  <c r="E85" i="5"/>
  <c r="D85" i="5"/>
  <c r="C85" i="5"/>
  <c r="E78" i="5"/>
  <c r="D78" i="5"/>
  <c r="C78" i="5"/>
  <c r="E71" i="5"/>
  <c r="D71" i="5"/>
  <c r="C71" i="5"/>
  <c r="E64" i="5"/>
  <c r="D64" i="5"/>
  <c r="C64" i="5"/>
  <c r="E57" i="5"/>
  <c r="D57" i="5"/>
  <c r="C57" i="5"/>
  <c r="E50" i="5"/>
  <c r="D50" i="5"/>
  <c r="C50" i="5"/>
  <c r="E43" i="5"/>
  <c r="D43" i="5"/>
  <c r="C43" i="5"/>
  <c r="E36" i="5"/>
  <c r="D36" i="5"/>
  <c r="C36" i="5"/>
  <c r="E29" i="5"/>
  <c r="D29" i="5"/>
  <c r="C29" i="5"/>
  <c r="E22" i="5"/>
  <c r="D22" i="5"/>
  <c r="C22" i="5"/>
  <c r="E15" i="5"/>
  <c r="F15" i="5"/>
  <c r="D15" i="5"/>
  <c r="C15" i="5"/>
  <c r="L35" i="1"/>
  <c r="M35" i="1"/>
  <c r="F45" i="4"/>
  <c r="F44" i="3"/>
  <c r="M44" i="1"/>
  <c r="E44" i="1"/>
  <c r="F94" i="4"/>
  <c r="F93" i="3"/>
  <c r="G31" i="2"/>
  <c r="G10" i="2"/>
  <c r="M93" i="1"/>
  <c r="E93" i="1"/>
  <c r="E50" i="4"/>
  <c r="F50" i="4"/>
  <c r="D50" i="4"/>
  <c r="G50" i="4"/>
  <c r="H50" i="4"/>
  <c r="C50" i="4"/>
  <c r="G45" i="4"/>
  <c r="H45" i="4"/>
  <c r="E49" i="3"/>
  <c r="F49" i="3"/>
  <c r="D49" i="3"/>
  <c r="C49" i="3"/>
  <c r="G49" i="3"/>
  <c r="G44" i="3"/>
  <c r="L49" i="1"/>
  <c r="D49" i="1"/>
  <c r="C49" i="1"/>
  <c r="I44" i="1"/>
  <c r="G94" i="4"/>
  <c r="H94" i="4"/>
  <c r="G93" i="3"/>
  <c r="I93" i="1"/>
  <c r="D14" i="1"/>
  <c r="D21" i="1"/>
  <c r="D28" i="1"/>
  <c r="D35" i="1"/>
  <c r="D42" i="1"/>
  <c r="D56" i="1"/>
  <c r="E56" i="1"/>
  <c r="D63" i="1"/>
  <c r="E63" i="1"/>
  <c r="D70" i="1"/>
  <c r="D77" i="1"/>
  <c r="E77" i="1"/>
  <c r="D84" i="1"/>
  <c r="D91" i="1"/>
  <c r="D98" i="1"/>
  <c r="C98" i="1"/>
  <c r="E98" i="1"/>
  <c r="C99" i="4"/>
  <c r="D99" i="4"/>
  <c r="G99" i="4"/>
  <c r="H99" i="4"/>
  <c r="C98" i="3"/>
  <c r="D98" i="3"/>
  <c r="G98" i="3"/>
  <c r="E15" i="4"/>
  <c r="F15" i="4"/>
  <c r="E22" i="4"/>
  <c r="E29" i="4"/>
  <c r="F29" i="4"/>
  <c r="E36" i="4"/>
  <c r="E43" i="4"/>
  <c r="F43" i="4"/>
  <c r="E57" i="4"/>
  <c r="E64" i="4"/>
  <c r="F64" i="4"/>
  <c r="E71" i="4"/>
  <c r="F71" i="4"/>
  <c r="E78" i="4"/>
  <c r="E85" i="4"/>
  <c r="F85" i="4"/>
  <c r="E92" i="4"/>
  <c r="E99" i="4"/>
  <c r="D15" i="4"/>
  <c r="D22" i="4"/>
  <c r="D29" i="4"/>
  <c r="D36" i="4"/>
  <c r="F36" i="4"/>
  <c r="D43" i="4"/>
  <c r="G43" i="4"/>
  <c r="H43" i="4"/>
  <c r="D57" i="4"/>
  <c r="D64" i="4"/>
  <c r="G64" i="4"/>
  <c r="H64" i="4"/>
  <c r="D71" i="4"/>
  <c r="D78" i="4"/>
  <c r="F78" i="4"/>
  <c r="D85" i="4"/>
  <c r="D92" i="4"/>
  <c r="C15" i="4"/>
  <c r="G15" i="4"/>
  <c r="H15" i="4"/>
  <c r="C22" i="4"/>
  <c r="C29" i="4"/>
  <c r="C36" i="4"/>
  <c r="C43" i="4"/>
  <c r="C57" i="4"/>
  <c r="G57" i="4"/>
  <c r="H57" i="4"/>
  <c r="C64" i="4"/>
  <c r="C71" i="4"/>
  <c r="C78" i="4"/>
  <c r="G78" i="4"/>
  <c r="H78" i="4"/>
  <c r="C85" i="4"/>
  <c r="G85" i="4"/>
  <c r="H85" i="4"/>
  <c r="C92" i="4"/>
  <c r="G92" i="4"/>
  <c r="H92" i="4"/>
  <c r="F73" i="4"/>
  <c r="E14" i="3"/>
  <c r="E21" i="3"/>
  <c r="E28" i="3"/>
  <c r="E35" i="3"/>
  <c r="E42" i="3"/>
  <c r="F42" i="3"/>
  <c r="E56" i="3"/>
  <c r="E63" i="3"/>
  <c r="F63" i="3"/>
  <c r="E70" i="3"/>
  <c r="E77" i="3"/>
  <c r="F77" i="3"/>
  <c r="E84" i="3"/>
  <c r="E91" i="3"/>
  <c r="F91" i="3"/>
  <c r="E98" i="3"/>
  <c r="F98" i="3"/>
  <c r="D14" i="3"/>
  <c r="F14" i="3"/>
  <c r="D21" i="3"/>
  <c r="D28" i="3"/>
  <c r="F28" i="3"/>
  <c r="D35" i="3"/>
  <c r="D42" i="3"/>
  <c r="D56" i="3"/>
  <c r="D63" i="3"/>
  <c r="D70" i="3"/>
  <c r="D77" i="3"/>
  <c r="D84" i="3"/>
  <c r="F84" i="3"/>
  <c r="D91" i="3"/>
  <c r="C14" i="3"/>
  <c r="C21" i="3"/>
  <c r="G21" i="3"/>
  <c r="C28" i="3"/>
  <c r="C35" i="3"/>
  <c r="C42" i="3"/>
  <c r="G42" i="3"/>
  <c r="C56" i="3"/>
  <c r="C63" i="3"/>
  <c r="C70" i="3"/>
  <c r="C77" i="3"/>
  <c r="C84" i="3"/>
  <c r="C91" i="3"/>
  <c r="F72" i="3"/>
  <c r="M72" i="1"/>
  <c r="E72" i="1"/>
  <c r="L14" i="1"/>
  <c r="L21" i="1"/>
  <c r="L28" i="1"/>
  <c r="L42" i="1"/>
  <c r="L56" i="1"/>
  <c r="L63" i="1"/>
  <c r="L70" i="1"/>
  <c r="L77" i="1"/>
  <c r="M77" i="1"/>
  <c r="L84" i="1"/>
  <c r="L91" i="1"/>
  <c r="K14" i="1"/>
  <c r="I14" i="1"/>
  <c r="K21" i="1"/>
  <c r="M21" i="1"/>
  <c r="C14" i="1"/>
  <c r="C21" i="1"/>
  <c r="C28" i="1"/>
  <c r="E28" i="1"/>
  <c r="C35" i="1"/>
  <c r="C42" i="1"/>
  <c r="E42" i="1"/>
  <c r="C56" i="1"/>
  <c r="C63" i="1"/>
  <c r="C70" i="1"/>
  <c r="C77" i="1"/>
  <c r="C84" i="1"/>
  <c r="E84" i="1"/>
  <c r="C91" i="1"/>
  <c r="I91" i="1"/>
  <c r="E79" i="1"/>
  <c r="I79" i="1"/>
  <c r="M79" i="1"/>
  <c r="K77" i="1"/>
  <c r="I77" i="1"/>
  <c r="F87" i="4"/>
  <c r="K31" i="2"/>
  <c r="K10" i="2"/>
  <c r="K35" i="1"/>
  <c r="K42" i="1"/>
  <c r="K56" i="1"/>
  <c r="K63" i="1"/>
  <c r="K70" i="1"/>
  <c r="M70" i="1"/>
  <c r="K91" i="1"/>
  <c r="I72" i="1"/>
  <c r="G73" i="4"/>
  <c r="H73" i="4"/>
  <c r="G72" i="3"/>
  <c r="F59" i="4"/>
  <c r="F58" i="3"/>
  <c r="N31" i="2"/>
  <c r="M31" i="2"/>
  <c r="L31" i="2"/>
  <c r="J31" i="2"/>
  <c r="I31" i="2"/>
  <c r="H31" i="2"/>
  <c r="F31" i="2"/>
  <c r="E31" i="2"/>
  <c r="C31" i="2"/>
  <c r="B31" i="2"/>
  <c r="M58" i="1"/>
  <c r="E58" i="1"/>
  <c r="I10" i="2"/>
  <c r="G59" i="4"/>
  <c r="H59" i="4"/>
  <c r="G66" i="4"/>
  <c r="H66" i="4"/>
  <c r="F66" i="4"/>
  <c r="G58" i="3"/>
  <c r="I58" i="1"/>
  <c r="F10" i="4"/>
  <c r="G10" i="4"/>
  <c r="H10" i="4"/>
  <c r="I9" i="1"/>
  <c r="I16" i="1"/>
  <c r="I30" i="1"/>
  <c r="I37" i="1"/>
  <c r="I51" i="1"/>
  <c r="I65" i="1"/>
  <c r="I86" i="1"/>
  <c r="E9" i="1"/>
  <c r="M9" i="1"/>
  <c r="E16" i="1"/>
  <c r="M16" i="1"/>
  <c r="E23" i="1"/>
  <c r="E30" i="1"/>
  <c r="M30" i="1"/>
  <c r="E37" i="1"/>
  <c r="M37" i="1"/>
  <c r="E51" i="1"/>
  <c r="M51" i="1"/>
  <c r="E65" i="1"/>
  <c r="M65" i="1"/>
  <c r="E86" i="1"/>
  <c r="M86" i="1"/>
  <c r="F17" i="4"/>
  <c r="G17" i="4"/>
  <c r="H17" i="4"/>
  <c r="F24" i="4"/>
  <c r="G24" i="4"/>
  <c r="H24" i="4"/>
  <c r="F31" i="4"/>
  <c r="G31" i="4"/>
  <c r="H31" i="4"/>
  <c r="F38" i="4"/>
  <c r="G38" i="4"/>
  <c r="H38" i="4"/>
  <c r="F52" i="4"/>
  <c r="G52" i="4"/>
  <c r="H52" i="4"/>
  <c r="F80" i="4"/>
  <c r="G80" i="4"/>
  <c r="H80" i="4"/>
  <c r="G87" i="4"/>
  <c r="H87" i="4"/>
  <c r="F9" i="3"/>
  <c r="F16" i="3"/>
  <c r="G16" i="3"/>
  <c r="F23" i="3"/>
  <c r="G23" i="3"/>
  <c r="F30" i="3"/>
  <c r="G30" i="3"/>
  <c r="F37" i="3"/>
  <c r="G37" i="3"/>
  <c r="F51" i="3"/>
  <c r="G51" i="3"/>
  <c r="F65" i="3"/>
  <c r="G65" i="3"/>
  <c r="F79" i="3"/>
  <c r="G79" i="3"/>
  <c r="F86" i="3"/>
  <c r="G86" i="3"/>
  <c r="G9" i="3"/>
  <c r="C10" i="2"/>
  <c r="D10" i="2"/>
  <c r="E10" i="2"/>
  <c r="F10" i="2"/>
  <c r="H10" i="2"/>
  <c r="J10" i="2"/>
  <c r="L10" i="2"/>
  <c r="M10" i="2"/>
  <c r="N10" i="2"/>
  <c r="I23" i="1"/>
  <c r="M23" i="1"/>
  <c r="K28" i="1"/>
  <c r="I28" i="1"/>
  <c r="D31" i="2"/>
  <c r="L98" i="1"/>
  <c r="M98" i="1"/>
  <c r="K98" i="1"/>
  <c r="K49" i="1"/>
  <c r="M49" i="1"/>
  <c r="K84" i="1"/>
  <c r="J16" i="1"/>
  <c r="G29" i="4"/>
  <c r="H29" i="4"/>
  <c r="H44" i="1"/>
  <c r="J9" i="1"/>
  <c r="H16" i="1"/>
  <c r="J23" i="1"/>
  <c r="H23" i="1"/>
  <c r="H9" i="1"/>
  <c r="H72" i="1"/>
  <c r="G42" i="1"/>
  <c r="H65" i="1"/>
  <c r="G70" i="1"/>
  <c r="H51" i="1"/>
  <c r="H79" i="1"/>
  <c r="G56" i="1"/>
  <c r="H86" i="1"/>
  <c r="H58" i="1"/>
  <c r="J51" i="1"/>
  <c r="J58" i="1"/>
  <c r="J37" i="1"/>
  <c r="J86" i="1"/>
  <c r="H37" i="1"/>
  <c r="J93" i="1"/>
  <c r="J65" i="1"/>
  <c r="H93" i="1"/>
  <c r="F70" i="1"/>
  <c r="H70" i="1"/>
  <c r="F57" i="4"/>
  <c r="F21" i="3"/>
  <c r="G91" i="3"/>
  <c r="G77" i="3"/>
  <c r="H95" i="1"/>
  <c r="H81" i="1"/>
  <c r="H74" i="1"/>
  <c r="H46" i="1"/>
  <c r="F21" i="1"/>
  <c r="H21" i="1"/>
  <c r="J17" i="1"/>
  <c r="F98" i="1"/>
  <c r="J98" i="1"/>
  <c r="H60" i="1"/>
  <c r="I56" i="1"/>
  <c r="H18" i="1"/>
  <c r="J11" i="1"/>
  <c r="F56" i="1"/>
  <c r="J53" i="1"/>
  <c r="F23" i="2"/>
  <c r="E44" i="2"/>
  <c r="M23" i="2"/>
  <c r="G44" i="2"/>
  <c r="K23" i="2"/>
  <c r="M44" i="2"/>
  <c r="G23" i="2"/>
  <c r="O11" i="2"/>
  <c r="J44" i="2"/>
  <c r="K44" i="2"/>
  <c r="O33" i="2"/>
  <c r="B44" i="2"/>
  <c r="H23" i="2"/>
  <c r="J23" i="2"/>
  <c r="L44" i="2"/>
  <c r="O32" i="2"/>
  <c r="L23" i="2"/>
  <c r="I44" i="2"/>
  <c r="D44" i="2"/>
  <c r="O10" i="2"/>
  <c r="O31" i="2"/>
  <c r="F36" i="5"/>
  <c r="E101" i="5"/>
  <c r="F103" i="5"/>
  <c r="G103" i="5"/>
  <c r="H103" i="5"/>
  <c r="D101" i="5"/>
  <c r="F92" i="5"/>
  <c r="C101" i="5"/>
  <c r="M56" i="1"/>
  <c r="H56" i="1"/>
  <c r="M91" i="1"/>
  <c r="G91" i="1"/>
  <c r="H91" i="1"/>
  <c r="M84" i="1"/>
  <c r="L100" i="1"/>
  <c r="M63" i="1"/>
  <c r="G63" i="1"/>
  <c r="H63" i="1"/>
  <c r="H47" i="1"/>
  <c r="M42" i="1"/>
  <c r="G102" i="1"/>
  <c r="G35" i="1"/>
  <c r="E35" i="1"/>
  <c r="G28" i="1"/>
  <c r="H19" i="1"/>
  <c r="D100" i="1"/>
  <c r="E21" i="1"/>
  <c r="E14" i="1"/>
  <c r="E102" i="1"/>
  <c r="I98" i="1"/>
  <c r="H88" i="1"/>
  <c r="J91" i="1"/>
  <c r="E91" i="1"/>
  <c r="I84" i="1"/>
  <c r="F84" i="1"/>
  <c r="H82" i="1"/>
  <c r="F77" i="1"/>
  <c r="I70" i="1"/>
  <c r="J70" i="1"/>
  <c r="H68" i="1"/>
  <c r="E70" i="1"/>
  <c r="I63" i="1"/>
  <c r="J63" i="1"/>
  <c r="J56" i="1"/>
  <c r="I49" i="1"/>
  <c r="F49" i="1"/>
  <c r="E49" i="1"/>
  <c r="O34" i="2"/>
  <c r="O44" i="2"/>
  <c r="F42" i="1"/>
  <c r="F102" i="1"/>
  <c r="I42" i="1"/>
  <c r="E23" i="2"/>
  <c r="I35" i="1"/>
  <c r="H31" i="1"/>
  <c r="F35" i="1"/>
  <c r="J28" i="1"/>
  <c r="M28" i="1"/>
  <c r="H28" i="1"/>
  <c r="O13" i="2"/>
  <c r="O12" i="2"/>
  <c r="C44" i="2"/>
  <c r="J21" i="1"/>
  <c r="C100" i="1"/>
  <c r="I21" i="1"/>
  <c r="G101" i="5"/>
  <c r="H101" i="5"/>
  <c r="F101" i="5"/>
  <c r="G100" i="1"/>
  <c r="H102" i="1"/>
  <c r="H84" i="1"/>
  <c r="J84" i="1"/>
  <c r="H77" i="1"/>
  <c r="J77" i="1"/>
  <c r="H49" i="1"/>
  <c r="J49" i="1"/>
  <c r="O23" i="2"/>
  <c r="J42" i="1"/>
  <c r="H42" i="1"/>
  <c r="F100" i="1"/>
  <c r="J102" i="1"/>
  <c r="J35" i="1"/>
  <c r="H35" i="1"/>
  <c r="E100" i="1"/>
  <c r="H100" i="1"/>
  <c r="F92" i="4"/>
  <c r="F22" i="4"/>
  <c r="E101" i="4"/>
  <c r="F99" i="4"/>
  <c r="G71" i="4"/>
  <c r="H71" i="4"/>
  <c r="G103" i="4"/>
  <c r="H103" i="4"/>
  <c r="F103" i="4"/>
  <c r="C101" i="4"/>
  <c r="G36" i="4"/>
  <c r="H36" i="4"/>
  <c r="G22" i="4"/>
  <c r="H22" i="4"/>
  <c r="D101" i="4"/>
  <c r="F70" i="3"/>
  <c r="E100" i="3"/>
  <c r="F35" i="3"/>
  <c r="F102" i="3"/>
  <c r="G84" i="3"/>
  <c r="G70" i="3"/>
  <c r="G63" i="3"/>
  <c r="D100" i="3"/>
  <c r="F56" i="3"/>
  <c r="G56" i="3"/>
  <c r="G102" i="3"/>
  <c r="G35" i="3"/>
  <c r="G28" i="3"/>
  <c r="G14" i="3"/>
  <c r="C100" i="3"/>
  <c r="J14" i="1"/>
  <c r="M14" i="1"/>
  <c r="K100" i="1"/>
  <c r="I102" i="1"/>
  <c r="F101" i="4"/>
  <c r="G101" i="4"/>
  <c r="H101" i="4"/>
  <c r="F100" i="3"/>
  <c r="G100" i="3"/>
  <c r="J100" i="1"/>
  <c r="M100" i="1"/>
  <c r="I100" i="1"/>
</calcChain>
</file>

<file path=xl/sharedStrings.xml><?xml version="1.0" encoding="utf-8"?>
<sst xmlns="http://schemas.openxmlformats.org/spreadsheetml/2006/main" count="241" uniqueCount="80">
  <si>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</si>
  <si>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</si>
  <si>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</si>
  <si>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</si>
  <si>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</si>
  <si>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</si>
  <si>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</si>
  <si>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</si>
  <si>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</si>
  <si>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</si>
  <si>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</si>
  <si>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</si>
  <si>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</si>
  <si>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</si>
  <si>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</si>
  <si>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</si>
  <si>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</si>
  <si>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</si>
  <si>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</si>
  <si>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</si>
  <si>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</si>
  <si>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</si>
  <si>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</si>
  <si>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</si>
  <si>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</si>
  <si>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</si>
  <si>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</si>
  <si>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</si>
  <si>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</si>
  <si>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</si>
  <si>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</si>
  <si>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</si>
  <si>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</si>
  <si>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</si>
  <si>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</si>
  <si>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</si>
  <si>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</si>
  <si>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</si>
  <si>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</si>
  <si>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</si>
  <si>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</si>
  <si>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</si>
  <si>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</si>
  <si>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</si>
  <si>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</si>
  <si>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</si>
  <si>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</si>
  <si>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</si>
  <si>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</si>
  <si>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</si>
  <si>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</si>
  <si>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</si>
  <si>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</si>
  <si>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</si>
  <si>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</si>
  <si>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</si>
  <si>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</si>
  <si>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</si>
  <si>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</si>
  <si>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</si>
  <si>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</si>
  <si>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</si>
  <si>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</si>
  <si>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</si>
  <si>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</si>
  <si>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</si>
  <si>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</si>
  <si>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</si>
  <si>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</si>
  <si>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</si>
  <si>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</si>
  <si>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</si>
  <si>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OCTOBER 31, 2023</t>
  </si>
  <si>
    <t>FOR THE MONTH ENDED:  OCTOBER 31, 2023</t>
  </si>
  <si>
    <t>THRU MONTH ENDED:   OCTOBER 31, 2023</t>
  </si>
  <si>
    <t>THRU MONTH ENDED:    OCTOBER 31, 2023</t>
  </si>
  <si>
    <t>THRU MONTH ENDED:     OCTOBER 31, 2023</t>
  </si>
  <si>
    <t>(as reported on the tax remittal database dtd 11/9/23)</t>
  </si>
  <si>
    <t>(as reported on the tax remittal database as of 11/09/23)</t>
  </si>
  <si>
    <t>(as reported on the tax remittal database dtd 11/09/23)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</si>
</sst>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74"/>
  <sheetViews>
    <sheetView tabSelected="1" showOutlineSymbols="0" zoomScaleNormal="100" workbookViewId="0">
      <selection activeCell="A9" sqref="A9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77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>(+C9-D9)/D9</f>
        <v>-8.7050283789798247E-2</v>
      </c>
      <c r="F9" s="21">
        <f>+C9-94713</f>
        <v>104258</v>
      </c>
      <c r="G9" s="21">
        <f>+D9-101378</f>
        <v>116565</v>
      </c>
      <c r="H9" s="23">
        <f>(+F9-G9)/G9</f>
        <v>-0.1055805773602711</v>
      </c>
      <c r="I9" s="24">
        <f>K9/C9</f>
        <v>75.297311065431643</v>
      </c>
      <c r="J9" s="24">
        <f>K9/F9</f>
        <v>143.7010232308312</v>
      </c>
      <c r="K9" s="21">
        <v>14981981.279999999</v>
      </c>
      <c r="L9" s="21">
        <v>15995475.4</v>
      </c>
      <c r="M9" s="25">
        <f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>(+C10-D10)/D10</f>
        <v>-6.9483163193678421E-2</v>
      </c>
      <c r="F10" s="21">
        <f>+C10-87146</f>
        <v>98440</v>
      </c>
      <c r="G10" s="21">
        <f>+D10-93160</f>
        <v>106284</v>
      </c>
      <c r="H10" s="23">
        <f>(+F10-G10)/G10</f>
        <v>-7.3802265627940233E-2</v>
      </c>
      <c r="I10" s="24">
        <f>K10/C10</f>
        <v>76.121730733999328</v>
      </c>
      <c r="J10" s="24">
        <f>K10/F10</f>
        <v>143.51003169443317</v>
      </c>
      <c r="K10" s="21">
        <v>14127127.52</v>
      </c>
      <c r="L10" s="21">
        <v>15184238.189999999</v>
      </c>
      <c r="M10" s="25">
        <f>(+K10-L10)/L10</f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185704</v>
      </c>
      <c r="D11" s="22">
        <v>190853</v>
      </c>
      <c r="E11" s="23">
        <f>(+C11-D11)/D11</f>
        <v>-2.6978879032553849E-2</v>
      </c>
      <c r="F11" s="21">
        <f>+C11-86770</f>
        <v>98934</v>
      </c>
      <c r="G11" s="21">
        <f>+D11-90801</f>
        <v>100052</v>
      </c>
      <c r="H11" s="23">
        <f>(+F11-G11)/G11</f>
        <v>-1.117418942150082E-2</v>
      </c>
      <c r="I11" s="24">
        <f>K11/C11</f>
        <v>68.841302179813027</v>
      </c>
      <c r="J11" s="24">
        <f>K11/F11</f>
        <v>129.21852123637981</v>
      </c>
      <c r="K11" s="21">
        <v>12784105.18</v>
      </c>
      <c r="L11" s="21">
        <v>13875166.15</v>
      </c>
      <c r="M11" s="25">
        <f>(+K11-L11)/L11</f>
        <v>-7.8634083239428498E-2</v>
      </c>
      <c r="N11" s="10"/>
      <c r="R11" s="2"/>
    </row>
    <row r="12" spans="1:18" ht="15.75" x14ac:dyDescent="0.25">
      <c r="A12" s="19"/>
      <c r="B12" s="20">
        <f>DATE(2023,10,1)</f>
        <v>45200</v>
      </c>
      <c r="C12" s="21">
        <v>169461</v>
      </c>
      <c r="D12" s="22">
        <v>191998</v>
      </c>
      <c r="E12" s="23">
        <f>(+C12-D12)/D12</f>
        <v>-0.1173814310565735</v>
      </c>
      <c r="F12" s="21">
        <f>+C12-78160</f>
        <v>91301</v>
      </c>
      <c r="G12" s="21">
        <f>+D12-90818</f>
        <v>101180</v>
      </c>
      <c r="H12" s="23">
        <f>(+F12-G12)/G12</f>
        <v>-9.763787309745009E-2</v>
      </c>
      <c r="I12" s="24">
        <f>K12/C12</f>
        <v>75.899825151509788</v>
      </c>
      <c r="J12" s="24">
        <f>K12/F12</f>
        <v>140.87534933899957</v>
      </c>
      <c r="K12" s="21">
        <v>12862060.27</v>
      </c>
      <c r="L12" s="21">
        <v>14645832.02</v>
      </c>
      <c r="M12" s="25">
        <f>(+K12-L12)/L12</f>
        <v>-0.1217938146200314</v>
      </c>
      <c r="N12" s="10"/>
      <c r="R12" s="2"/>
    </row>
    <row r="13" spans="1:18" ht="15.75" customHeight="1" thickBot="1" x14ac:dyDescent="0.3">
      <c r="A13" s="19"/>
      <c r="B13" s="20"/>
      <c r="C13" s="21"/>
      <c r="D13" s="21"/>
      <c r="E13" s="23"/>
      <c r="F13" s="21"/>
      <c r="G13" s="21"/>
      <c r="H13" s="23"/>
      <c r="I13" s="24"/>
      <c r="J13" s="24"/>
      <c r="K13" s="21"/>
      <c r="L13" s="21"/>
      <c r="M13" s="25"/>
      <c r="N13" s="10"/>
      <c r="R13" s="2"/>
    </row>
    <row r="14" spans="1:18" ht="17.25" thickTop="1" thickBot="1" x14ac:dyDescent="0.3">
      <c r="A14" s="26" t="s">
        <v>14</v>
      </c>
      <c r="B14" s="27"/>
      <c r="C14" s="28">
        <f>SUM(C9:C13)</f>
        <v>739722</v>
      </c>
      <c r="D14" s="28">
        <f>SUM(D9:D13)</f>
        <v>800238</v>
      </c>
      <c r="E14" s="279">
        <f>(+C14-D14)/D14</f>
        <v>-7.5622502305564096E-2</v>
      </c>
      <c r="F14" s="28">
        <f>SUM(F9:F13)</f>
        <v>392933</v>
      </c>
      <c r="G14" s="28">
        <f>SUM(G9:G13)</f>
        <v>424081</v>
      </c>
      <c r="H14" s="30">
        <f>(+F14-G14)/G14</f>
        <v>-7.34482327668535E-2</v>
      </c>
      <c r="I14" s="31">
        <f>K14/C14</f>
        <v>74.021421899037747</v>
      </c>
      <c r="J14" s="31">
        <f>K14/F14</f>
        <v>139.35015447926236</v>
      </c>
      <c r="K14" s="28">
        <f>SUM(K9:K13)</f>
        <v>54755274.25</v>
      </c>
      <c r="L14" s="28">
        <f>SUM(L9:L13)</f>
        <v>59700711.760000005</v>
      </c>
      <c r="M14" s="32">
        <f>(+K14-L14)/L14</f>
        <v>-8.2837161638556728E-2</v>
      </c>
      <c r="N14" s="10"/>
      <c r="R14" s="2"/>
    </row>
    <row r="15" spans="1:18" ht="15.75" customHeight="1" thickTop="1" x14ac:dyDescent="0.25">
      <c r="A15" s="15"/>
      <c r="B15" s="16"/>
      <c r="C15" s="16"/>
      <c r="D15" s="16"/>
      <c r="E15" s="17"/>
      <c r="F15" s="16"/>
      <c r="G15" s="16"/>
      <c r="H15" s="17"/>
      <c r="I15" s="16"/>
      <c r="J15" s="16"/>
      <c r="K15" s="195"/>
      <c r="L15" s="195"/>
      <c r="M15" s="18"/>
      <c r="N15" s="10"/>
      <c r="R15" s="2"/>
    </row>
    <row r="16" spans="1:18" ht="15.75" x14ac:dyDescent="0.25">
      <c r="A16" s="19" t="s">
        <v>15</v>
      </c>
      <c r="B16" s="20">
        <f>DATE(2023,7,1)</f>
        <v>45108</v>
      </c>
      <c r="C16" s="21">
        <v>114764</v>
      </c>
      <c r="D16" s="21">
        <v>114715</v>
      </c>
      <c r="E16" s="23">
        <f>(+C16-D16)/D16</f>
        <v>4.2714553458571243E-4</v>
      </c>
      <c r="F16" s="21">
        <f>+C16-56037</f>
        <v>58727</v>
      </c>
      <c r="G16" s="21">
        <f>+D16-55568</f>
        <v>59147</v>
      </c>
      <c r="H16" s="23">
        <f>(+F16-G16)/G16</f>
        <v>-7.1009518656905673E-3</v>
      </c>
      <c r="I16" s="24">
        <f>K16/C16</f>
        <v>71.3647338886759</v>
      </c>
      <c r="J16" s="24">
        <f>K16/F16</f>
        <v>139.46059427520561</v>
      </c>
      <c r="K16" s="21">
        <v>8190102.3200000003</v>
      </c>
      <c r="L16" s="21">
        <v>8395754.2100000009</v>
      </c>
      <c r="M16" s="25">
        <f>(+K16-L16)/L16</f>
        <v>-2.4494748757062597E-2</v>
      </c>
      <c r="N16" s="10"/>
      <c r="R16" s="2"/>
    </row>
    <row r="17" spans="1:18" ht="15.75" x14ac:dyDescent="0.25">
      <c r="A17" s="19"/>
      <c r="B17" s="20">
        <f>DATE(2023,8,1)</f>
        <v>45139</v>
      </c>
      <c r="C17" s="21">
        <v>103488</v>
      </c>
      <c r="D17" s="21">
        <v>103784</v>
      </c>
      <c r="E17" s="23">
        <f>(+C17-D17)/D17</f>
        <v>-2.8520773915054346E-3</v>
      </c>
      <c r="F17" s="21">
        <f>+C17-50126</f>
        <v>53362</v>
      </c>
      <c r="G17" s="21">
        <f>+D17-49858</f>
        <v>53926</v>
      </c>
      <c r="H17" s="23">
        <f>(+F17-G17)/G17</f>
        <v>-1.0458776842339501E-2</v>
      </c>
      <c r="I17" s="24">
        <f>K17/C17</f>
        <v>72.262649099412499</v>
      </c>
      <c r="J17" s="24">
        <f>K17/F17</f>
        <v>140.14311738690455</v>
      </c>
      <c r="K17" s="21">
        <v>7478317.0300000003</v>
      </c>
      <c r="L17" s="21">
        <v>7565961.5300000003</v>
      </c>
      <c r="M17" s="25">
        <f>(+K17-L17)/L17</f>
        <v>-1.1584053084657965E-2</v>
      </c>
      <c r="N17" s="10"/>
      <c r="R17" s="2"/>
    </row>
    <row r="18" spans="1:18" ht="15.75" x14ac:dyDescent="0.25">
      <c r="A18" s="19"/>
      <c r="B18" s="20">
        <f>DATE(2023,9,1)</f>
        <v>45170</v>
      </c>
      <c r="C18" s="21">
        <v>100304</v>
      </c>
      <c r="D18" s="21">
        <v>107511</v>
      </c>
      <c r="E18" s="23">
        <f>(+C18-D18)/D18</f>
        <v>-6.7035001069657985E-2</v>
      </c>
      <c r="F18" s="21">
        <f>+C18-48762</f>
        <v>51542</v>
      </c>
      <c r="G18" s="21">
        <f>+D18-51983</f>
        <v>55528</v>
      </c>
      <c r="H18" s="23">
        <f>(+F18-G18)/G18</f>
        <v>-7.1783604667915279E-2</v>
      </c>
      <c r="I18" s="24">
        <f>K18/C18</f>
        <v>71.829143703142449</v>
      </c>
      <c r="J18" s="24">
        <f>K18/F18</f>
        <v>139.78406794458888</v>
      </c>
      <c r="K18" s="21">
        <v>7204750.4299999997</v>
      </c>
      <c r="L18" s="21">
        <v>7793918.54</v>
      </c>
      <c r="M18" s="25">
        <f>(+K18-L18)/L18</f>
        <v>-7.5593311243409581E-2</v>
      </c>
      <c r="N18" s="10"/>
      <c r="R18" s="2"/>
    </row>
    <row r="19" spans="1:18" ht="15.75" x14ac:dyDescent="0.25">
      <c r="A19" s="19"/>
      <c r="B19" s="20">
        <f>DATE(2023,10,1)</f>
        <v>45200</v>
      </c>
      <c r="C19" s="21">
        <v>93178</v>
      </c>
      <c r="D19" s="21">
        <v>104490</v>
      </c>
      <c r="E19" s="23">
        <f>(+C19-D19)/D19</f>
        <v>-0.10825916355632118</v>
      </c>
      <c r="F19" s="21">
        <f>+C19-45141</f>
        <v>48037</v>
      </c>
      <c r="G19" s="21">
        <f>+D19-49825</f>
        <v>54665</v>
      </c>
      <c r="H19" s="23">
        <f>(+F19-G19)/G19</f>
        <v>-0.121247599012165</v>
      </c>
      <c r="I19" s="24">
        <f>K19/C19</f>
        <v>70.092507136877799</v>
      </c>
      <c r="J19" s="24">
        <f>K19/F19</f>
        <v>135.95935695401462</v>
      </c>
      <c r="K19" s="21">
        <v>6531079.6299999999</v>
      </c>
      <c r="L19" s="21">
        <v>7661616.3399999999</v>
      </c>
      <c r="M19" s="25">
        <f>(+K19-L19)/L19</f>
        <v>-0.14755851243785981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customHeight="1" thickTop="1" thickBot="1" x14ac:dyDescent="0.3">
      <c r="A21" s="26" t="s">
        <v>14</v>
      </c>
      <c r="B21" s="27"/>
      <c r="C21" s="28">
        <f>SUM(C16:C20)</f>
        <v>411734</v>
      </c>
      <c r="D21" s="28">
        <f>SUM(D16:D20)</f>
        <v>430500</v>
      </c>
      <c r="E21" s="279">
        <f>(+C21-D21)/D21</f>
        <v>-4.3591173054587685E-2</v>
      </c>
      <c r="F21" s="28">
        <f>SUM(F16:F20)</f>
        <v>211668</v>
      </c>
      <c r="G21" s="28">
        <f>SUM(G16:G20)</f>
        <v>223266</v>
      </c>
      <c r="H21" s="30">
        <f>(+F21-G21)/G21</f>
        <v>-5.1947004917900622E-2</v>
      </c>
      <c r="I21" s="31">
        <f>K21/C21</f>
        <v>71.415645562426221</v>
      </c>
      <c r="J21" s="31">
        <f>K21/F21</f>
        <v>138.91683868133114</v>
      </c>
      <c r="K21" s="28">
        <f>SUM(K16:K20)</f>
        <v>29404249.41</v>
      </c>
      <c r="L21" s="28">
        <f>SUM(L16:L20)</f>
        <v>31417250.620000001</v>
      </c>
      <c r="M21" s="32">
        <f>(+K21-L21)/L21</f>
        <v>-6.4073118120607869E-2</v>
      </c>
      <c r="N21" s="10"/>
      <c r="R21" s="2"/>
    </row>
    <row r="22" spans="1:18" ht="15.75" customHeight="1" thickTop="1" x14ac:dyDescent="0.25">
      <c r="A22" s="33"/>
      <c r="B22" s="34"/>
      <c r="C22" s="35"/>
      <c r="D22" s="35"/>
      <c r="E22" s="29"/>
      <c r="F22" s="35"/>
      <c r="G22" s="35"/>
      <c r="H22" s="29"/>
      <c r="I22" s="36"/>
      <c r="J22" s="36"/>
      <c r="K22" s="35"/>
      <c r="L22" s="35"/>
      <c r="M22" s="37"/>
      <c r="N22" s="10"/>
      <c r="R22" s="2"/>
    </row>
    <row r="23" spans="1:18" ht="15.75" customHeight="1" x14ac:dyDescent="0.25">
      <c r="A23" s="19" t="s">
        <v>62</v>
      </c>
      <c r="B23" s="20">
        <f>DATE(2023,7,1)</f>
        <v>45108</v>
      </c>
      <c r="C23" s="21">
        <v>62207</v>
      </c>
      <c r="D23" s="21">
        <v>56544</v>
      </c>
      <c r="E23" s="23">
        <f>(+C23-D23)/D23</f>
        <v>0.10015209394453876</v>
      </c>
      <c r="F23" s="21">
        <f>+C23-32355</f>
        <v>29852</v>
      </c>
      <c r="G23" s="21">
        <f>+D23-31773</f>
        <v>24771</v>
      </c>
      <c r="H23" s="23">
        <f>(+F23-G23)/G23</f>
        <v>0.20511888902345485</v>
      </c>
      <c r="I23" s="24">
        <f>K23/C23</f>
        <v>62.61233446396708</v>
      </c>
      <c r="J23" s="24">
        <f>K23/F23</f>
        <v>130.47452398499263</v>
      </c>
      <c r="K23" s="21">
        <v>3894925.49</v>
      </c>
      <c r="L23" s="21">
        <v>3786512.7</v>
      </c>
      <c r="M23" s="25">
        <f>(+K23-L23)/L23</f>
        <v>2.8631302359028145E-2</v>
      </c>
      <c r="N23" s="10"/>
      <c r="R23" s="2"/>
    </row>
    <row r="24" spans="1:18" ht="15.75" customHeight="1" x14ac:dyDescent="0.25">
      <c r="A24" s="19"/>
      <c r="B24" s="20">
        <f>DATE(2023,8,1)</f>
        <v>45139</v>
      </c>
      <c r="C24" s="21">
        <v>55791</v>
      </c>
      <c r="D24" s="21">
        <v>49669</v>
      </c>
      <c r="E24" s="23">
        <f>(+C24-D24)/D24</f>
        <v>0.12325595441824881</v>
      </c>
      <c r="F24" s="21">
        <f>+C24-28978</f>
        <v>26813</v>
      </c>
      <c r="G24" s="21">
        <f>+D24-27651</f>
        <v>22018</v>
      </c>
      <c r="H24" s="23">
        <f>(+F24-G24)/G24</f>
        <v>0.21777636479244256</v>
      </c>
      <c r="I24" s="24">
        <f>K24/C24</f>
        <v>67.347290960907671</v>
      </c>
      <c r="J24" s="24">
        <f>K24/F24</f>
        <v>140.13249953380821</v>
      </c>
      <c r="K24" s="21">
        <v>3757372.71</v>
      </c>
      <c r="L24" s="21">
        <v>3497013.51</v>
      </c>
      <c r="M24" s="25">
        <f>(+K24-L24)/L24</f>
        <v>7.4451871362658878E-2</v>
      </c>
      <c r="N24" s="10"/>
      <c r="R24" s="2"/>
    </row>
    <row r="25" spans="1:18" ht="15.75" customHeight="1" x14ac:dyDescent="0.25">
      <c r="A25" s="19"/>
      <c r="B25" s="20">
        <f>DATE(2023,9,1)</f>
        <v>45170</v>
      </c>
      <c r="C25" s="21">
        <v>56687</v>
      </c>
      <c r="D25" s="21">
        <v>50523</v>
      </c>
      <c r="E25" s="23">
        <f>(+C25-D25)/D25</f>
        <v>0.12200383983532252</v>
      </c>
      <c r="F25" s="21">
        <f>+C25-29799</f>
        <v>26888</v>
      </c>
      <c r="G25" s="21">
        <f>+D25-27954</f>
        <v>22569</v>
      </c>
      <c r="H25" s="23">
        <f>(+F25-G25)/G25</f>
        <v>0.19136869156808012</v>
      </c>
      <c r="I25" s="24">
        <f>K25/C25</f>
        <v>70.977173955227826</v>
      </c>
      <c r="J25" s="24">
        <f>K25/F25</f>
        <v>149.63861425171081</v>
      </c>
      <c r="K25" s="21">
        <v>4023483.06</v>
      </c>
      <c r="L25" s="21">
        <v>3596804.25</v>
      </c>
      <c r="M25" s="25">
        <f>(+K25-L25)/L25</f>
        <v>0.11862719801890804</v>
      </c>
      <c r="N25" s="10"/>
      <c r="R25" s="2"/>
    </row>
    <row r="26" spans="1:18" ht="15.75" customHeight="1" x14ac:dyDescent="0.25">
      <c r="A26" s="19"/>
      <c r="B26" s="20">
        <f>DATE(2023,10,1)</f>
        <v>45200</v>
      </c>
      <c r="C26" s="21">
        <v>50318</v>
      </c>
      <c r="D26" s="21">
        <v>47473</v>
      </c>
      <c r="E26" s="23">
        <f>(+C26-D26)/D26</f>
        <v>5.9928801634613359E-2</v>
      </c>
      <c r="F26" s="21">
        <f>+C26-26291</f>
        <v>24027</v>
      </c>
      <c r="G26" s="21">
        <f>+D26-26103</f>
        <v>21370</v>
      </c>
      <c r="H26" s="23">
        <f>(+F26-G26)/G26</f>
        <v>0.12433317735142724</v>
      </c>
      <c r="I26" s="24">
        <f>K26/C26</f>
        <v>73.565421916610362</v>
      </c>
      <c r="J26" s="24">
        <f>K26/F26</f>
        <v>154.06271694343863</v>
      </c>
      <c r="K26" s="21">
        <v>3701664.9</v>
      </c>
      <c r="L26" s="21">
        <v>3359585.24</v>
      </c>
      <c r="M26" s="25">
        <f>(+K26-L26)/L26</f>
        <v>0.1018219915741741</v>
      </c>
      <c r="N26" s="10"/>
      <c r="R26" s="2"/>
    </row>
    <row r="27" spans="1:18" ht="15.75" customHeight="1" thickBot="1" x14ac:dyDescent="0.25">
      <c r="A27" s="38"/>
      <c r="B27" s="20"/>
      <c r="C27" s="21"/>
      <c r="D27" s="21"/>
      <c r="E27" s="23"/>
      <c r="F27" s="21"/>
      <c r="G27" s="21"/>
      <c r="H27" s="23"/>
      <c r="I27" s="24"/>
      <c r="J27" s="24"/>
      <c r="K27" s="21"/>
      <c r="L27" s="21"/>
      <c r="M27" s="25"/>
      <c r="N27" s="10"/>
      <c r="R27" s="2"/>
    </row>
    <row r="28" spans="1:18" ht="17.25" customHeight="1" thickTop="1" thickBot="1" x14ac:dyDescent="0.3">
      <c r="A28" s="39" t="s">
        <v>14</v>
      </c>
      <c r="B28" s="40"/>
      <c r="C28" s="41">
        <f>SUM(C23:C27)</f>
        <v>225003</v>
      </c>
      <c r="D28" s="41">
        <f>SUM(D23:D27)</f>
        <v>204209</v>
      </c>
      <c r="E28" s="280">
        <f>(+C28-D28)/D28</f>
        <v>0.10182704973825835</v>
      </c>
      <c r="F28" s="41">
        <f>SUM(F23:F27)</f>
        <v>107580</v>
      </c>
      <c r="G28" s="41">
        <f>SUM(G23:G27)</f>
        <v>90728</v>
      </c>
      <c r="H28" s="42">
        <f>(+F28-G28)/G28</f>
        <v>0.18574199806013578</v>
      </c>
      <c r="I28" s="43">
        <f>K28/C28</f>
        <v>68.343293911636735</v>
      </c>
      <c r="J28" s="43">
        <f>K28/F28</f>
        <v>142.93963710726902</v>
      </c>
      <c r="K28" s="41">
        <f>SUM(K23:K27)</f>
        <v>15377446.16</v>
      </c>
      <c r="L28" s="41">
        <f>SUM(L23:L27)</f>
        <v>14239915.700000001</v>
      </c>
      <c r="M28" s="44">
        <f>(+K28-L28)/L28</f>
        <v>7.9883229926705185E-2</v>
      </c>
      <c r="N28" s="10"/>
      <c r="R28" s="2"/>
    </row>
    <row r="29" spans="1:18" ht="15.75" customHeight="1" thickTop="1" x14ac:dyDescent="0.2">
      <c r="A29" s="38"/>
      <c r="B29" s="45"/>
      <c r="C29" s="21"/>
      <c r="D29" s="21"/>
      <c r="E29" s="23"/>
      <c r="F29" s="21"/>
      <c r="G29" s="21"/>
      <c r="H29" s="23"/>
      <c r="I29" s="24"/>
      <c r="J29" s="24"/>
      <c r="K29" s="21"/>
      <c r="L29" s="21"/>
      <c r="M29" s="25"/>
      <c r="N29" s="10"/>
      <c r="R29" s="2"/>
    </row>
    <row r="30" spans="1:18" ht="15.75" customHeight="1" x14ac:dyDescent="0.25">
      <c r="A30" s="177" t="s">
        <v>58</v>
      </c>
      <c r="B30" s="20">
        <f>DATE(2023,7,1)</f>
        <v>45108</v>
      </c>
      <c r="C30" s="21">
        <v>351840</v>
      </c>
      <c r="D30" s="21">
        <v>327697</v>
      </c>
      <c r="E30" s="23">
        <f>(+C30-D30)/D30</f>
        <v>7.3674766628928551E-2</v>
      </c>
      <c r="F30" s="21">
        <f>+C30-174244</f>
        <v>177596</v>
      </c>
      <c r="G30" s="21">
        <f>+D30-165744</f>
        <v>161953</v>
      </c>
      <c r="H30" s="23">
        <f>(+F30-G30)/G30</f>
        <v>9.658975134761319E-2</v>
      </c>
      <c r="I30" s="24">
        <f>K30/C30</f>
        <v>63.26735044338335</v>
      </c>
      <c r="J30" s="24">
        <f>K30/F30</f>
        <v>125.34057399941439</v>
      </c>
      <c r="K30" s="21">
        <v>22259984.579999998</v>
      </c>
      <c r="L30" s="21">
        <v>21404058.239999998</v>
      </c>
      <c r="M30" s="25">
        <f>(+K30-L30)/L30</f>
        <v>3.9988974539437616E-2</v>
      </c>
      <c r="N30" s="10"/>
      <c r="R30" s="2"/>
    </row>
    <row r="31" spans="1:18" ht="15.75" customHeight="1" x14ac:dyDescent="0.25">
      <c r="A31" s="177"/>
      <c r="B31" s="20">
        <f>DATE(2023,8,1)</f>
        <v>45139</v>
      </c>
      <c r="C31" s="21">
        <v>330822</v>
      </c>
      <c r="D31" s="21">
        <v>302775</v>
      </c>
      <c r="E31" s="23">
        <f>(+C31-D31)/D31</f>
        <v>9.2633143423334161E-2</v>
      </c>
      <c r="F31" s="21">
        <f>+C31-166752</f>
        <v>164070</v>
      </c>
      <c r="G31" s="21">
        <f>+D31-150422</f>
        <v>152353</v>
      </c>
      <c r="H31" s="23">
        <f>(+F31-G31)/G31</f>
        <v>7.6906920113158264E-2</v>
      </c>
      <c r="I31" s="24">
        <f>K31/C31</f>
        <v>60.320833197308524</v>
      </c>
      <c r="J31" s="24">
        <f>K31/F31</f>
        <v>121.62771183031633</v>
      </c>
      <c r="K31" s="21">
        <v>19955458.68</v>
      </c>
      <c r="L31" s="21">
        <v>19341318.82</v>
      </c>
      <c r="M31" s="25">
        <f>(+K31-L31)/L31</f>
        <v>3.1752739599377508E-2</v>
      </c>
      <c r="N31" s="10"/>
      <c r="R31" s="2"/>
    </row>
    <row r="32" spans="1:18" ht="15.75" customHeight="1" x14ac:dyDescent="0.25">
      <c r="A32" s="177"/>
      <c r="B32" s="20">
        <f>DATE(2023,9,1)</f>
        <v>45170</v>
      </c>
      <c r="C32" s="21">
        <v>316962</v>
      </c>
      <c r="D32" s="21">
        <v>299586</v>
      </c>
      <c r="E32" s="23">
        <f>(+C32-D32)/D32</f>
        <v>5.8000040055276279E-2</v>
      </c>
      <c r="F32" s="21">
        <f>+C32-158185</f>
        <v>158777</v>
      </c>
      <c r="G32" s="21">
        <f>+D32-150974</f>
        <v>148612</v>
      </c>
      <c r="H32" s="23">
        <f>(+F32-G32)/G32</f>
        <v>6.8399590880951738E-2</v>
      </c>
      <c r="I32" s="24">
        <f>K32/C32</f>
        <v>64.654702235599217</v>
      </c>
      <c r="J32" s="24">
        <f>K32/F32</f>
        <v>129.06833943203361</v>
      </c>
      <c r="K32" s="21">
        <v>20493083.73</v>
      </c>
      <c r="L32" s="21">
        <v>21154344.73</v>
      </c>
      <c r="M32" s="25">
        <f>(+K32-L32)/L32</f>
        <v>-3.1258874166980637E-2</v>
      </c>
      <c r="N32" s="10"/>
      <c r="R32" s="2"/>
    </row>
    <row r="33" spans="1:18" ht="15.75" customHeight="1" x14ac:dyDescent="0.25">
      <c r="A33" s="177"/>
      <c r="B33" s="20">
        <f>DATE(2023,10,1)</f>
        <v>45200</v>
      </c>
      <c r="C33" s="21">
        <v>288802</v>
      </c>
      <c r="D33" s="21">
        <v>280901</v>
      </c>
      <c r="E33" s="23">
        <f>(+C33-D33)/D33</f>
        <v>2.812734735725398E-2</v>
      </c>
      <c r="F33" s="21">
        <f>+C33-147350</f>
        <v>141452</v>
      </c>
      <c r="G33" s="21">
        <f>+D33-143073</f>
        <v>137828</v>
      </c>
      <c r="H33" s="23">
        <f>(+F33-G33)/G33</f>
        <v>2.6293641350088517E-2</v>
      </c>
      <c r="I33" s="24">
        <f>K33/C33</f>
        <v>67.021046876406672</v>
      </c>
      <c r="J33" s="24">
        <f>K33/F33</f>
        <v>136.83661157141646</v>
      </c>
      <c r="K33" s="21">
        <v>19355812.379999999</v>
      </c>
      <c r="L33" s="21">
        <v>19256450</v>
      </c>
      <c r="M33" s="25">
        <f>(+K33-L33)/L33</f>
        <v>5.1599531585520154E-3</v>
      </c>
      <c r="N33" s="10"/>
      <c r="R33" s="2"/>
    </row>
    <row r="34" spans="1:18" ht="15.75" thickBot="1" x14ac:dyDescent="0.25">
      <c r="A34" s="38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thickTop="1" thickBot="1" x14ac:dyDescent="0.3">
      <c r="A35" s="39" t="s">
        <v>14</v>
      </c>
      <c r="B35" s="40"/>
      <c r="C35" s="41">
        <f>SUM(C30:C34)</f>
        <v>1288426</v>
      </c>
      <c r="D35" s="41">
        <f>SUM(D30:D34)</f>
        <v>1210959</v>
      </c>
      <c r="E35" s="280">
        <f>(+C35-D35)/D35</f>
        <v>6.3971612581433399E-2</v>
      </c>
      <c r="F35" s="41">
        <f>SUM(F30:F34)</f>
        <v>641895</v>
      </c>
      <c r="G35" s="41">
        <f>SUM(G30:G34)</f>
        <v>600746</v>
      </c>
      <c r="H35" s="42">
        <f>(+F35-G35)/G35</f>
        <v>6.8496502681665794E-2</v>
      </c>
      <c r="I35" s="43">
        <f>K35/C35</f>
        <v>63.693482877557571</v>
      </c>
      <c r="J35" s="43">
        <f>K35/F35</f>
        <v>127.84698333839646</v>
      </c>
      <c r="K35" s="41">
        <f>SUM(K30:K34)</f>
        <v>82064339.36999999</v>
      </c>
      <c r="L35" s="41">
        <f>SUM(L30:L34)</f>
        <v>81156171.790000007</v>
      </c>
      <c r="M35" s="44">
        <f>(+K35-L35)/L35</f>
        <v>1.1190369875380038E-2</v>
      </c>
      <c r="N35" s="10"/>
      <c r="R35" s="2"/>
    </row>
    <row r="36" spans="1:18" ht="15.75" thickTop="1" x14ac:dyDescent="0.2">
      <c r="A36" s="38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x14ac:dyDescent="0.25">
      <c r="A37" s="19" t="s">
        <v>60</v>
      </c>
      <c r="B37" s="20">
        <f>DATE(2023,7,1)</f>
        <v>45108</v>
      </c>
      <c r="C37" s="21">
        <v>199698</v>
      </c>
      <c r="D37" s="21">
        <v>219130</v>
      </c>
      <c r="E37" s="23">
        <f>(+C37-D37)/D37</f>
        <v>-8.8677953726098657E-2</v>
      </c>
      <c r="F37" s="21">
        <f>+C37-94634</f>
        <v>105064</v>
      </c>
      <c r="G37" s="21">
        <f>+D37-103416</f>
        <v>115714</v>
      </c>
      <c r="H37" s="23">
        <f>(+F37-G37)/G37</f>
        <v>-9.2037264289541454E-2</v>
      </c>
      <c r="I37" s="24">
        <f>K37/C37</f>
        <v>76.994882722911598</v>
      </c>
      <c r="J37" s="24">
        <f>K37/F37</f>
        <v>146.34626599025356</v>
      </c>
      <c r="K37" s="21">
        <v>15375724.09</v>
      </c>
      <c r="L37" s="21">
        <v>15073309.060000001</v>
      </c>
      <c r="M37" s="25">
        <f>(+K37-L37)/L37</f>
        <v>2.0062948938167617E-2</v>
      </c>
      <c r="N37" s="10"/>
      <c r="R37" s="2"/>
    </row>
    <row r="38" spans="1:18" ht="15.75" x14ac:dyDescent="0.25">
      <c r="A38" s="19"/>
      <c r="B38" s="20">
        <f>DATE(2023,8,1)</f>
        <v>45139</v>
      </c>
      <c r="C38" s="21">
        <v>185862</v>
      </c>
      <c r="D38" s="21">
        <v>204381</v>
      </c>
      <c r="E38" s="23">
        <f>(+C38-D38)/D38</f>
        <v>-9.0610183921205983E-2</v>
      </c>
      <c r="F38" s="21">
        <f>+C38-90658</f>
        <v>95204</v>
      </c>
      <c r="G38" s="21">
        <f>+D38-97907</f>
        <v>106474</v>
      </c>
      <c r="H38" s="23">
        <f>(+F38-G38)/G38</f>
        <v>-0.10584743693296016</v>
      </c>
      <c r="I38" s="24">
        <f>K38/C38</f>
        <v>75.718013848984725</v>
      </c>
      <c r="J38" s="24">
        <f>K38/F38</f>
        <v>147.8204853787656</v>
      </c>
      <c r="K38" s="21">
        <v>14073101.49</v>
      </c>
      <c r="L38" s="21">
        <v>15308950.33</v>
      </c>
      <c r="M38" s="25">
        <f>(+K38-L38)/L38</f>
        <v>-8.0727209466359265E-2</v>
      </c>
      <c r="N38" s="10"/>
      <c r="R38" s="2"/>
    </row>
    <row r="39" spans="1:18" ht="15.75" x14ac:dyDescent="0.25">
      <c r="A39" s="19"/>
      <c r="B39" s="20">
        <f>DATE(2023,9,1)</f>
        <v>45170</v>
      </c>
      <c r="C39" s="21">
        <v>187631</v>
      </c>
      <c r="D39" s="21">
        <v>195879</v>
      </c>
      <c r="E39" s="23">
        <f>(+C39-D39)/D39</f>
        <v>-4.2107627668101229E-2</v>
      </c>
      <c r="F39" s="21">
        <f>+C39-91547</f>
        <v>96084</v>
      </c>
      <c r="G39" s="21">
        <f>+D39-93599</f>
        <v>102280</v>
      </c>
      <c r="H39" s="23">
        <f>(+F39-G39)/G39</f>
        <v>-6.0578803285099729E-2</v>
      </c>
      <c r="I39" s="24">
        <f>K39/C39</f>
        <v>73.725347463905223</v>
      </c>
      <c r="J39" s="24">
        <f>K39/F39</f>
        <v>143.96945037675368</v>
      </c>
      <c r="K39" s="21">
        <v>13833160.67</v>
      </c>
      <c r="L39" s="21">
        <v>13847415.310000001</v>
      </c>
      <c r="M39" s="25">
        <f>(+K39-L39)/L39</f>
        <v>-1.0294079928191736E-3</v>
      </c>
      <c r="N39" s="10"/>
      <c r="R39" s="2"/>
    </row>
    <row r="40" spans="1:18" ht="15.75" x14ac:dyDescent="0.25">
      <c r="A40" s="19"/>
      <c r="B40" s="20">
        <f>DATE(2023,10,1)</f>
        <v>45200</v>
      </c>
      <c r="C40" s="21">
        <v>183725</v>
      </c>
      <c r="D40" s="21">
        <v>197679</v>
      </c>
      <c r="E40" s="23">
        <f>(+C40-D40)/D40</f>
        <v>-7.058918752118333E-2</v>
      </c>
      <c r="F40" s="21">
        <f>+C40-90840</f>
        <v>92885</v>
      </c>
      <c r="G40" s="21">
        <f>+D40-94885</f>
        <v>102794</v>
      </c>
      <c r="H40" s="23">
        <f>(+F40-G40)/G40</f>
        <v>-9.6396676848843316E-2</v>
      </c>
      <c r="I40" s="24">
        <f>K40/C40</f>
        <v>72.951255517757517</v>
      </c>
      <c r="J40" s="24">
        <f>K40/F40</f>
        <v>144.29638176239436</v>
      </c>
      <c r="K40" s="21">
        <v>13402969.42</v>
      </c>
      <c r="L40" s="21">
        <v>11929810.6</v>
      </c>
      <c r="M40" s="25">
        <f>(+K40-L40)/L40</f>
        <v>0.12348551619084383</v>
      </c>
      <c r="N40" s="10"/>
      <c r="R40" s="2"/>
    </row>
    <row r="41" spans="1:18" ht="15.75" thickBot="1" x14ac:dyDescent="0.25">
      <c r="A41" s="38"/>
      <c r="B41" s="20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thickTop="1" thickBot="1" x14ac:dyDescent="0.3">
      <c r="A42" s="39" t="s">
        <v>14</v>
      </c>
      <c r="B42" s="40"/>
      <c r="C42" s="41">
        <f>SUM(C37:C41)</f>
        <v>756916</v>
      </c>
      <c r="D42" s="41">
        <f>SUM(D37:D41)</f>
        <v>817069</v>
      </c>
      <c r="E42" s="281">
        <f>(+C42-D42)/D42</f>
        <v>-7.3620465346255951E-2</v>
      </c>
      <c r="F42" s="47">
        <f>SUM(F37:F41)</f>
        <v>389237</v>
      </c>
      <c r="G42" s="48">
        <f>SUM(G37:G41)</f>
        <v>427262</v>
      </c>
      <c r="H42" s="49">
        <f>(+F42-G42)/G42</f>
        <v>-8.8996915241701807E-2</v>
      </c>
      <c r="I42" s="50">
        <f>K42/C42</f>
        <v>74.88936113122196</v>
      </c>
      <c r="J42" s="51">
        <f>K42/F42</f>
        <v>145.63095407168385</v>
      </c>
      <c r="K42" s="48">
        <f>SUM(K37:K41)</f>
        <v>56684955.670000002</v>
      </c>
      <c r="L42" s="47">
        <f>SUM(L37:L41)</f>
        <v>56159485.300000004</v>
      </c>
      <c r="M42" s="44">
        <f>(+K42-L42)/L42</f>
        <v>9.3567518860433237E-3</v>
      </c>
      <c r="N42" s="10"/>
      <c r="R42" s="2"/>
    </row>
    <row r="43" spans="1:18" ht="15.75" customHeight="1" thickTop="1" x14ac:dyDescent="0.25">
      <c r="A43" s="273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x14ac:dyDescent="0.25">
      <c r="A44" s="274" t="s">
        <v>61</v>
      </c>
      <c r="B44" s="20">
        <f>DATE(2023,7,1)</f>
        <v>45108</v>
      </c>
      <c r="C44" s="21">
        <v>94450</v>
      </c>
      <c r="D44" s="21">
        <v>95268</v>
      </c>
      <c r="E44" s="23">
        <f>(+C44-D44)/D44</f>
        <v>-8.5863039005752186E-3</v>
      </c>
      <c r="F44" s="21">
        <f>+C44-47449</f>
        <v>47001</v>
      </c>
      <c r="G44" s="21">
        <f>+D44-47922</f>
        <v>47346</v>
      </c>
      <c r="H44" s="23">
        <f>(+F44-G44)/G44</f>
        <v>-7.2867824103408944E-3</v>
      </c>
      <c r="I44" s="24">
        <f>K44/C44</f>
        <v>66.529558814187396</v>
      </c>
      <c r="J44" s="24">
        <f>K44/F44</f>
        <v>133.69325822854833</v>
      </c>
      <c r="K44" s="21">
        <v>6283716.8300000001</v>
      </c>
      <c r="L44" s="21">
        <v>6260150.0999999996</v>
      </c>
      <c r="M44" s="25">
        <f>(+K44-L44)/L44</f>
        <v>3.7645630893100228E-3</v>
      </c>
      <c r="N44" s="10"/>
      <c r="R44" s="2"/>
    </row>
    <row r="45" spans="1:18" ht="15.75" x14ac:dyDescent="0.25">
      <c r="A45" s="274"/>
      <c r="B45" s="20">
        <f>DATE(2023,8,1)</f>
        <v>45139</v>
      </c>
      <c r="C45" s="21">
        <v>85640</v>
      </c>
      <c r="D45" s="21">
        <v>85207</v>
      </c>
      <c r="E45" s="23">
        <f>(+C45-D45)/D45</f>
        <v>5.0817421103899916E-3</v>
      </c>
      <c r="F45" s="21">
        <f>+C45-42807</f>
        <v>42833</v>
      </c>
      <c r="G45" s="21">
        <f>+D45-42477</f>
        <v>42730</v>
      </c>
      <c r="H45" s="23">
        <f>(+F45-G45)/G45</f>
        <v>2.4104844371635853E-3</v>
      </c>
      <c r="I45" s="24">
        <f>K45/C45</f>
        <v>70.000778608127035</v>
      </c>
      <c r="J45" s="24">
        <f>K45/F45</f>
        <v>139.95906614059254</v>
      </c>
      <c r="K45" s="21">
        <v>5994866.6799999997</v>
      </c>
      <c r="L45" s="21">
        <v>5465144.5899999999</v>
      </c>
      <c r="M45" s="25">
        <f>(+K45-L45)/L45</f>
        <v>9.6927369674587122E-2</v>
      </c>
      <c r="N45" s="10"/>
      <c r="R45" s="2"/>
    </row>
    <row r="46" spans="1:18" ht="15.75" x14ac:dyDescent="0.25">
      <c r="A46" s="274"/>
      <c r="B46" s="20">
        <f>DATE(2023,9,1)</f>
        <v>45170</v>
      </c>
      <c r="C46" s="21">
        <v>85140</v>
      </c>
      <c r="D46" s="21">
        <v>84321</v>
      </c>
      <c r="E46" s="23">
        <f>(+C46-D46)/D46</f>
        <v>9.7128829117301748E-3</v>
      </c>
      <c r="F46" s="21">
        <f>+C46-42349</f>
        <v>42791</v>
      </c>
      <c r="G46" s="21">
        <f>+D46-41917</f>
        <v>42404</v>
      </c>
      <c r="H46" s="23">
        <f>(+F46-G46)/G46</f>
        <v>9.1264975002358275E-3</v>
      </c>
      <c r="I46" s="24">
        <f>K46/C46</f>
        <v>61.348339558374441</v>
      </c>
      <c r="J46" s="24">
        <f>K46/F46</f>
        <v>122.06299525601177</v>
      </c>
      <c r="K46" s="21">
        <v>5223197.63</v>
      </c>
      <c r="L46" s="21">
        <v>5380839.7999999998</v>
      </c>
      <c r="M46" s="25">
        <f>(+K46-L46)/L46</f>
        <v>-2.9296945432198136E-2</v>
      </c>
      <c r="N46" s="10"/>
      <c r="R46" s="2"/>
    </row>
    <row r="47" spans="1:18" ht="15.75" x14ac:dyDescent="0.25">
      <c r="A47" s="274"/>
      <c r="B47" s="20">
        <f>DATE(2023,10,1)</f>
        <v>45200</v>
      </c>
      <c r="C47" s="21">
        <v>78312</v>
      </c>
      <c r="D47" s="21">
        <v>85227</v>
      </c>
      <c r="E47" s="23">
        <f>(+C47-D47)/D47</f>
        <v>-8.1136259636030841E-2</v>
      </c>
      <c r="F47" s="21">
        <f>+C47-38948</f>
        <v>39364</v>
      </c>
      <c r="G47" s="21">
        <f>+D47-43095</f>
        <v>42132</v>
      </c>
      <c r="H47" s="23">
        <f>(+F47-G47)/G47</f>
        <v>-6.5698281591189595E-2</v>
      </c>
      <c r="I47" s="24">
        <f>K47/C47</f>
        <v>66.954319772193287</v>
      </c>
      <c r="J47" s="24">
        <f>K47/F47</f>
        <v>133.20106417030792</v>
      </c>
      <c r="K47" s="21">
        <v>5243326.6900000004</v>
      </c>
      <c r="L47" s="21">
        <v>5518454.2199999997</v>
      </c>
      <c r="M47" s="25">
        <f>(+K47-L47)/L47</f>
        <v>-4.9855905119749154E-2</v>
      </c>
      <c r="N47" s="10"/>
      <c r="R47" s="2"/>
    </row>
    <row r="48" spans="1:18" ht="15.75" customHeight="1" thickBot="1" x14ac:dyDescent="0.3">
      <c r="A48" s="19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45" customHeight="1" thickTop="1" thickBot="1" x14ac:dyDescent="0.3">
      <c r="A49" s="39" t="s">
        <v>14</v>
      </c>
      <c r="B49" s="52"/>
      <c r="C49" s="47">
        <f>SUM(C44:C48)</f>
        <v>343542</v>
      </c>
      <c r="D49" s="48">
        <f>SUM(D44:D48)</f>
        <v>350023</v>
      </c>
      <c r="E49" s="281">
        <f>(+C49-D49)/D49</f>
        <v>-1.85159260962851E-2</v>
      </c>
      <c r="F49" s="48">
        <f>SUM(F44:F48)</f>
        <v>171989</v>
      </c>
      <c r="G49" s="47">
        <f>SUM(G44:G48)</f>
        <v>174612</v>
      </c>
      <c r="H49" s="46">
        <f>(+F49-G49)/G49</f>
        <v>-1.5021877076031429E-2</v>
      </c>
      <c r="I49" s="51">
        <f>K49/C49</f>
        <v>66.207648060499153</v>
      </c>
      <c r="J49" s="50">
        <f>K49/F49</f>
        <v>132.24745669781208</v>
      </c>
      <c r="K49" s="47">
        <f>SUM(K44:K48)</f>
        <v>22745107.830000002</v>
      </c>
      <c r="L49" s="48">
        <f>SUM(L44:L48)</f>
        <v>22624588.709999997</v>
      </c>
      <c r="M49" s="44">
        <f>(+K49-L49)/L49</f>
        <v>5.3269087692513805E-3</v>
      </c>
      <c r="N49" s="10"/>
      <c r="R49" s="2"/>
    </row>
    <row r="50" spans="1:18" ht="15.75" customHeight="1" thickTop="1" x14ac:dyDescent="0.25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x14ac:dyDescent="0.25">
      <c r="A51" s="19" t="s">
        <v>67</v>
      </c>
      <c r="B51" s="20">
        <f>DATE(2023,7,1)</f>
        <v>45108</v>
      </c>
      <c r="C51" s="21">
        <v>219120</v>
      </c>
      <c r="D51" s="21">
        <v>220596</v>
      </c>
      <c r="E51" s="23">
        <f>(+C51-D51)/D51</f>
        <v>-6.6909644780503725E-3</v>
      </c>
      <c r="F51" s="21">
        <f>+C51-104679</f>
        <v>114441</v>
      </c>
      <c r="G51" s="21">
        <f>+D51-105104</f>
        <v>115492</v>
      </c>
      <c r="H51" s="23">
        <f>(+F51-G51)/G51</f>
        <v>-9.1001974162712562E-3</v>
      </c>
      <c r="I51" s="24">
        <f>K51/C51</f>
        <v>49.308570098576126</v>
      </c>
      <c r="J51" s="24">
        <f>K51/F51</f>
        <v>94.411040448790217</v>
      </c>
      <c r="K51" s="21">
        <v>10804493.880000001</v>
      </c>
      <c r="L51" s="21">
        <v>10606782.82</v>
      </c>
      <c r="M51" s="25">
        <f>(+K51-L51)/L51</f>
        <v>1.8640059229571414E-2</v>
      </c>
      <c r="N51" s="10"/>
      <c r="R51" s="2"/>
    </row>
    <row r="52" spans="1:18" ht="15.75" x14ac:dyDescent="0.25">
      <c r="A52" s="19"/>
      <c r="B52" s="20">
        <f>DATE(2023,8,1)</f>
        <v>45139</v>
      </c>
      <c r="C52" s="21">
        <v>218088</v>
      </c>
      <c r="D52" s="21">
        <v>204208</v>
      </c>
      <c r="E52" s="23">
        <f>(+C52-D52)/D52</f>
        <v>6.7969913029851919E-2</v>
      </c>
      <c r="F52" s="21">
        <f>+C52-101100</f>
        <v>116988</v>
      </c>
      <c r="G52" s="21">
        <f>+D52-95602</f>
        <v>108606</v>
      </c>
      <c r="H52" s="23">
        <f>(+F52-G52)/G52</f>
        <v>7.7178056460969008E-2</v>
      </c>
      <c r="I52" s="24">
        <f>K52/C52</f>
        <v>49.852029364293315</v>
      </c>
      <c r="J52" s="24">
        <f>K52/F52</f>
        <v>92.93371439805793</v>
      </c>
      <c r="K52" s="21">
        <v>10872129.380000001</v>
      </c>
      <c r="L52" s="21">
        <v>10300469.970000001</v>
      </c>
      <c r="M52" s="25">
        <f>(+K52-L52)/L52</f>
        <v>5.5498381303469797E-2</v>
      </c>
      <c r="N52" s="10"/>
      <c r="R52" s="2"/>
    </row>
    <row r="53" spans="1:18" ht="15.75" x14ac:dyDescent="0.25">
      <c r="A53" s="19"/>
      <c r="B53" s="20">
        <f>DATE(2023,9,1)</f>
        <v>45170</v>
      </c>
      <c r="C53" s="21">
        <v>241793</v>
      </c>
      <c r="D53" s="21">
        <v>202639</v>
      </c>
      <c r="E53" s="23">
        <f>(+C53-D53)/D53</f>
        <v>0.19322045608199803</v>
      </c>
      <c r="F53" s="21">
        <f>+C53-107184</f>
        <v>134609</v>
      </c>
      <c r="G53" s="21">
        <f>+D53-96056</f>
        <v>106583</v>
      </c>
      <c r="H53" s="23">
        <f>(+F53-G53)/G53</f>
        <v>0.26295000140735392</v>
      </c>
      <c r="I53" s="24">
        <f>K53/C53</f>
        <v>48.595700785382533</v>
      </c>
      <c r="J53" s="24">
        <f>K53/F53</f>
        <v>87.290599291280671</v>
      </c>
      <c r="K53" s="21">
        <v>11750100.279999999</v>
      </c>
      <c r="L53" s="21">
        <v>9829370.3000000007</v>
      </c>
      <c r="M53" s="25">
        <f>(+K53-L53)/L53</f>
        <v>0.19540722562868534</v>
      </c>
      <c r="N53" s="10"/>
      <c r="R53" s="2"/>
    </row>
    <row r="54" spans="1:18" ht="15.75" x14ac:dyDescent="0.25">
      <c r="A54" s="19"/>
      <c r="B54" s="20">
        <f>DATE(2023,10,1)</f>
        <v>45200</v>
      </c>
      <c r="C54" s="21">
        <v>245017</v>
      </c>
      <c r="D54" s="21">
        <v>197805</v>
      </c>
      <c r="E54" s="23">
        <f>(+C54-D54)/D54</f>
        <v>0.23867950759586462</v>
      </c>
      <c r="F54" s="21">
        <f>+C54-106290</f>
        <v>138727</v>
      </c>
      <c r="G54" s="21">
        <f>+D54-92993</f>
        <v>104812</v>
      </c>
      <c r="H54" s="23">
        <f>(+F54-G54)/G54</f>
        <v>0.32357936114185398</v>
      </c>
      <c r="I54" s="24">
        <f>K54/C54</f>
        <v>48.168125558634706</v>
      </c>
      <c r="J54" s="24">
        <f>K54/F54</f>
        <v>85.073631088396624</v>
      </c>
      <c r="K54" s="21">
        <v>11802009.619999999</v>
      </c>
      <c r="L54" s="21">
        <v>10418532.619999999</v>
      </c>
      <c r="M54" s="25">
        <f>(+K54-L54)/L54</f>
        <v>0.13279000512454125</v>
      </c>
      <c r="N54" s="10"/>
      <c r="R54" s="2"/>
    </row>
    <row r="55" spans="1:18" ht="15.75" customHeight="1" thickBot="1" x14ac:dyDescent="0.3">
      <c r="A55" s="19"/>
      <c r="B55" s="45"/>
      <c r="C55" s="21"/>
      <c r="D55" s="21"/>
      <c r="E55" s="23"/>
      <c r="F55" s="21"/>
      <c r="G55" s="21"/>
      <c r="H55" s="23"/>
      <c r="I55" s="24"/>
      <c r="J55" s="24"/>
      <c r="K55" s="21"/>
      <c r="L55" s="21"/>
      <c r="M55" s="25"/>
      <c r="N55" s="10"/>
      <c r="R55" s="2"/>
    </row>
    <row r="56" spans="1:18" ht="17.45" customHeight="1" thickTop="1" thickBot="1" x14ac:dyDescent="0.3">
      <c r="A56" s="39" t="s">
        <v>14</v>
      </c>
      <c r="B56" s="52"/>
      <c r="C56" s="47">
        <f>SUM(C51:C55)</f>
        <v>924018</v>
      </c>
      <c r="D56" s="48">
        <f>SUM(D51:D55)</f>
        <v>825248</v>
      </c>
      <c r="E56" s="281">
        <f>(+C56-D56)/D56</f>
        <v>0.1196852340145023</v>
      </c>
      <c r="F56" s="48">
        <f>SUM(F51:F55)</f>
        <v>504765</v>
      </c>
      <c r="G56" s="47">
        <f>SUM(G51:G55)</f>
        <v>435493</v>
      </c>
      <c r="H56" s="53">
        <f>(+F56-G56)/G56</f>
        <v>0.15906570254860583</v>
      </c>
      <c r="I56" s="51">
        <f>K56/C56</f>
        <v>48.94789188089409</v>
      </c>
      <c r="J56" s="50">
        <f>K56/F56</f>
        <v>89.603544540528759</v>
      </c>
      <c r="K56" s="47">
        <f>SUM(K51:K55)</f>
        <v>45228733.159999996</v>
      </c>
      <c r="L56" s="48">
        <f>SUM(L51:L55)</f>
        <v>41155155.710000001</v>
      </c>
      <c r="M56" s="44">
        <f>(+K56-L56)/L56</f>
        <v>9.8980975280581571E-2</v>
      </c>
      <c r="N56" s="10"/>
      <c r="R56" s="2"/>
    </row>
    <row r="57" spans="1:18" ht="15.75" customHeight="1" thickTop="1" x14ac:dyDescent="0.25">
      <c r="A57" s="19"/>
      <c r="B57" s="45"/>
      <c r="C57" s="21"/>
      <c r="D57" s="21"/>
      <c r="E57" s="23"/>
      <c r="F57" s="21"/>
      <c r="G57" s="21"/>
      <c r="H57" s="23"/>
      <c r="I57" s="24"/>
      <c r="J57" s="24"/>
      <c r="K57" s="21"/>
      <c r="L57" s="21"/>
      <c r="M57" s="25"/>
      <c r="N57" s="10"/>
      <c r="R57" s="2"/>
    </row>
    <row r="58" spans="1:18" ht="15.75" customHeight="1" x14ac:dyDescent="0.25">
      <c r="A58" s="19" t="s">
        <v>69</v>
      </c>
      <c r="B58" s="20">
        <f>DATE(2023,7,1)</f>
        <v>45108</v>
      </c>
      <c r="C58" s="21">
        <v>227955</v>
      </c>
      <c r="D58" s="21">
        <v>226404</v>
      </c>
      <c r="E58" s="23">
        <f>(+C58-D58)/D58</f>
        <v>6.8505856786982566E-3</v>
      </c>
      <c r="F58" s="21">
        <f>+C58-105186</f>
        <v>122769</v>
      </c>
      <c r="G58" s="21">
        <f>+D58-105902</f>
        <v>120502</v>
      </c>
      <c r="H58" s="23">
        <f>(+F58-G58)/G58</f>
        <v>1.8812965759904401E-2</v>
      </c>
      <c r="I58" s="24">
        <f>K58/C58</f>
        <v>61.567241209887918</v>
      </c>
      <c r="J58" s="24">
        <f>K58/F58</f>
        <v>114.31681018823971</v>
      </c>
      <c r="K58" s="21">
        <v>14034560.470000001</v>
      </c>
      <c r="L58" s="21">
        <v>13168404.74</v>
      </c>
      <c r="M58" s="25">
        <f>(+K58-L58)/L58</f>
        <v>6.5775296788151458E-2</v>
      </c>
      <c r="N58" s="10"/>
      <c r="R58" s="2"/>
    </row>
    <row r="59" spans="1:18" ht="15.75" customHeight="1" x14ac:dyDescent="0.25">
      <c r="A59" s="19"/>
      <c r="B59" s="20">
        <f>DATE(2023,8,1)</f>
        <v>45139</v>
      </c>
      <c r="C59" s="21">
        <v>213907</v>
      </c>
      <c r="D59" s="21">
        <v>232585</v>
      </c>
      <c r="E59" s="23">
        <f>(+C59-D59)/D59</f>
        <v>-8.0306124642603782E-2</v>
      </c>
      <c r="F59" s="21">
        <f>+C59-98800</f>
        <v>115107</v>
      </c>
      <c r="G59" s="21">
        <f>+D59-107552</f>
        <v>125033</v>
      </c>
      <c r="H59" s="23">
        <f>(+F59-G59)/G59</f>
        <v>-7.9387041820959264E-2</v>
      </c>
      <c r="I59" s="24">
        <f>K59/C59</f>
        <v>61.08485257611953</v>
      </c>
      <c r="J59" s="24">
        <f>K59/F59</f>
        <v>113.51592483515338</v>
      </c>
      <c r="K59" s="21">
        <v>13066477.560000001</v>
      </c>
      <c r="L59" s="21">
        <v>13927721.449999999</v>
      </c>
      <c r="M59" s="25">
        <f>(+K59-L59)/L59</f>
        <v>-6.1836668193848664E-2</v>
      </c>
      <c r="N59" s="10"/>
      <c r="R59" s="2"/>
    </row>
    <row r="60" spans="1:18" ht="15.75" customHeight="1" x14ac:dyDescent="0.25">
      <c r="A60" s="19"/>
      <c r="B60" s="20">
        <f>DATE(2023,9,1)</f>
        <v>45170</v>
      </c>
      <c r="C60" s="21">
        <v>210806</v>
      </c>
      <c r="D60" s="21">
        <v>229799</v>
      </c>
      <c r="E60" s="23">
        <f>(+C60-D60)/D60</f>
        <v>-8.2650490211010494E-2</v>
      </c>
      <c r="F60" s="21">
        <f>+C60-94978</f>
        <v>115828</v>
      </c>
      <c r="G60" s="21">
        <f>+D60-107359</f>
        <v>122440</v>
      </c>
      <c r="H60" s="23">
        <f>(+F60-G60)/G60</f>
        <v>-5.4001960143743873E-2</v>
      </c>
      <c r="I60" s="24">
        <f>K60/C60</f>
        <v>64.684465907042494</v>
      </c>
      <c r="J60" s="24">
        <f>K60/F60</f>
        <v>117.72519183617086</v>
      </c>
      <c r="K60" s="21">
        <v>13635873.52</v>
      </c>
      <c r="L60" s="21">
        <v>13521948.51</v>
      </c>
      <c r="M60" s="25">
        <f>(+K60-L60)/L60</f>
        <v>8.4251918217073413E-3</v>
      </c>
      <c r="N60" s="10"/>
      <c r="R60" s="2"/>
    </row>
    <row r="61" spans="1:18" ht="15.75" customHeight="1" x14ac:dyDescent="0.25">
      <c r="A61" s="19"/>
      <c r="B61" s="20">
        <f>DATE(2023,10,1)</f>
        <v>45200</v>
      </c>
      <c r="C61" s="21">
        <v>192200</v>
      </c>
      <c r="D61" s="21">
        <v>212700</v>
      </c>
      <c r="E61" s="23">
        <f>(+C61-D61)/D61</f>
        <v>-9.6379877762106256E-2</v>
      </c>
      <c r="F61" s="21">
        <f>+C61-87717</f>
        <v>104483</v>
      </c>
      <c r="G61" s="21">
        <f>+D61-99072</f>
        <v>113628</v>
      </c>
      <c r="H61" s="23">
        <f>(+F61-G61)/G61</f>
        <v>-8.0481923469567354E-2</v>
      </c>
      <c r="I61" s="24">
        <f>K61/C61</f>
        <v>60.226780332986472</v>
      </c>
      <c r="J61" s="24">
        <f>K61/F61</f>
        <v>110.78919230879664</v>
      </c>
      <c r="K61" s="21">
        <v>11575587.18</v>
      </c>
      <c r="L61" s="21">
        <v>12950831.189999999</v>
      </c>
      <c r="M61" s="25">
        <f>(+K61-L61)/L61</f>
        <v>-0.10618963291420988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SUM(C58:C62)</f>
        <v>844868</v>
      </c>
      <c r="D63" s="41">
        <f>SUM(D58:D62)</f>
        <v>901488</v>
      </c>
      <c r="E63" s="280">
        <f>(+C63-D63)/D63</f>
        <v>-6.2807269758443821E-2</v>
      </c>
      <c r="F63" s="41">
        <f>SUM(F58:F62)</f>
        <v>458187</v>
      </c>
      <c r="G63" s="41">
        <f>SUM(G58:G62)</f>
        <v>481603</v>
      </c>
      <c r="H63" s="42">
        <f>(+F63-G63)/G63</f>
        <v>-4.8620959587045764E-2</v>
      </c>
      <c r="I63" s="43">
        <f>K63/C63</f>
        <v>61.917954911299752</v>
      </c>
      <c r="J63" s="43">
        <f>K63/F63</f>
        <v>114.17281313088324</v>
      </c>
      <c r="K63" s="41">
        <f>SUM(K58:K62)</f>
        <v>52312498.729999997</v>
      </c>
      <c r="L63" s="41">
        <f>SUM(L58:L62)</f>
        <v>53568905.889999993</v>
      </c>
      <c r="M63" s="44">
        <f>(+K63-L63)/L63</f>
        <v>-2.3454038105238526E-2</v>
      </c>
      <c r="N63" s="10"/>
      <c r="R63" s="2"/>
    </row>
    <row r="64" spans="1:18" ht="15.75" customHeight="1" thickTop="1" x14ac:dyDescent="0.2">
      <c r="A64" s="54"/>
      <c r="B64" s="55"/>
      <c r="C64" s="55"/>
      <c r="D64" s="55"/>
      <c r="E64" s="56"/>
      <c r="F64" s="55"/>
      <c r="G64" s="55"/>
      <c r="H64" s="56"/>
      <c r="I64" s="55"/>
      <c r="J64" s="55"/>
      <c r="K64" s="196"/>
      <c r="L64" s="196"/>
      <c r="M64" s="57"/>
      <c r="N64" s="10"/>
      <c r="R64" s="2"/>
    </row>
    <row r="65" spans="1:18" ht="15.75" customHeight="1" x14ac:dyDescent="0.25">
      <c r="A65" s="19" t="s">
        <v>16</v>
      </c>
      <c r="B65" s="20">
        <f>DATE(2023,7,1)</f>
        <v>45108</v>
      </c>
      <c r="C65" s="21">
        <v>262088</v>
      </c>
      <c r="D65" s="21">
        <v>271337</v>
      </c>
      <c r="E65" s="23">
        <f>(+C65-D65)/D65</f>
        <v>-3.4086762955291762E-2</v>
      </c>
      <c r="F65" s="21">
        <f>+C65-132418</f>
        <v>129670</v>
      </c>
      <c r="G65" s="21">
        <f>+D65-134570</f>
        <v>136767</v>
      </c>
      <c r="H65" s="23">
        <f>(+F65-G65)/G65</f>
        <v>-5.1891172578180406E-2</v>
      </c>
      <c r="I65" s="24">
        <f>K65/C65</f>
        <v>67.305416539482934</v>
      </c>
      <c r="J65" s="24">
        <f>K65/F65</f>
        <v>136.03718678183083</v>
      </c>
      <c r="K65" s="21">
        <v>17639942.010000002</v>
      </c>
      <c r="L65" s="21">
        <v>18204043.98</v>
      </c>
      <c r="M65" s="25">
        <f>(+K65-L65)/L65</f>
        <v>-3.0987728365178272E-2</v>
      </c>
      <c r="N65" s="10"/>
      <c r="R65" s="2"/>
    </row>
    <row r="66" spans="1:18" ht="15.75" customHeight="1" x14ac:dyDescent="0.25">
      <c r="A66" s="19"/>
      <c r="B66" s="20">
        <f>DATE(2023,8,1)</f>
        <v>45139</v>
      </c>
      <c r="C66" s="21">
        <v>239223</v>
      </c>
      <c r="D66" s="21">
        <v>244622</v>
      </c>
      <c r="E66" s="23">
        <f>(+C66-D66)/D66</f>
        <v>-2.2070786764886233E-2</v>
      </c>
      <c r="F66" s="21">
        <f>+C66-117748</f>
        <v>121475</v>
      </c>
      <c r="G66" s="21">
        <f>+D66-120033</f>
        <v>124589</v>
      </c>
      <c r="H66" s="23">
        <f>(+F66-G66)/G66</f>
        <v>-2.4994180866689676E-2</v>
      </c>
      <c r="I66" s="24">
        <f>K66/C66</f>
        <v>68.308296568473764</v>
      </c>
      <c r="J66" s="24">
        <f>K66/F66</f>
        <v>134.52081193661249</v>
      </c>
      <c r="K66" s="21">
        <v>16340915.630000001</v>
      </c>
      <c r="L66" s="21">
        <v>16440004.18</v>
      </c>
      <c r="M66" s="25">
        <f>(+K66-L66)/L66</f>
        <v>-6.0272825307760283E-3</v>
      </c>
      <c r="N66" s="10"/>
      <c r="R66" s="2"/>
    </row>
    <row r="67" spans="1:18" ht="15.75" customHeight="1" x14ac:dyDescent="0.25">
      <c r="A67" s="19"/>
      <c r="B67" s="20">
        <f>DATE(2023,9,1)</f>
        <v>45170</v>
      </c>
      <c r="C67" s="21">
        <v>248313</v>
      </c>
      <c r="D67" s="21">
        <v>238237</v>
      </c>
      <c r="E67" s="23">
        <f>(+C67-D67)/D67</f>
        <v>4.2294018141598493E-2</v>
      </c>
      <c r="F67" s="21">
        <f>+C67-122761</f>
        <v>125552</v>
      </c>
      <c r="G67" s="21">
        <f>+D67-117564</f>
        <v>120673</v>
      </c>
      <c r="H67" s="23">
        <f>(+F67-G67)/G67</f>
        <v>4.0431579557978999E-2</v>
      </c>
      <c r="I67" s="24">
        <f>K67/C67</f>
        <v>67.885279143661435</v>
      </c>
      <c r="J67" s="24">
        <f>K67/F67</f>
        <v>134.26147986491654</v>
      </c>
      <c r="K67" s="21">
        <v>16856797.32</v>
      </c>
      <c r="L67" s="21">
        <v>16961699.789999999</v>
      </c>
      <c r="M67" s="25">
        <f>(+K67-L67)/L67</f>
        <v>-6.1846672974276724E-3</v>
      </c>
      <c r="N67" s="10"/>
      <c r="R67" s="2"/>
    </row>
    <row r="68" spans="1:18" ht="15.75" customHeight="1" x14ac:dyDescent="0.25">
      <c r="A68" s="19"/>
      <c r="B68" s="20">
        <f>DATE(2023,10,1)</f>
        <v>45200</v>
      </c>
      <c r="C68" s="21">
        <v>227962</v>
      </c>
      <c r="D68" s="21">
        <v>243168</v>
      </c>
      <c r="E68" s="23">
        <f>(+C68-D68)/D68</f>
        <v>-6.2532899065666531E-2</v>
      </c>
      <c r="F68" s="21">
        <f>+C68-111422</f>
        <v>116540</v>
      </c>
      <c r="G68" s="21">
        <f>+D68-122237</f>
        <v>120931</v>
      </c>
      <c r="H68" s="23">
        <f>(+F68-G68)/G68</f>
        <v>-3.6309961879088075E-2</v>
      </c>
      <c r="I68" s="24">
        <f>K68/C68</f>
        <v>69.891412647721992</v>
      </c>
      <c r="J68" s="24">
        <f>K68/F68</f>
        <v>136.71345640981639</v>
      </c>
      <c r="K68" s="21">
        <v>15932586.210000001</v>
      </c>
      <c r="L68" s="21">
        <v>16273788.960000001</v>
      </c>
      <c r="M68" s="25">
        <f>(+K68-L68)/L68</f>
        <v>-2.0966398841637673E-2</v>
      </c>
      <c r="N68" s="10"/>
      <c r="R68" s="2"/>
    </row>
    <row r="69" spans="1:18" ht="15.75" customHeight="1" thickBot="1" x14ac:dyDescent="0.3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thickTop="1" thickBot="1" x14ac:dyDescent="0.3">
      <c r="A70" s="39" t="s">
        <v>14</v>
      </c>
      <c r="B70" s="40"/>
      <c r="C70" s="41">
        <f>SUM(C65:C69)</f>
        <v>977586</v>
      </c>
      <c r="D70" s="41">
        <f>SUM(D65:D69)</f>
        <v>997364</v>
      </c>
      <c r="E70" s="280">
        <f>(+C70-D70)/D70</f>
        <v>-1.9830272598569829E-2</v>
      </c>
      <c r="F70" s="41">
        <f>SUM(F65:F69)</f>
        <v>493237</v>
      </c>
      <c r="G70" s="41">
        <f>SUM(G65:G69)</f>
        <v>502960</v>
      </c>
      <c r="H70" s="42">
        <f>(+F70-G70)/G70</f>
        <v>-1.9331557181485604E-2</v>
      </c>
      <c r="I70" s="43">
        <f>K70/C70</f>
        <v>68.301142988954425</v>
      </c>
      <c r="J70" s="43">
        <f>K70/F70</f>
        <v>135.371517485509</v>
      </c>
      <c r="K70" s="41">
        <f>SUM(K65:K69)</f>
        <v>66770241.170000002</v>
      </c>
      <c r="L70" s="41">
        <f>SUM(L65:L69)</f>
        <v>67879536.909999996</v>
      </c>
      <c r="M70" s="44">
        <f>(+K70-L70)/L70</f>
        <v>-1.6342122979872208E-2</v>
      </c>
      <c r="N70" s="10"/>
      <c r="R70" s="2"/>
    </row>
    <row r="71" spans="1:18" ht="15.75" customHeight="1" thickTop="1" x14ac:dyDescent="0.2">
      <c r="A71" s="54"/>
      <c r="B71" s="55"/>
      <c r="C71" s="55"/>
      <c r="D71" s="55"/>
      <c r="E71" s="56"/>
      <c r="F71" s="55"/>
      <c r="G71" s="55"/>
      <c r="H71" s="56"/>
      <c r="I71" s="55"/>
      <c r="J71" s="55"/>
      <c r="K71" s="196"/>
      <c r="L71" s="196"/>
      <c r="M71" s="57"/>
      <c r="N71" s="10"/>
      <c r="R71" s="2"/>
    </row>
    <row r="72" spans="1:18" ht="15.75" customHeight="1" x14ac:dyDescent="0.25">
      <c r="A72" s="19" t="s">
        <v>53</v>
      </c>
      <c r="B72" s="20">
        <f>DATE(2023,7,1)</f>
        <v>45108</v>
      </c>
      <c r="C72" s="21">
        <v>372664</v>
      </c>
      <c r="D72" s="21">
        <v>358906</v>
      </c>
      <c r="E72" s="23">
        <f>(+C72-D72)/D72</f>
        <v>3.8333156871158465E-2</v>
      </c>
      <c r="F72" s="21">
        <f>+C72-175639</f>
        <v>197025</v>
      </c>
      <c r="G72" s="21">
        <f>+D72-172463</f>
        <v>186443</v>
      </c>
      <c r="H72" s="23">
        <f>(+F72-G72)/G72</f>
        <v>5.6757293113713039E-2</v>
      </c>
      <c r="I72" s="24">
        <f>K72/C72</f>
        <v>59.665630729021316</v>
      </c>
      <c r="J72" s="24">
        <f>K72/F72</f>
        <v>112.85487938078924</v>
      </c>
      <c r="K72" s="21">
        <v>22235232.609999999</v>
      </c>
      <c r="L72" s="21">
        <v>22397002.989999998</v>
      </c>
      <c r="M72" s="25">
        <f>(+K72-L72)/L72</f>
        <v>-7.2228583472631388E-3</v>
      </c>
      <c r="N72" s="10"/>
      <c r="R72" s="2"/>
    </row>
    <row r="73" spans="1:18" ht="15.75" customHeight="1" x14ac:dyDescent="0.25">
      <c r="A73" s="19"/>
      <c r="B73" s="20">
        <f>DATE(2023,8,1)</f>
        <v>45139</v>
      </c>
      <c r="C73" s="21">
        <v>342645</v>
      </c>
      <c r="D73" s="21">
        <v>332390</v>
      </c>
      <c r="E73" s="23">
        <f>(+C73-D73)/D73</f>
        <v>3.0852312043081923E-2</v>
      </c>
      <c r="F73" s="21">
        <f>+C73-159996</f>
        <v>182649</v>
      </c>
      <c r="G73" s="21">
        <f>+D73-159690</f>
        <v>172700</v>
      </c>
      <c r="H73" s="23">
        <f>(+F73-G73)/G73</f>
        <v>5.7608569774174868E-2</v>
      </c>
      <c r="I73" s="24">
        <f>K73/C73</f>
        <v>60.158932422769915</v>
      </c>
      <c r="J73" s="24">
        <f>K73/F73</f>
        <v>112.85666715941504</v>
      </c>
      <c r="K73" s="21">
        <v>20613157.399999999</v>
      </c>
      <c r="L73" s="21">
        <v>20719744.75</v>
      </c>
      <c r="M73" s="25">
        <f>(+K73-L73)/L73</f>
        <v>-5.1442404955303073E-3</v>
      </c>
      <c r="N73" s="10"/>
      <c r="R73" s="2"/>
    </row>
    <row r="74" spans="1:18" ht="15.75" customHeight="1" x14ac:dyDescent="0.25">
      <c r="A74" s="19"/>
      <c r="B74" s="20">
        <f>DATE(2023,9,1)</f>
        <v>45170</v>
      </c>
      <c r="C74" s="21">
        <v>340628</v>
      </c>
      <c r="D74" s="21">
        <v>333101</v>
      </c>
      <c r="E74" s="23">
        <f>(+C74-D74)/D74</f>
        <v>2.259674993470449E-2</v>
      </c>
      <c r="F74" s="21">
        <f>+C74-161145</f>
        <v>179483</v>
      </c>
      <c r="G74" s="21">
        <f>+D74-160339</f>
        <v>172762</v>
      </c>
      <c r="H74" s="23">
        <f>(+F74-G74)/G74</f>
        <v>3.8903231034602519E-2</v>
      </c>
      <c r="I74" s="24">
        <f>K74/C74</f>
        <v>63.235720052373857</v>
      </c>
      <c r="J74" s="24">
        <f>K74/F74</f>
        <v>120.01056841037871</v>
      </c>
      <c r="K74" s="21">
        <v>21539856.850000001</v>
      </c>
      <c r="L74" s="21">
        <v>20315248.210000001</v>
      </c>
      <c r="M74" s="25">
        <f>(+K74-L74)/L74</f>
        <v>6.0280269644807878E-2</v>
      </c>
      <c r="N74" s="10"/>
      <c r="R74" s="2"/>
    </row>
    <row r="75" spans="1:18" ht="15.75" customHeight="1" x14ac:dyDescent="0.25">
      <c r="A75" s="19"/>
      <c r="B75" s="20">
        <f>DATE(2023,10,1)</f>
        <v>45200</v>
      </c>
      <c r="C75" s="21">
        <v>330139</v>
      </c>
      <c r="D75" s="21">
        <v>337264</v>
      </c>
      <c r="E75" s="23">
        <f>(+C75-D75)/D75</f>
        <v>-2.112588358081503E-2</v>
      </c>
      <c r="F75" s="21">
        <f>+C75-156537</f>
        <v>173602</v>
      </c>
      <c r="G75" s="21">
        <f>+D75-160233</f>
        <v>177031</v>
      </c>
      <c r="H75" s="23">
        <f>(+F75-G75)/G75</f>
        <v>-1.9369488959560754E-2</v>
      </c>
      <c r="I75" s="24">
        <f>K75/C75</f>
        <v>59.942429400949294</v>
      </c>
      <c r="J75" s="24">
        <f>K75/F75</f>
        <v>113.99254444073225</v>
      </c>
      <c r="K75" s="21">
        <v>19789333.699999999</v>
      </c>
      <c r="L75" s="21">
        <v>21004131.789999999</v>
      </c>
      <c r="M75" s="25">
        <f>(+K75-L75)/L75</f>
        <v>-5.7836148722812786E-2</v>
      </c>
      <c r="N75" s="10"/>
      <c r="R75" s="2"/>
    </row>
    <row r="76" spans="1:18" ht="15.75" customHeight="1" thickBot="1" x14ac:dyDescent="0.3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SUM(C72:C76)</f>
        <v>1386076</v>
      </c>
      <c r="D77" s="41">
        <f>SUM(D72:D76)</f>
        <v>1361661</v>
      </c>
      <c r="E77" s="280">
        <f>(+C77-D77)/D77</f>
        <v>1.7930307176308936E-2</v>
      </c>
      <c r="F77" s="41">
        <f>SUM(F72:F76)</f>
        <v>732759</v>
      </c>
      <c r="G77" s="41">
        <f>SUM(G72:G76)</f>
        <v>708936</v>
      </c>
      <c r="H77" s="42">
        <f>(+F77-G77)/G77</f>
        <v>3.3603879616777819E-2</v>
      </c>
      <c r="I77" s="43">
        <f>K77/C77</f>
        <v>60.730854989192515</v>
      </c>
      <c r="J77" s="43">
        <f>K77/F77</f>
        <v>114.87757988642925</v>
      </c>
      <c r="K77" s="41">
        <f>SUM(K72:K76)</f>
        <v>84177580.560000002</v>
      </c>
      <c r="L77" s="41">
        <f>SUM(L72:L76)</f>
        <v>84436127.739999995</v>
      </c>
      <c r="M77" s="44">
        <f>(+K77-L77)/L77</f>
        <v>-3.062044493514954E-3</v>
      </c>
      <c r="N77" s="10"/>
      <c r="R77" s="2"/>
    </row>
    <row r="78" spans="1:18" ht="15.75" customHeight="1" thickTop="1" x14ac:dyDescent="0.2">
      <c r="A78" s="58"/>
      <c r="B78" s="59"/>
      <c r="C78" s="59"/>
      <c r="D78" s="59"/>
      <c r="E78" s="60"/>
      <c r="F78" s="59"/>
      <c r="G78" s="59"/>
      <c r="H78" s="60"/>
      <c r="I78" s="59"/>
      <c r="J78" s="59"/>
      <c r="K78" s="197"/>
      <c r="L78" s="197"/>
      <c r="M78" s="61"/>
      <c r="N78" s="10"/>
      <c r="R78" s="2"/>
    </row>
    <row r="79" spans="1:18" ht="15" customHeight="1" x14ac:dyDescent="0.25">
      <c r="A79" s="19" t="s">
        <v>54</v>
      </c>
      <c r="B79" s="20">
        <f>DATE(2023,7,1)</f>
        <v>45108</v>
      </c>
      <c r="C79" s="21">
        <v>43122</v>
      </c>
      <c r="D79" s="21">
        <v>45743</v>
      </c>
      <c r="E79" s="23">
        <f>(+C79-D79)/D79</f>
        <v>-5.729838445226592E-2</v>
      </c>
      <c r="F79" s="21">
        <f>+C79-21874</f>
        <v>21248</v>
      </c>
      <c r="G79" s="21">
        <f>+D79-23748</f>
        <v>21995</v>
      </c>
      <c r="H79" s="23">
        <f>(+F79-G79)/G79</f>
        <v>-3.3962264150943396E-2</v>
      </c>
      <c r="I79" s="24">
        <f>K79/C79</f>
        <v>73.706668985668571</v>
      </c>
      <c r="J79" s="24">
        <f>K79/F79</f>
        <v>149.58485410391566</v>
      </c>
      <c r="K79" s="21">
        <v>3178378.98</v>
      </c>
      <c r="L79" s="21">
        <v>3253812.68</v>
      </c>
      <c r="M79" s="25">
        <f>(+K79-L79)/L79</f>
        <v>-2.3183172302346608E-2</v>
      </c>
      <c r="N79" s="10"/>
      <c r="R79" s="2"/>
    </row>
    <row r="80" spans="1:18" ht="15" customHeight="1" x14ac:dyDescent="0.25">
      <c r="A80" s="19"/>
      <c r="B80" s="20">
        <f>DATE(2023,8,1)</f>
        <v>45139</v>
      </c>
      <c r="C80" s="21">
        <v>38794</v>
      </c>
      <c r="D80" s="21">
        <v>40978</v>
      </c>
      <c r="E80" s="23">
        <f>(+C80-D80)/D80</f>
        <v>-5.329689101469081E-2</v>
      </c>
      <c r="F80" s="21">
        <f>+C80-19691</f>
        <v>19103</v>
      </c>
      <c r="G80" s="21">
        <f>+D80-21136</f>
        <v>19842</v>
      </c>
      <c r="H80" s="23">
        <f>(+F80-G80)/G80</f>
        <v>-3.7244229412357624E-2</v>
      </c>
      <c r="I80" s="24">
        <f>K80/C80</f>
        <v>74.058326803113886</v>
      </c>
      <c r="J80" s="24">
        <f>K80/F80</f>
        <v>150.39620635502277</v>
      </c>
      <c r="K80" s="21">
        <v>2873018.73</v>
      </c>
      <c r="L80" s="21">
        <v>2953942.06</v>
      </c>
      <c r="M80" s="25">
        <f>(+K80-L80)/L80</f>
        <v>-2.7395029542319482E-2</v>
      </c>
      <c r="N80" s="10"/>
      <c r="R80" s="2"/>
    </row>
    <row r="81" spans="1:18" ht="15" customHeight="1" x14ac:dyDescent="0.25">
      <c r="A81" s="19"/>
      <c r="B81" s="20">
        <f>DATE(2023,9,1)</f>
        <v>45170</v>
      </c>
      <c r="C81" s="21">
        <v>39024</v>
      </c>
      <c r="D81" s="21">
        <v>41696</v>
      </c>
      <c r="E81" s="23">
        <f>(+C81-D81)/D81</f>
        <v>-6.4082885648503451E-2</v>
      </c>
      <c r="F81" s="21">
        <f>+C81-19292</f>
        <v>19732</v>
      </c>
      <c r="G81" s="21">
        <f>+D81-21639</f>
        <v>20057</v>
      </c>
      <c r="H81" s="23">
        <f>(+F81-G81)/G81</f>
        <v>-1.6203819115520764E-2</v>
      </c>
      <c r="I81" s="24">
        <f>K81/C81</f>
        <v>73.702168152931534</v>
      </c>
      <c r="J81" s="24">
        <f>K81/F81</f>
        <v>145.76086610581797</v>
      </c>
      <c r="K81" s="21">
        <v>2876153.41</v>
      </c>
      <c r="L81" s="21">
        <v>3101049.85</v>
      </c>
      <c r="M81" s="25">
        <f>(+K81-L81)/L81</f>
        <v>-7.2522678085939166E-2</v>
      </c>
      <c r="N81" s="10"/>
      <c r="R81" s="2"/>
    </row>
    <row r="82" spans="1:18" ht="15" customHeight="1" x14ac:dyDescent="0.25">
      <c r="A82" s="19"/>
      <c r="B82" s="20">
        <f>DATE(2023,10,1)</f>
        <v>45200</v>
      </c>
      <c r="C82" s="21">
        <v>39576</v>
      </c>
      <c r="D82" s="21">
        <v>40713</v>
      </c>
      <c r="E82" s="23">
        <f>(+C82-D82)/D82</f>
        <v>-2.7927197700980032E-2</v>
      </c>
      <c r="F82" s="21">
        <f>+C82-20256</f>
        <v>19320</v>
      </c>
      <c r="G82" s="21">
        <f>+D82-21150</f>
        <v>19563</v>
      </c>
      <c r="H82" s="23">
        <f>(+F82-G82)/G82</f>
        <v>-1.2421407759546081E-2</v>
      </c>
      <c r="I82" s="24">
        <f>K82/C82</f>
        <v>78.079089094400643</v>
      </c>
      <c r="J82" s="24">
        <f>K82/F82</f>
        <v>159.94089182194617</v>
      </c>
      <c r="K82" s="21">
        <v>3090058.03</v>
      </c>
      <c r="L82" s="21">
        <v>3050192.47</v>
      </c>
      <c r="M82" s="25">
        <f>(+K82-L82)/L82</f>
        <v>1.306985063798272E-2</v>
      </c>
      <c r="N82" s="10"/>
      <c r="R82" s="2"/>
    </row>
    <row r="83" spans="1:18" ht="15.75" thickBot="1" x14ac:dyDescent="0.25">
      <c r="A83" s="38"/>
      <c r="B83" s="20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thickTop="1" thickBot="1" x14ac:dyDescent="0.3">
      <c r="A84" s="62" t="s">
        <v>14</v>
      </c>
      <c r="B84" s="52"/>
      <c r="C84" s="48">
        <f>SUM(C79:C83)</f>
        <v>160516</v>
      </c>
      <c r="D84" s="48">
        <f>SUM(D79:D83)</f>
        <v>169130</v>
      </c>
      <c r="E84" s="280">
        <f>(+C84-D84)/D84</f>
        <v>-5.0931236327085676E-2</v>
      </c>
      <c r="F84" s="48">
        <f>SUM(F79:F83)</f>
        <v>79403</v>
      </c>
      <c r="G84" s="48">
        <f>SUM(G79:G83)</f>
        <v>81457</v>
      </c>
      <c r="H84" s="42">
        <f>(+F84-G84)/G84</f>
        <v>-2.5215758007292192E-2</v>
      </c>
      <c r="I84" s="50">
        <f>K84/C84</f>
        <v>74.868605933364904</v>
      </c>
      <c r="J84" s="50">
        <f>K84/F84</f>
        <v>151.34956047000745</v>
      </c>
      <c r="K84" s="48">
        <f>SUM(K79:K83)</f>
        <v>12017609.15</v>
      </c>
      <c r="L84" s="48">
        <f>SUM(L79:L83)</f>
        <v>12358997.060000001</v>
      </c>
      <c r="M84" s="44">
        <f>(+K84-L84)/L84</f>
        <v>-2.7622622478397137E-2</v>
      </c>
      <c r="N84" s="10"/>
      <c r="R84" s="2"/>
    </row>
    <row r="85" spans="1:18" ht="15.75" customHeight="1" thickTop="1" x14ac:dyDescent="0.25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x14ac:dyDescent="0.25">
      <c r="A86" s="19" t="s">
        <v>17</v>
      </c>
      <c r="B86" s="20">
        <f>DATE(2023,7,1)</f>
        <v>45108</v>
      </c>
      <c r="C86" s="21">
        <v>341358</v>
      </c>
      <c r="D86" s="21">
        <v>376535</v>
      </c>
      <c r="E86" s="23">
        <f>(+C86-D86)/D86</f>
        <v>-9.3422922171909645E-2</v>
      </c>
      <c r="F86" s="21">
        <f>+C86-174275</f>
        <v>167083</v>
      </c>
      <c r="G86" s="21">
        <f>+D86-192471</f>
        <v>184064</v>
      </c>
      <c r="H86" s="23">
        <f>(+F86-G86)/G86</f>
        <v>-9.2255954450625871E-2</v>
      </c>
      <c r="I86" s="24">
        <f>K86/C86</f>
        <v>75.201336397565015</v>
      </c>
      <c r="J86" s="24">
        <f>K86/F86</f>
        <v>153.63967483226898</v>
      </c>
      <c r="K86" s="21">
        <v>25670577.789999999</v>
      </c>
      <c r="L86" s="21">
        <v>26699268.829999998</v>
      </c>
      <c r="M86" s="25">
        <f>(+K86-L86)/L86</f>
        <v>-3.8528809404852871E-2</v>
      </c>
      <c r="N86" s="10"/>
      <c r="R86" s="2"/>
    </row>
    <row r="87" spans="1:18" ht="15.75" x14ac:dyDescent="0.25">
      <c r="A87" s="19"/>
      <c r="B87" s="20">
        <f>DATE(2023,8,1)</f>
        <v>45139</v>
      </c>
      <c r="C87" s="21">
        <v>326253</v>
      </c>
      <c r="D87" s="21">
        <v>348725</v>
      </c>
      <c r="E87" s="23">
        <f>(+C87-D87)/D87</f>
        <v>-6.4440461681840991E-2</v>
      </c>
      <c r="F87" s="21">
        <f>+C87-166627</f>
        <v>159626</v>
      </c>
      <c r="G87" s="21">
        <f>+D87-177430</f>
        <v>171295</v>
      </c>
      <c r="H87" s="23">
        <f>(+F87-G87)/G87</f>
        <v>-6.8122245249423508E-2</v>
      </c>
      <c r="I87" s="24">
        <f>K87/C87</f>
        <v>71.558283510036688</v>
      </c>
      <c r="J87" s="24">
        <f>K87/F87</f>
        <v>146.25502530916017</v>
      </c>
      <c r="K87" s="21">
        <v>23346104.670000002</v>
      </c>
      <c r="L87" s="21">
        <v>26620249.559999999</v>
      </c>
      <c r="M87" s="25">
        <f>(+K87-L87)/L87</f>
        <v>-0.12299452274556351</v>
      </c>
      <c r="N87" s="10"/>
      <c r="R87" s="2"/>
    </row>
    <row r="88" spans="1:18" ht="15.75" x14ac:dyDescent="0.25">
      <c r="A88" s="19"/>
      <c r="B88" s="20">
        <f>DATE(2023,9,1)</f>
        <v>45170</v>
      </c>
      <c r="C88" s="21">
        <v>330805</v>
      </c>
      <c r="D88" s="21">
        <v>351773</v>
      </c>
      <c r="E88" s="23">
        <f>(+C88-D88)/D88</f>
        <v>-5.9606621315450588E-2</v>
      </c>
      <c r="F88" s="21">
        <f>+C88-169998</f>
        <v>160807</v>
      </c>
      <c r="G88" s="21">
        <f>+D88-180127</f>
        <v>171646</v>
      </c>
      <c r="H88" s="23">
        <f>(+F88-G88)/G88</f>
        <v>-6.3147408037472472E-2</v>
      </c>
      <c r="I88" s="24">
        <f>K88/C88</f>
        <v>74.375674521243639</v>
      </c>
      <c r="J88" s="24">
        <f>K88/F88</f>
        <v>153.00232583158694</v>
      </c>
      <c r="K88" s="21">
        <v>24603845.010000002</v>
      </c>
      <c r="L88" s="21">
        <v>24480724.719999999</v>
      </c>
      <c r="M88" s="25">
        <f>(+K88-L88)/L88</f>
        <v>5.0292747215697148E-3</v>
      </c>
      <c r="N88" s="10"/>
      <c r="R88" s="2"/>
    </row>
    <row r="89" spans="1:18" ht="15.75" x14ac:dyDescent="0.25">
      <c r="A89" s="19"/>
      <c r="B89" s="20">
        <f>DATE(2023,10,1)</f>
        <v>45200</v>
      </c>
      <c r="C89" s="21">
        <v>304204</v>
      </c>
      <c r="D89" s="21">
        <v>353411</v>
      </c>
      <c r="E89" s="23">
        <f>(+C89-D89)/D89</f>
        <v>-0.13923448902269595</v>
      </c>
      <c r="F89" s="21">
        <f>+C89-155651</f>
        <v>148553</v>
      </c>
      <c r="G89" s="21">
        <f>+D89-182814</f>
        <v>170597</v>
      </c>
      <c r="H89" s="23">
        <f>(+F89-G89)/G89</f>
        <v>-0.12921680920532014</v>
      </c>
      <c r="I89" s="24">
        <f>K89/C89</f>
        <v>77.748252258352935</v>
      </c>
      <c r="J89" s="24">
        <f>K89/F89</f>
        <v>159.2113880567878</v>
      </c>
      <c r="K89" s="21">
        <v>23651329.329999998</v>
      </c>
      <c r="L89" s="21">
        <v>24469878.329999998</v>
      </c>
      <c r="M89" s="25">
        <f>(+K89-L89)/L89</f>
        <v>-3.3451290151960474E-2</v>
      </c>
      <c r="N89" s="10"/>
      <c r="R89" s="2"/>
    </row>
    <row r="90" spans="1:18" ht="15.75" thickBot="1" x14ac:dyDescent="0.25">
      <c r="A90" s="38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thickTop="1" thickBot="1" x14ac:dyDescent="0.3">
      <c r="A91" s="39" t="s">
        <v>14</v>
      </c>
      <c r="B91" s="40"/>
      <c r="C91" s="41">
        <f>SUM(C86:C90)</f>
        <v>1302620</v>
      </c>
      <c r="D91" s="41">
        <f>SUM(D86:D90)</f>
        <v>1430444</v>
      </c>
      <c r="E91" s="280">
        <f>(+C91-D91)/D91</f>
        <v>-8.9359667348040184E-2</v>
      </c>
      <c r="F91" s="41">
        <f>SUM(F86:F90)</f>
        <v>636069</v>
      </c>
      <c r="G91" s="41">
        <f>SUM(G86:G90)</f>
        <v>697602</v>
      </c>
      <c r="H91" s="42">
        <f>(+F91-G91)/G91</f>
        <v>-8.820645583011516E-2</v>
      </c>
      <c r="I91" s="43">
        <f>K91/C91</f>
        <v>74.67400838310482</v>
      </c>
      <c r="J91" s="43">
        <f>K91/F91</f>
        <v>152.92657997795837</v>
      </c>
      <c r="K91" s="41">
        <f>SUM(K86:K90)</f>
        <v>97271856.799999997</v>
      </c>
      <c r="L91" s="41">
        <f>SUM(L86:L90)</f>
        <v>102270121.44</v>
      </c>
      <c r="M91" s="44">
        <f>(+K91-L91)/L91</f>
        <v>-4.8873166176226661E-2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56</v>
      </c>
      <c r="B93" s="20">
        <f>DATE(2023,7,1)</f>
        <v>45108</v>
      </c>
      <c r="C93" s="21">
        <v>66323</v>
      </c>
      <c r="D93" s="21">
        <v>68778</v>
      </c>
      <c r="E93" s="23">
        <f>(+C93-D93)/D93</f>
        <v>-3.5694553490941874E-2</v>
      </c>
      <c r="F93" s="21">
        <f>+C93-28441</f>
        <v>37882</v>
      </c>
      <c r="G93" s="21">
        <f>+D93-29763</f>
        <v>39015</v>
      </c>
      <c r="H93" s="23">
        <f>(+F93-G93)/G93</f>
        <v>-2.9040112777136997E-2</v>
      </c>
      <c r="I93" s="24">
        <f>K93/C93</f>
        <v>58.975659575109688</v>
      </c>
      <c r="J93" s="24">
        <f>K93/F93</f>
        <v>103.25333060556464</v>
      </c>
      <c r="K93" s="21">
        <v>3911442.67</v>
      </c>
      <c r="L93" s="21">
        <v>4137931.7</v>
      </c>
      <c r="M93" s="25">
        <f>(+K93-L93)/L93</f>
        <v>-5.4734840113479941E-2</v>
      </c>
      <c r="N93" s="10"/>
      <c r="R93" s="2"/>
    </row>
    <row r="94" spans="1:18" ht="15.75" x14ac:dyDescent="0.25">
      <c r="A94" s="19"/>
      <c r="B94" s="20">
        <f>DATE(2023,8,1)</f>
        <v>45139</v>
      </c>
      <c r="C94" s="21">
        <v>63894</v>
      </c>
      <c r="D94" s="21">
        <v>61732</v>
      </c>
      <c r="E94" s="23">
        <f>(+C94-D94)/D94</f>
        <v>3.5022354694485842E-2</v>
      </c>
      <c r="F94" s="21">
        <f>+C94-27335</f>
        <v>36559</v>
      </c>
      <c r="G94" s="21">
        <f>+D94-26815</f>
        <v>34917</v>
      </c>
      <c r="H94" s="23">
        <f>(+F94-G94)/G94</f>
        <v>4.7025804049603347E-2</v>
      </c>
      <c r="I94" s="24">
        <f>K94/C94</f>
        <v>60.44767067330266</v>
      </c>
      <c r="J94" s="24">
        <f>K94/F94</f>
        <v>105.64412237752674</v>
      </c>
      <c r="K94" s="21">
        <v>3862243.47</v>
      </c>
      <c r="L94" s="21">
        <v>3659627.99</v>
      </c>
      <c r="M94" s="25">
        <f>(+K94-L94)/L94</f>
        <v>5.5365048183490355E-2</v>
      </c>
      <c r="N94" s="10"/>
      <c r="R94" s="2"/>
    </row>
    <row r="95" spans="1:18" ht="15.75" x14ac:dyDescent="0.25">
      <c r="A95" s="19"/>
      <c r="B95" s="20">
        <f>DATE(2023,9,1)</f>
        <v>45170</v>
      </c>
      <c r="C95" s="21">
        <v>61378</v>
      </c>
      <c r="D95" s="21">
        <v>62788</v>
      </c>
      <c r="E95" s="23">
        <f>(+C95-D95)/D95</f>
        <v>-2.245652035420781E-2</v>
      </c>
      <c r="F95" s="21">
        <f>+C95-26751</f>
        <v>34627</v>
      </c>
      <c r="G95" s="21">
        <f>+D95-27365</f>
        <v>35423</v>
      </c>
      <c r="H95" s="23">
        <f>(+F95-G95)/G95</f>
        <v>-2.2471275724811564E-2</v>
      </c>
      <c r="I95" s="24">
        <f>K95/C95</f>
        <v>60.955323568705403</v>
      </c>
      <c r="J95" s="24">
        <f>K95/F95</f>
        <v>108.04620238542178</v>
      </c>
      <c r="K95" s="21">
        <v>3741315.85</v>
      </c>
      <c r="L95" s="21">
        <v>3960660.61</v>
      </c>
      <c r="M95" s="25">
        <f>(+K95-L95)/L95</f>
        <v>-5.5380852236162639E-2</v>
      </c>
      <c r="N95" s="10"/>
      <c r="R95" s="2"/>
    </row>
    <row r="96" spans="1:18" ht="15.75" x14ac:dyDescent="0.25">
      <c r="A96" s="19"/>
      <c r="B96" s="20">
        <f>DATE(2023,10,1)</f>
        <v>45200</v>
      </c>
      <c r="C96" s="21">
        <v>57497</v>
      </c>
      <c r="D96" s="21">
        <v>62422</v>
      </c>
      <c r="E96" s="23">
        <f>(+C96-D96)/D96</f>
        <v>-7.889846528467527E-2</v>
      </c>
      <c r="F96" s="21">
        <f>+C96-24805</f>
        <v>32692</v>
      </c>
      <c r="G96" s="21">
        <f>+D96-27630</f>
        <v>34792</v>
      </c>
      <c r="H96" s="23">
        <f>(+F96-G96)/G96</f>
        <v>-6.0358703150149462E-2</v>
      </c>
      <c r="I96" s="24">
        <f>K96/C96</f>
        <v>61.609674591717827</v>
      </c>
      <c r="J96" s="24">
        <f>K96/F96</f>
        <v>108.35591153799095</v>
      </c>
      <c r="K96" s="21">
        <v>3542371.46</v>
      </c>
      <c r="L96" s="21">
        <v>3840534.87</v>
      </c>
      <c r="M96" s="25">
        <f>(+K96-L96)/L96</f>
        <v>-7.7635907521391712E-2</v>
      </c>
      <c r="N96" s="10"/>
      <c r="R96" s="2"/>
    </row>
    <row r="97" spans="1:18" ht="15.75" thickBot="1" x14ac:dyDescent="0.25">
      <c r="A97" s="38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thickTop="1" thickBot="1" x14ac:dyDescent="0.3">
      <c r="A98" s="26" t="s">
        <v>14</v>
      </c>
      <c r="B98" s="27"/>
      <c r="C98" s="28">
        <f>SUM(C93:C97)</f>
        <v>249092</v>
      </c>
      <c r="D98" s="28">
        <f>SUM(D93:D97)</f>
        <v>255720</v>
      </c>
      <c r="E98" s="280">
        <f>(+C98-D98)/D98</f>
        <v>-2.5918973877678712E-2</v>
      </c>
      <c r="F98" s="28">
        <f>SUM(F93:F97)</f>
        <v>141760</v>
      </c>
      <c r="G98" s="28">
        <f>SUM(G93:G97)</f>
        <v>144147</v>
      </c>
      <c r="H98" s="42">
        <f>(+F98-G98)/G98</f>
        <v>-1.6559484415215025E-2</v>
      </c>
      <c r="I98" s="43">
        <f>K98/C98</f>
        <v>60.449044730461033</v>
      </c>
      <c r="J98" s="43">
        <f>K98/F98</f>
        <v>106.217363501693</v>
      </c>
      <c r="K98" s="28">
        <f>SUM(K93:K97)</f>
        <v>15057373.449999999</v>
      </c>
      <c r="L98" s="28">
        <f>SUM(L93:L97)</f>
        <v>15598755.170000002</v>
      </c>
      <c r="M98" s="44">
        <f>(+K98-L98)/L98</f>
        <v>-3.4706725895743543E-2</v>
      </c>
      <c r="N98" s="10"/>
      <c r="R98" s="2"/>
    </row>
    <row r="99" spans="1:18" ht="16.5" thickTop="1" thickBot="1" x14ac:dyDescent="0.25">
      <c r="A99" s="63"/>
      <c r="B99" s="34"/>
      <c r="C99" s="35"/>
      <c r="D99" s="35"/>
      <c r="E99" s="29"/>
      <c r="F99" s="35"/>
      <c r="G99" s="35"/>
      <c r="H99" s="29"/>
      <c r="I99" s="36"/>
      <c r="J99" s="36"/>
      <c r="K99" s="35"/>
      <c r="L99" s="35"/>
      <c r="M99" s="37"/>
      <c r="N99" s="10"/>
      <c r="R99" s="2"/>
    </row>
    <row r="100" spans="1:18" ht="17.25" thickTop="1" thickBot="1" x14ac:dyDescent="0.3">
      <c r="A100" s="64" t="s">
        <v>18</v>
      </c>
      <c r="B100" s="65"/>
      <c r="C100" s="28">
        <f>C98+C91+C42+C56+C63+C28+C14+C70+C77+C35+C84+C21+C49</f>
        <v>9610119</v>
      </c>
      <c r="D100" s="28">
        <f>D98+D91+D42+D56+D63+D28+D14+D70+D77+D35+D84+D21+D49</f>
        <v>9754053</v>
      </c>
      <c r="E100" s="279">
        <f>(+C100-D100)/D100</f>
        <v>-1.4756327446652177E-2</v>
      </c>
      <c r="F100" s="28">
        <f>F98+F91+F42+F56+F63+F28+F14+F70+F77+F35+F84+F21+F49</f>
        <v>4961482</v>
      </c>
      <c r="G100" s="28">
        <f>G98+G91+G42+G56+G63+G28+G14+G70+G77+G35+G84+G21+G49</f>
        <v>4992893</v>
      </c>
      <c r="H100" s="30">
        <f>(+F100-G100)/G100</f>
        <v>-6.2911422295651035E-3</v>
      </c>
      <c r="I100" s="31">
        <f>K100/C100</f>
        <v>65.958315990676084</v>
      </c>
      <c r="J100" s="31">
        <f>K100/F100</f>
        <v>127.75764695105214</v>
      </c>
      <c r="K100" s="28">
        <f>K98+K91+K42+K56+K63+K28+K14+K70+K77+K35+K84+K21+K49</f>
        <v>633867265.71000004</v>
      </c>
      <c r="L100" s="28">
        <f>L98+L91+L42+L56+L63+L28+L14+L70+L77+L35+L84+L21+L49</f>
        <v>642565723.79999995</v>
      </c>
      <c r="M100" s="32">
        <f>(+K100-L100)/L100</f>
        <v>-1.3537071412024662E-2</v>
      </c>
      <c r="N100" s="10"/>
      <c r="R100" s="2"/>
    </row>
    <row r="101" spans="1:18" ht="17.25" thickTop="1" thickBot="1" x14ac:dyDescent="0.3">
      <c r="A101" s="64"/>
      <c r="B101" s="65"/>
      <c r="C101" s="28"/>
      <c r="D101" s="28"/>
      <c r="E101" s="29"/>
      <c r="F101" s="28"/>
      <c r="G101" s="28"/>
      <c r="H101" s="30"/>
      <c r="I101" s="31"/>
      <c r="J101" s="31"/>
      <c r="K101" s="28"/>
      <c r="L101" s="28"/>
      <c r="M101" s="32"/>
      <c r="N101" s="10"/>
      <c r="R101" s="2"/>
    </row>
    <row r="102" spans="1:18" ht="17.25" thickTop="1" thickBot="1" x14ac:dyDescent="0.3">
      <c r="A102" s="64" t="s">
        <v>19</v>
      </c>
      <c r="B102" s="65"/>
      <c r="C102" s="28">
        <f>+C12+C19+C26+C33+C40+C47+C54+C61+C68+C75+C82+C89+C96</f>
        <v>2260391</v>
      </c>
      <c r="D102" s="28">
        <f>+D12+D19+D26+D33+D40+D47+D54+D61+D68+D75+D82+D89+D96</f>
        <v>2355251</v>
      </c>
      <c r="E102" s="279">
        <f>(+C102-D102)/D102</f>
        <v>-4.0275962094910481E-2</v>
      </c>
      <c r="F102" s="28">
        <f>+F12+F19+F26+F33+F40+F47+F54+F61+F68+F75+F82+F89+F96</f>
        <v>1170983</v>
      </c>
      <c r="G102" s="28">
        <f>+G12+G19+G26+G33+G40+G47+G54+G61+G68+G75+G82+G89+G96</f>
        <v>1201323</v>
      </c>
      <c r="H102" s="30">
        <f>(+F102-G102)/G102</f>
        <v>-2.525548915653825E-2</v>
      </c>
      <c r="I102" s="291">
        <f>K102/C102</f>
        <v>66.57263668984703</v>
      </c>
      <c r="J102" s="31">
        <f>K102/F102</f>
        <v>128.5075776676519</v>
      </c>
      <c r="K102" s="28">
        <f>+K12+K19+K26+K33+K40+K47+K54+K61+K68+K75+K82+K89+K96</f>
        <v>150480188.82000002</v>
      </c>
      <c r="L102" s="28">
        <f>+L12+L19+L26+L33+L40+L47+L54+L61+L68+L75+L82+L89+L96</f>
        <v>154379638.64999998</v>
      </c>
      <c r="M102" s="32">
        <f>(+K102-L102)/L102</f>
        <v>-2.5258835064645709E-2</v>
      </c>
      <c r="N102" s="10"/>
      <c r="R102" s="2"/>
    </row>
    <row r="103" spans="1:18" ht="15.75" thickTop="1" x14ac:dyDescent="0.2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8"/>
      <c r="L103" s="68"/>
      <c r="M103" s="67"/>
      <c r="R103" s="2"/>
    </row>
    <row r="104" spans="1:18" ht="18.75" x14ac:dyDescent="0.3">
      <c r="A104" s="264" t="s">
        <v>20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198"/>
      <c r="L104" s="198"/>
      <c r="M104" s="71"/>
      <c r="N104" s="2"/>
      <c r="O104" s="2"/>
      <c r="P104" s="2"/>
      <c r="Q104" s="2"/>
      <c r="R104" s="2"/>
    </row>
    <row r="105" spans="1:18" ht="18" x14ac:dyDescent="0.25">
      <c r="A105" s="69"/>
      <c r="B105" s="70"/>
      <c r="C105" s="71"/>
      <c r="D105" s="71"/>
      <c r="E105" s="71"/>
      <c r="F105" s="71"/>
      <c r="G105" s="71"/>
      <c r="H105" s="71"/>
      <c r="I105" s="71"/>
      <c r="J105" s="71"/>
      <c r="K105" s="198"/>
      <c r="L105" s="198"/>
      <c r="M105" s="71"/>
      <c r="N105" s="2"/>
      <c r="O105" s="2"/>
      <c r="P105" s="2"/>
      <c r="Q105" s="2"/>
      <c r="R105" s="2"/>
    </row>
    <row r="106" spans="1:18" ht="15.75" x14ac:dyDescent="0.2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3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3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x14ac:dyDescent="0.2">
      <c r="A109" s="2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3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73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x14ac:dyDescent="0.2">
      <c r="A114" s="2"/>
      <c r="B114" s="73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3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4"/>
      <c r="N115" s="2"/>
      <c r="O115" s="2"/>
      <c r="P115" s="2"/>
      <c r="Q115" s="2"/>
      <c r="R115" s="2"/>
    </row>
    <row r="116" spans="1:18" x14ac:dyDescent="0.2">
      <c r="A116" s="2"/>
      <c r="B116" s="73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4"/>
      <c r="N116" s="2"/>
      <c r="O116" s="2"/>
      <c r="P116" s="2"/>
      <c r="Q116" s="2"/>
      <c r="R116" s="2"/>
    </row>
    <row r="117" spans="1:18" x14ac:dyDescent="0.2">
      <c r="A117" s="2"/>
      <c r="B117" s="70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4"/>
      <c r="N117" s="2"/>
      <c r="O117" s="2"/>
      <c r="P117" s="2"/>
      <c r="Q117" s="2"/>
      <c r="R117" s="2"/>
    </row>
    <row r="118" spans="1:18" ht="15.75" x14ac:dyDescent="0.25">
      <c r="A118" s="76"/>
      <c r="B118" s="70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.75" x14ac:dyDescent="0.25">
      <c r="A119" s="76"/>
      <c r="B119" s="70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.75" x14ac:dyDescent="0.25">
      <c r="A120" s="76"/>
      <c r="B120" s="70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0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 x14ac:dyDescent="0.25">
      <c r="A122" s="76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7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.75" x14ac:dyDescent="0.25">
      <c r="A138" s="76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 x14ac:dyDescent="0.25">
      <c r="A139" s="76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 x14ac:dyDescent="0.25">
      <c r="A140" s="76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77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7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7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.75" x14ac:dyDescent="0.25">
      <c r="A156" s="76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.75" x14ac:dyDescent="0.25">
      <c r="A162" s="76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 x14ac:dyDescent="0.25">
      <c r="A165" s="76"/>
      <c r="B165" s="76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</sheetData>
  <phoneticPr fontId="0" type="noConversion"/>
  <printOptions horizontalCentered="1"/>
  <pageMargins left="0.45" right="0.25" top="0.31944444444444398" bottom="0.2" header="0.5" footer="0.5"/>
  <pageSetup scale="57" orientation="landscape" r:id="rId1"/>
  <headerFooter alignWithMargins="0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10" sqref="A10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STATS'!$C$16*2</f>
        <v>229528</v>
      </c>
      <c r="D10" s="89">
        <f>'MONTHLY STATS'!$C$23*2</f>
        <v>124414</v>
      </c>
      <c r="E10" s="89">
        <f>'MONTHLY STATS'!$C$30*2</f>
        <v>703680</v>
      </c>
      <c r="F10" s="89">
        <f>'MONTHLY STATS'!$C$37*2</f>
        <v>399396</v>
      </c>
      <c r="G10" s="89">
        <f>'MONTHLY STATS'!$C$44*2</f>
        <v>188900</v>
      </c>
      <c r="H10" s="89">
        <f>'MONTHLY STATS'!$C$51*2</f>
        <v>438240</v>
      </c>
      <c r="I10" s="89">
        <f>'MONTHLY STATS'!$C$58*2</f>
        <v>455910</v>
      </c>
      <c r="J10" s="89">
        <f>'MONTHLY STATS'!$C$65*2</f>
        <v>524176</v>
      </c>
      <c r="K10" s="89">
        <f>'MONTHLY STATS'!$C$72*2</f>
        <v>745328</v>
      </c>
      <c r="L10" s="89">
        <f>'MONTHLY STATS'!$C$79*2</f>
        <v>86244</v>
      </c>
      <c r="M10" s="89">
        <f>'MONTHLY STATS'!$C$86*2</f>
        <v>682716</v>
      </c>
      <c r="N10" s="89">
        <f>'MONTHLY STATS'!$C$93*2</f>
        <v>132646</v>
      </c>
      <c r="O10" s="90">
        <f>SUM(B10:N10)</f>
        <v>5109120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STATS'!$C$17*2</f>
        <v>206976</v>
      </c>
      <c r="D11" s="89">
        <f>'MONTHLY STATS'!$C$24*2</f>
        <v>111582</v>
      </c>
      <c r="E11" s="89">
        <f>'MONTHLY STATS'!$C$31*2</f>
        <v>661644</v>
      </c>
      <c r="F11" s="89">
        <f>'MONTHLY STATS'!$C$38*2</f>
        <v>371724</v>
      </c>
      <c r="G11" s="89">
        <f>'MONTHLY STATS'!$C$45*2</f>
        <v>171280</v>
      </c>
      <c r="H11" s="89">
        <f>'MONTHLY STATS'!$C$52*2</f>
        <v>436176</v>
      </c>
      <c r="I11" s="89">
        <f>'MONTHLY STATS'!$C$59*2</f>
        <v>427814</v>
      </c>
      <c r="J11" s="89">
        <f>'MONTHLY STATS'!$C$66*2</f>
        <v>478446</v>
      </c>
      <c r="K11" s="89">
        <f>'MONTHLY STATS'!$C$73*2</f>
        <v>685290</v>
      </c>
      <c r="L11" s="89">
        <f>'MONTHLY STATS'!$C$80*2</f>
        <v>77588</v>
      </c>
      <c r="M11" s="89">
        <f>'MONTHLY STATS'!$C$87*2</f>
        <v>652506</v>
      </c>
      <c r="N11" s="89">
        <f>'MONTHLY STATS'!$C$94*2</f>
        <v>127788</v>
      </c>
      <c r="O11" s="90">
        <f>SUM(B11:N11)</f>
        <v>4779986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371408</v>
      </c>
      <c r="C12" s="89">
        <f>'MONTHLY STATS'!$C$18*2</f>
        <v>200608</v>
      </c>
      <c r="D12" s="89">
        <f>'MONTHLY STATS'!$C$25*2</f>
        <v>113374</v>
      </c>
      <c r="E12" s="89">
        <f>'MONTHLY STATS'!$C$32*2</f>
        <v>633924</v>
      </c>
      <c r="F12" s="89">
        <f>'MONTHLY STATS'!$C$39*2</f>
        <v>375262</v>
      </c>
      <c r="G12" s="89">
        <f>'MONTHLY STATS'!$C$46*2</f>
        <v>170280</v>
      </c>
      <c r="H12" s="89">
        <f>'MONTHLY STATS'!$C$53*2</f>
        <v>483586</v>
      </c>
      <c r="I12" s="89">
        <f>'MONTHLY STATS'!$C$60*2</f>
        <v>421612</v>
      </c>
      <c r="J12" s="89">
        <f>'MONTHLY STATS'!$C$67*2</f>
        <v>496626</v>
      </c>
      <c r="K12" s="89">
        <f>'MONTHLY STATS'!$C$74*2</f>
        <v>681256</v>
      </c>
      <c r="L12" s="89">
        <f>'MONTHLY STATS'!$C$81*2</f>
        <v>78048</v>
      </c>
      <c r="M12" s="89">
        <f>'MONTHLY STATS'!$C$88*2</f>
        <v>661610</v>
      </c>
      <c r="N12" s="89">
        <f>'MONTHLY STATS'!$C$95*2</f>
        <v>122756</v>
      </c>
      <c r="O12" s="90">
        <f>SUM(B12:N12)</f>
        <v>4810350</v>
      </c>
      <c r="P12" s="83"/>
    </row>
    <row r="13" spans="1:16" ht="15.75" x14ac:dyDescent="0.25">
      <c r="A13" s="88">
        <f>DATE(2023,10,1)</f>
        <v>45200</v>
      </c>
      <c r="B13" s="89">
        <f>'MONTHLY STATS'!$C$12*2</f>
        <v>338922</v>
      </c>
      <c r="C13" s="89">
        <f>'MONTHLY STATS'!$C$19*2</f>
        <v>186356</v>
      </c>
      <c r="D13" s="89">
        <f>'MONTHLY STATS'!$C$26*2</f>
        <v>100636</v>
      </c>
      <c r="E13" s="89">
        <f>'MONTHLY STATS'!$C$33*2</f>
        <v>577604</v>
      </c>
      <c r="F13" s="89">
        <f>'MONTHLY STATS'!$C$40*2</f>
        <v>367450</v>
      </c>
      <c r="G13" s="89">
        <f>'MONTHLY STATS'!$C$47*2</f>
        <v>156624</v>
      </c>
      <c r="H13" s="89">
        <f>'MONTHLY STATS'!$C$54*2</f>
        <v>490034</v>
      </c>
      <c r="I13" s="89">
        <f>'MONTHLY STATS'!$C$61*2</f>
        <v>384400</v>
      </c>
      <c r="J13" s="89">
        <f>'MONTHLY STATS'!$C$68*2</f>
        <v>455924</v>
      </c>
      <c r="K13" s="89">
        <f>'MONTHLY STATS'!$C$75*2</f>
        <v>660278</v>
      </c>
      <c r="L13" s="89">
        <f>'MONTHLY STATS'!$C$82*2</f>
        <v>79152</v>
      </c>
      <c r="M13" s="89">
        <f>'MONTHLY STATS'!$C$89*2</f>
        <v>608408</v>
      </c>
      <c r="N13" s="89">
        <f>'MONTHLY STATS'!$C$96*2</f>
        <v>114994</v>
      </c>
      <c r="O13" s="90">
        <f>SUM(B13:N13)</f>
        <v>4520782</v>
      </c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1479444</v>
      </c>
      <c r="C23" s="90">
        <f t="shared" si="0"/>
        <v>823468</v>
      </c>
      <c r="D23" s="90">
        <f t="shared" si="0"/>
        <v>450006</v>
      </c>
      <c r="E23" s="90">
        <f t="shared" si="0"/>
        <v>2576852</v>
      </c>
      <c r="F23" s="90">
        <f t="shared" si="0"/>
        <v>1513832</v>
      </c>
      <c r="G23" s="90">
        <f>SUM(G10:G21)</f>
        <v>687084</v>
      </c>
      <c r="H23" s="90">
        <f t="shared" si="0"/>
        <v>1848036</v>
      </c>
      <c r="I23" s="90">
        <f>SUM(I10:I21)</f>
        <v>1689736</v>
      </c>
      <c r="J23" s="90">
        <f t="shared" si="0"/>
        <v>1955172</v>
      </c>
      <c r="K23" s="90">
        <f>SUM(K10:K21)</f>
        <v>2772152</v>
      </c>
      <c r="L23" s="90">
        <f t="shared" si="0"/>
        <v>321032</v>
      </c>
      <c r="M23" s="90">
        <f t="shared" si="0"/>
        <v>2605240</v>
      </c>
      <c r="N23" s="90">
        <f t="shared" si="0"/>
        <v>498184</v>
      </c>
      <c r="O23" s="90">
        <f t="shared" si="0"/>
        <v>19220238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STATS'!$K$16*0.21</f>
        <v>1719921.4872000001</v>
      </c>
      <c r="D31" s="89">
        <f>'MONTHLY STATS'!$K$23*0.21</f>
        <v>817934.35290000006</v>
      </c>
      <c r="E31" s="89">
        <f>'MONTHLY STATS'!$K$30*0.21</f>
        <v>4674596.7617999995</v>
      </c>
      <c r="F31" s="89">
        <f>'MONTHLY STATS'!$K$37*0.21</f>
        <v>3228902.0589000001</v>
      </c>
      <c r="G31" s="89">
        <f>'MONTHLY STATS'!$K$44*0.21</f>
        <v>1319580.5342999999</v>
      </c>
      <c r="H31" s="89">
        <f>'MONTHLY STATS'!$K$51*0.21</f>
        <v>2268943.7148000002</v>
      </c>
      <c r="I31" s="89">
        <f>'MONTHLY STATS'!$K$58*0.21</f>
        <v>2947257.6987000001</v>
      </c>
      <c r="J31" s="89">
        <f>'MONTHLY STATS'!$K$65*0.21</f>
        <v>3704387.8221</v>
      </c>
      <c r="K31" s="89">
        <f>'MONTHLY STATS'!$K$72*0.21</f>
        <v>4669398.8481000001</v>
      </c>
      <c r="L31" s="89">
        <f>'MONTHLY STATS'!$K$79*0.21</f>
        <v>667459.5858</v>
      </c>
      <c r="M31" s="89">
        <f>'MONTHLY STATS'!$K$86*0.21</f>
        <v>5390821.3358999994</v>
      </c>
      <c r="N31" s="89">
        <f>'MONTHLY STATS'!$K$93*0.21</f>
        <v>821402.96069999994</v>
      </c>
      <c r="O31" s="90">
        <f>SUM(B31:N31)</f>
        <v>35376823.229999989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STATS'!$K$17*0.21</f>
        <v>1570446.5763000001</v>
      </c>
      <c r="D32" s="89">
        <f>'MONTHLY STATS'!$K$24*0.21</f>
        <v>789048.26909999992</v>
      </c>
      <c r="E32" s="89">
        <f>'MONTHLY STATS'!$K$31*0.21</f>
        <v>4190646.3227999997</v>
      </c>
      <c r="F32" s="89">
        <f>'MONTHLY STATS'!$K$38*0.21</f>
        <v>2955351.3128999998</v>
      </c>
      <c r="G32" s="89">
        <f>'MONTHLY STATS'!$K$45*0.21</f>
        <v>1258922.0027999999</v>
      </c>
      <c r="H32" s="89">
        <f>'MONTHLY STATS'!$K$52*0.21</f>
        <v>2283147.1698000003</v>
      </c>
      <c r="I32" s="89">
        <f>'MONTHLY STATS'!$K$59*0.21</f>
        <v>2743960.2875999999</v>
      </c>
      <c r="J32" s="89">
        <f>'MONTHLY STATS'!$K$66*0.21</f>
        <v>3431592.2823000001</v>
      </c>
      <c r="K32" s="89">
        <f>'MONTHLY STATS'!$K$73*0.21</f>
        <v>4328763.0539999995</v>
      </c>
      <c r="L32" s="89">
        <f>'MONTHLY STATS'!$K$80*0.21</f>
        <v>603333.93329999992</v>
      </c>
      <c r="M32" s="89">
        <f>'MONTHLY STATS'!$K$87*0.21</f>
        <v>4902681.9807000002</v>
      </c>
      <c r="N32" s="89">
        <f>'MONTHLY STATS'!$K$94*0.21</f>
        <v>811071.1287</v>
      </c>
      <c r="O32" s="90">
        <f>SUM(B32:N32)</f>
        <v>32835661.0995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STATS'!$K$18*0.21</f>
        <v>1512997.5902999998</v>
      </c>
      <c r="D33" s="89">
        <f>'MONTHLY STATS'!$K$25*0.21</f>
        <v>844931.44259999995</v>
      </c>
      <c r="E33" s="89">
        <f>'MONTHLY STATS'!$K$32*0.21</f>
        <v>4303547.5833000001</v>
      </c>
      <c r="F33" s="89">
        <f>'MONTHLY STATS'!$K$39*0.21</f>
        <v>2904963.7407</v>
      </c>
      <c r="G33" s="89">
        <f>'MONTHLY STATS'!$K$46*0.21</f>
        <v>1096871.5023000001</v>
      </c>
      <c r="H33" s="89">
        <f>'MONTHLY STATS'!$K$53*0.21</f>
        <v>2467521.0587999998</v>
      </c>
      <c r="I33" s="89">
        <f>'MONTHLY STATS'!$K$60*0.21</f>
        <v>2863533.4391999999</v>
      </c>
      <c r="J33" s="89">
        <f>'MONTHLY STATS'!$K$67*0.21</f>
        <v>3539927.4372</v>
      </c>
      <c r="K33" s="89">
        <f>'MONTHLY STATS'!$K$74*0.21</f>
        <v>4523369.9385000002</v>
      </c>
      <c r="L33" s="89">
        <f>'MONTHLY STATS'!$K$81*0.21</f>
        <v>603992.21609999996</v>
      </c>
      <c r="M33" s="89">
        <f>'MONTHLY STATS'!$K$88*0.21</f>
        <v>5166807.4521000003</v>
      </c>
      <c r="N33" s="89">
        <f>'MONTHLY STATS'!$K$95*0.21</f>
        <v>785676.32849999995</v>
      </c>
      <c r="O33" s="90">
        <f>SUM(B33:N33)</f>
        <v>33298801.817399997</v>
      </c>
      <c r="P33" s="83"/>
    </row>
    <row r="34" spans="1:16" ht="15.75" x14ac:dyDescent="0.25">
      <c r="A34" s="88">
        <f>DATE(2023,10,1)</f>
        <v>45200</v>
      </c>
      <c r="B34" s="89">
        <f>'MONTHLY STATS'!$K$12*0.21</f>
        <v>2701032.6566999997</v>
      </c>
      <c r="C34" s="89">
        <f>'MONTHLY STATS'!$K$19*0.21</f>
        <v>1371526.7223</v>
      </c>
      <c r="D34" s="89">
        <f>'MONTHLY STATS'!$K$26*0.21</f>
        <v>777349.62899999996</v>
      </c>
      <c r="E34" s="89">
        <f>'MONTHLY STATS'!$K$33*0.21</f>
        <v>4064720.5997999995</v>
      </c>
      <c r="F34" s="89">
        <f>'MONTHLY STATS'!$K$40*0.21</f>
        <v>2814623.5781999999</v>
      </c>
      <c r="G34" s="89">
        <f>'MONTHLY STATS'!$K$47*0.21</f>
        <v>1101098.6049000002</v>
      </c>
      <c r="H34" s="89">
        <f>'MONTHLY STATS'!$K$54*0.21</f>
        <v>2478422.0201999997</v>
      </c>
      <c r="I34" s="89">
        <f>'MONTHLY STATS'!$K$61*0.21</f>
        <v>2430873.3078000001</v>
      </c>
      <c r="J34" s="89">
        <f>'MONTHLY STATS'!$K$68*0.21</f>
        <v>3345843.1041000001</v>
      </c>
      <c r="K34" s="89">
        <f>'MONTHLY STATS'!$K$75*0.21</f>
        <v>4155760.0769999996</v>
      </c>
      <c r="L34" s="89">
        <f>'MONTHLY STATS'!$K$82*0.21</f>
        <v>648912.18629999994</v>
      </c>
      <c r="M34" s="89">
        <f>'MONTHLY STATS'!$K$89*0.21</f>
        <v>4966779.1592999995</v>
      </c>
      <c r="N34" s="89">
        <f>'MONTHLY STATS'!$K$96*0.21</f>
        <v>743898.00659999996</v>
      </c>
      <c r="O34" s="90">
        <f>SUM(B34:N34)</f>
        <v>31600839.652199995</v>
      </c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11498607.592499999</v>
      </c>
      <c r="C44" s="90">
        <f t="shared" si="1"/>
        <v>6174892.3761</v>
      </c>
      <c r="D44" s="90">
        <f t="shared" si="1"/>
        <v>3229263.6935999999</v>
      </c>
      <c r="E44" s="90">
        <f t="shared" si="1"/>
        <v>17233511.267699998</v>
      </c>
      <c r="F44" s="90">
        <f t="shared" si="1"/>
        <v>11903840.6907</v>
      </c>
      <c r="G44" s="90">
        <f t="shared" si="1"/>
        <v>4776472.6443000007</v>
      </c>
      <c r="H44" s="90">
        <f t="shared" si="1"/>
        <v>9498033.9636000004</v>
      </c>
      <c r="I44" s="90">
        <f>SUM(I31:I42)</f>
        <v>10985624.7333</v>
      </c>
      <c r="J44" s="90">
        <f t="shared" si="1"/>
        <v>14021750.6457</v>
      </c>
      <c r="K44" s="90">
        <f>SUM(K31:K42)</f>
        <v>17677291.917599998</v>
      </c>
      <c r="L44" s="90">
        <f t="shared" si="1"/>
        <v>2523697.9215000002</v>
      </c>
      <c r="M44" s="90">
        <f t="shared" si="1"/>
        <v>20427089.927999999</v>
      </c>
      <c r="N44" s="90">
        <f t="shared" si="1"/>
        <v>3162048.4244999997</v>
      </c>
      <c r="O44" s="90">
        <f t="shared" si="1"/>
        <v>133112125.79909998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05"/>
  <sheetViews>
    <sheetView showOutlineSymbols="0" zoomScaleNormal="100" workbookViewId="0">
      <selection activeCell="A9" sqref="A9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78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>(+D9-E9)/E9</f>
        <v>-8.6604921297017204E-2</v>
      </c>
      <c r="G9" s="215">
        <f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>(+D10-E10)/E10</f>
        <v>-7.8994281047101669E-2</v>
      </c>
      <c r="G10" s="215">
        <f>D10/C10</f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>(+D11-E11)/E11</f>
        <v>-6.1130948429686888E-2</v>
      </c>
      <c r="G11" s="215">
        <f>D11/C11</f>
        <v>0.12171911473971439</v>
      </c>
      <c r="H11" s="123"/>
    </row>
    <row r="12" spans="1:8" ht="15.75" x14ac:dyDescent="0.25">
      <c r="A12" s="130"/>
      <c r="B12" s="131">
        <f>DATE(2023,10,1)</f>
        <v>45200</v>
      </c>
      <c r="C12" s="204">
        <v>16463924</v>
      </c>
      <c r="D12" s="204">
        <v>2575274</v>
      </c>
      <c r="E12" s="204">
        <v>2709321</v>
      </c>
      <c r="F12" s="132">
        <f>(+D12-E12)/E12</f>
        <v>-4.9476234082266368E-2</v>
      </c>
      <c r="G12" s="215">
        <f>D12/C12</f>
        <v>0.15641921087585195</v>
      </c>
      <c r="H12" s="123"/>
    </row>
    <row r="13" spans="1:8" ht="15.75" thickBot="1" x14ac:dyDescent="0.25">
      <c r="A13" s="133"/>
      <c r="B13" s="134"/>
      <c r="C13" s="204"/>
      <c r="D13" s="204"/>
      <c r="E13" s="204"/>
      <c r="F13" s="132"/>
      <c r="G13" s="215"/>
      <c r="H13" s="123"/>
    </row>
    <row r="14" spans="1:8" ht="17.25" thickTop="1" thickBot="1" x14ac:dyDescent="0.3">
      <c r="A14" s="135" t="s">
        <v>14</v>
      </c>
      <c r="B14" s="136"/>
      <c r="C14" s="201">
        <f>SUM(C9:C13)</f>
        <v>64327929</v>
      </c>
      <c r="D14" s="201">
        <f>SUM(D9:D13)</f>
        <v>10209347.5</v>
      </c>
      <c r="E14" s="201">
        <f>SUM(E9:E13)</f>
        <v>10983954.85</v>
      </c>
      <c r="F14" s="137">
        <f>(+D14-E14)/E14</f>
        <v>-7.0521716501775286E-2</v>
      </c>
      <c r="G14" s="212">
        <f>D14/C14</f>
        <v>0.1587078530073617</v>
      </c>
      <c r="H14" s="123"/>
    </row>
    <row r="15" spans="1:8" ht="15.75" customHeight="1" thickTop="1" x14ac:dyDescent="0.25">
      <c r="A15" s="138"/>
      <c r="B15" s="139"/>
      <c r="C15" s="205"/>
      <c r="D15" s="205"/>
      <c r="E15" s="205"/>
      <c r="F15" s="140"/>
      <c r="G15" s="216"/>
      <c r="H15" s="123"/>
    </row>
    <row r="16" spans="1:8" ht="15.75" x14ac:dyDescent="0.25">
      <c r="A16" s="19" t="s">
        <v>15</v>
      </c>
      <c r="B16" s="131">
        <f>DATE(2023,7,1)</f>
        <v>45108</v>
      </c>
      <c r="C16" s="204">
        <v>2471937</v>
      </c>
      <c r="D16" s="204">
        <v>614728</v>
      </c>
      <c r="E16" s="204">
        <v>637839.5</v>
      </c>
      <c r="F16" s="132">
        <f>(+D16-E16)/E16</f>
        <v>-3.62340369324885E-2</v>
      </c>
      <c r="G16" s="215">
        <f>D16/C16</f>
        <v>0.24868271319212423</v>
      </c>
      <c r="H16" s="123"/>
    </row>
    <row r="17" spans="1:8" ht="15.75" x14ac:dyDescent="0.25">
      <c r="A17" s="19"/>
      <c r="B17" s="131">
        <f>DATE(2023,8,1)</f>
        <v>45139</v>
      </c>
      <c r="C17" s="204">
        <v>2248291</v>
      </c>
      <c r="D17" s="204">
        <v>388628</v>
      </c>
      <c r="E17" s="204">
        <v>695761.5</v>
      </c>
      <c r="F17" s="132">
        <f>(+D17-E17)/E17</f>
        <v>-0.44143503197575606</v>
      </c>
      <c r="G17" s="215">
        <f>D17/C17</f>
        <v>0.17285484841597462</v>
      </c>
      <c r="H17" s="123"/>
    </row>
    <row r="18" spans="1:8" ht="15.75" x14ac:dyDescent="0.25">
      <c r="A18" s="19"/>
      <c r="B18" s="131">
        <f>DATE(2023,9,1)</f>
        <v>45170</v>
      </c>
      <c r="C18" s="204">
        <v>2515175</v>
      </c>
      <c r="D18" s="204">
        <v>596033.5</v>
      </c>
      <c r="E18" s="204">
        <v>780368</v>
      </c>
      <c r="F18" s="132">
        <f>(+D18-E18)/E18</f>
        <v>-0.23621483710249525</v>
      </c>
      <c r="G18" s="215">
        <f>D18/C18</f>
        <v>0.23697496198077669</v>
      </c>
      <c r="H18" s="123"/>
    </row>
    <row r="19" spans="1:8" ht="15.75" x14ac:dyDescent="0.25">
      <c r="A19" s="19"/>
      <c r="B19" s="131">
        <f>DATE(2023,10,1)</f>
        <v>45200</v>
      </c>
      <c r="C19" s="204">
        <v>2462749</v>
      </c>
      <c r="D19" s="204">
        <v>457507</v>
      </c>
      <c r="E19" s="204">
        <v>868243</v>
      </c>
      <c r="F19" s="132">
        <f>(+D19-E19)/E19</f>
        <v>-0.47306572008066866</v>
      </c>
      <c r="G19" s="215">
        <f>D19/C19</f>
        <v>0.18577086012419455</v>
      </c>
      <c r="H19" s="123"/>
    </row>
    <row r="20" spans="1:8" ht="15.75" thickBot="1" x14ac:dyDescent="0.25">
      <c r="A20" s="133"/>
      <c r="B20" s="131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SUM(C16:C20)</f>
        <v>9698152</v>
      </c>
      <c r="D21" s="201">
        <f>SUM(D16:D20)</f>
        <v>2056896.5</v>
      </c>
      <c r="E21" s="201">
        <f>SUM(E16:E20)</f>
        <v>2982212</v>
      </c>
      <c r="F21" s="137">
        <f>(+D21-E21)/E21</f>
        <v>-0.3102782431295964</v>
      </c>
      <c r="G21" s="212">
        <f>D21/C21</f>
        <v>0.21209159229510943</v>
      </c>
      <c r="H21" s="123"/>
    </row>
    <row r="22" spans="1:8" ht="15.75" customHeight="1" thickTop="1" x14ac:dyDescent="0.25">
      <c r="A22" s="255"/>
      <c r="B22" s="139"/>
      <c r="C22" s="205"/>
      <c r="D22" s="205"/>
      <c r="E22" s="205"/>
      <c r="F22" s="140"/>
      <c r="G22" s="219"/>
      <c r="H22" s="123"/>
    </row>
    <row r="23" spans="1:8" ht="15.75" x14ac:dyDescent="0.25">
      <c r="A23" s="19" t="s">
        <v>62</v>
      </c>
      <c r="B23" s="131">
        <f>DATE(2023,7,1)</f>
        <v>45108</v>
      </c>
      <c r="C23" s="204">
        <v>1300276</v>
      </c>
      <c r="D23" s="204">
        <v>166322.5</v>
      </c>
      <c r="E23" s="204">
        <v>249087.5</v>
      </c>
      <c r="F23" s="132">
        <f>(+D23-E23)/E23</f>
        <v>-0.33227279570432078</v>
      </c>
      <c r="G23" s="215">
        <f>D23/C23</f>
        <v>0.12791322765320592</v>
      </c>
      <c r="H23" s="123"/>
    </row>
    <row r="24" spans="1:8" ht="15.75" x14ac:dyDescent="0.25">
      <c r="A24" s="19"/>
      <c r="B24" s="131">
        <f>DATE(2023,8,1)</f>
        <v>45139</v>
      </c>
      <c r="C24" s="204">
        <v>1380793</v>
      </c>
      <c r="D24" s="204">
        <v>264487</v>
      </c>
      <c r="E24" s="204">
        <v>272495.5</v>
      </c>
      <c r="F24" s="132">
        <f>(+D24-E24)/E24</f>
        <v>-2.9389476156486988E-2</v>
      </c>
      <c r="G24" s="215">
        <f>D24/C24</f>
        <v>0.19154717615167516</v>
      </c>
      <c r="H24" s="123"/>
    </row>
    <row r="25" spans="1:8" ht="15.75" x14ac:dyDescent="0.25">
      <c r="A25" s="19"/>
      <c r="B25" s="131">
        <f>DATE(2023,9,1)</f>
        <v>45170</v>
      </c>
      <c r="C25" s="204">
        <v>1331049</v>
      </c>
      <c r="D25" s="204">
        <v>353812</v>
      </c>
      <c r="E25" s="204">
        <v>310850</v>
      </c>
      <c r="F25" s="132">
        <f>(+D25-E25)/E25</f>
        <v>0.13820813897378156</v>
      </c>
      <c r="G25" s="215">
        <f>D25/C25</f>
        <v>0.26581440653199095</v>
      </c>
      <c r="H25" s="123"/>
    </row>
    <row r="26" spans="1:8" ht="15.75" x14ac:dyDescent="0.25">
      <c r="A26" s="19"/>
      <c r="B26" s="131">
        <f>DATE(2023,10,1)</f>
        <v>45200</v>
      </c>
      <c r="C26" s="204">
        <v>1247669</v>
      </c>
      <c r="D26" s="204">
        <v>292380</v>
      </c>
      <c r="E26" s="204">
        <v>204149.5</v>
      </c>
      <c r="F26" s="132">
        <f>(+D26-E26)/E26</f>
        <v>0.43218572663660698</v>
      </c>
      <c r="G26" s="215">
        <f>D26/C26</f>
        <v>0.23434099909511258</v>
      </c>
      <c r="H26" s="123"/>
    </row>
    <row r="27" spans="1:8" ht="15.75" thickBot="1" x14ac:dyDescent="0.25">
      <c r="A27" s="133"/>
      <c r="B27" s="131"/>
      <c r="C27" s="204"/>
      <c r="D27" s="204"/>
      <c r="E27" s="204"/>
      <c r="F27" s="132"/>
      <c r="G27" s="215"/>
      <c r="H27" s="123"/>
    </row>
    <row r="28" spans="1:8" ht="17.25" thickTop="1" thickBot="1" x14ac:dyDescent="0.3">
      <c r="A28" s="141" t="s">
        <v>14</v>
      </c>
      <c r="B28" s="142"/>
      <c r="C28" s="206">
        <f>SUM(C23:C27)</f>
        <v>5259787</v>
      </c>
      <c r="D28" s="206">
        <f>SUM(D23:D27)</f>
        <v>1077001.5</v>
      </c>
      <c r="E28" s="206">
        <f>SUM(E23:E27)</f>
        <v>1036582.5</v>
      </c>
      <c r="F28" s="143">
        <f>(+D28-E28)/E28</f>
        <v>3.8992554861769321E-2</v>
      </c>
      <c r="G28" s="217">
        <f>D28/C28</f>
        <v>0.2047614285521448</v>
      </c>
      <c r="H28" s="123"/>
    </row>
    <row r="29" spans="1:8" ht="15.75" thickTop="1" x14ac:dyDescent="0.2">
      <c r="A29" s="133"/>
      <c r="B29" s="134"/>
      <c r="C29" s="204"/>
      <c r="D29" s="204"/>
      <c r="E29" s="204"/>
      <c r="F29" s="132"/>
      <c r="G29" s="218"/>
      <c r="H29" s="123"/>
    </row>
    <row r="30" spans="1:8" ht="15.75" x14ac:dyDescent="0.25">
      <c r="A30" s="177" t="s">
        <v>58</v>
      </c>
      <c r="B30" s="131">
        <f>DATE(2023,7,1)</f>
        <v>45108</v>
      </c>
      <c r="C30" s="204">
        <v>17665326</v>
      </c>
      <c r="D30" s="204">
        <v>3803316</v>
      </c>
      <c r="E30" s="204">
        <v>3390213</v>
      </c>
      <c r="F30" s="132">
        <f>(+D30-E30)/E30</f>
        <v>0.12185163587066654</v>
      </c>
      <c r="G30" s="215">
        <f>D30/C30</f>
        <v>0.21529837603902696</v>
      </c>
      <c r="H30" s="123"/>
    </row>
    <row r="31" spans="1:8" ht="15.75" x14ac:dyDescent="0.25">
      <c r="A31" s="177"/>
      <c r="B31" s="131">
        <f>DATE(2023,8,1)</f>
        <v>45139</v>
      </c>
      <c r="C31" s="204">
        <v>17268495</v>
      </c>
      <c r="D31" s="204">
        <v>2558007.38</v>
      </c>
      <c r="E31" s="204">
        <v>2096973.67</v>
      </c>
      <c r="F31" s="132">
        <f>(+D31-E31)/E31</f>
        <v>0.21985669948826778</v>
      </c>
      <c r="G31" s="215">
        <f>D31/C31</f>
        <v>0.14813146021121121</v>
      </c>
      <c r="H31" s="123"/>
    </row>
    <row r="32" spans="1:8" ht="15.75" x14ac:dyDescent="0.25">
      <c r="A32" s="177"/>
      <c r="B32" s="131">
        <f>DATE(2023,9,1)</f>
        <v>45170</v>
      </c>
      <c r="C32" s="204">
        <v>15882513</v>
      </c>
      <c r="D32" s="204">
        <v>3090684.15</v>
      </c>
      <c r="E32" s="204">
        <v>3937084.53</v>
      </c>
      <c r="F32" s="132">
        <f>(+D32-E32)/E32</f>
        <v>-0.21498151069669819</v>
      </c>
      <c r="G32" s="215">
        <f>D32/C32</f>
        <v>0.19459667056466443</v>
      </c>
      <c r="H32" s="123"/>
    </row>
    <row r="33" spans="1:8" ht="15.75" x14ac:dyDescent="0.25">
      <c r="A33" s="177"/>
      <c r="B33" s="131">
        <f>DATE(2023,10,1)</f>
        <v>45200</v>
      </c>
      <c r="C33" s="204">
        <v>14805478</v>
      </c>
      <c r="D33" s="204">
        <v>2879819</v>
      </c>
      <c r="E33" s="204">
        <v>2819327.04</v>
      </c>
      <c r="F33" s="132">
        <f>(+D33-E33)/E33</f>
        <v>2.1456169909256063E-2</v>
      </c>
      <c r="G33" s="215">
        <f>D33/C33</f>
        <v>0.19451036974287489</v>
      </c>
      <c r="H33" s="123"/>
    </row>
    <row r="34" spans="1:8" ht="15.75" customHeight="1" thickBot="1" x14ac:dyDescent="0.25">
      <c r="A34" s="133"/>
      <c r="B34" s="134"/>
      <c r="C34" s="204"/>
      <c r="D34" s="204"/>
      <c r="E34" s="204"/>
      <c r="F34" s="132"/>
      <c r="G34" s="215"/>
      <c r="H34" s="123"/>
    </row>
    <row r="35" spans="1:8" ht="17.25" customHeight="1" thickTop="1" thickBot="1" x14ac:dyDescent="0.3">
      <c r="A35" s="141" t="s">
        <v>14</v>
      </c>
      <c r="B35" s="142"/>
      <c r="C35" s="206">
        <f>SUM(C30:C34)</f>
        <v>65621812</v>
      </c>
      <c r="D35" s="206">
        <f>SUM(D30:D34)</f>
        <v>12331826.529999999</v>
      </c>
      <c r="E35" s="206">
        <f>SUM(E30:E34)</f>
        <v>12243598.239999998</v>
      </c>
      <c r="F35" s="143">
        <f>(+D35-E35)/E35</f>
        <v>7.2060752297276442E-3</v>
      </c>
      <c r="G35" s="217">
        <f>D35/C35</f>
        <v>0.18792267622844672</v>
      </c>
      <c r="H35" s="123"/>
    </row>
    <row r="36" spans="1:8" ht="15.75" customHeight="1" thickTop="1" x14ac:dyDescent="0.2">
      <c r="A36" s="133"/>
      <c r="B36" s="134"/>
      <c r="C36" s="204"/>
      <c r="D36" s="204"/>
      <c r="E36" s="204"/>
      <c r="F36" s="132"/>
      <c r="G36" s="218"/>
      <c r="H36" s="123"/>
    </row>
    <row r="37" spans="1:8" ht="15" customHeight="1" x14ac:dyDescent="0.25">
      <c r="A37" s="130" t="s">
        <v>60</v>
      </c>
      <c r="B37" s="131">
        <f>DATE(2023,7,1)</f>
        <v>45108</v>
      </c>
      <c r="C37" s="204">
        <v>12723732</v>
      </c>
      <c r="D37" s="204">
        <v>3308388.5</v>
      </c>
      <c r="E37" s="204">
        <v>3195567.5</v>
      </c>
      <c r="F37" s="132">
        <f>(+D37-E37)/E37</f>
        <v>3.5305466087009588E-2</v>
      </c>
      <c r="G37" s="215">
        <f>D37/C37</f>
        <v>0.26001714748471594</v>
      </c>
      <c r="H37" s="123"/>
    </row>
    <row r="38" spans="1:8" ht="15" customHeight="1" x14ac:dyDescent="0.25">
      <c r="A38" s="130"/>
      <c r="B38" s="131">
        <f>DATE(2023,8,1)</f>
        <v>45139</v>
      </c>
      <c r="C38" s="204">
        <v>11628258</v>
      </c>
      <c r="D38" s="204">
        <v>3099426.5</v>
      </c>
      <c r="E38" s="204">
        <v>3909171</v>
      </c>
      <c r="F38" s="132">
        <f>(+D38-E38)/E38</f>
        <v>-0.20713969790525918</v>
      </c>
      <c r="G38" s="215">
        <f>D38/C38</f>
        <v>0.26654263261100675</v>
      </c>
      <c r="H38" s="123"/>
    </row>
    <row r="39" spans="1:8" ht="15" customHeight="1" x14ac:dyDescent="0.25">
      <c r="A39" s="130"/>
      <c r="B39" s="131">
        <f>DATE(2023,9,1)</f>
        <v>45170</v>
      </c>
      <c r="C39" s="204">
        <v>11873656</v>
      </c>
      <c r="D39" s="204">
        <v>3032057</v>
      </c>
      <c r="E39" s="204">
        <v>3778062.5</v>
      </c>
      <c r="F39" s="132">
        <f>(+D39-E39)/E39</f>
        <v>-0.19745716223593443</v>
      </c>
      <c r="G39" s="215">
        <f>D39/C39</f>
        <v>0.25536001716741669</v>
      </c>
      <c r="H39" s="123"/>
    </row>
    <row r="40" spans="1:8" ht="15" customHeight="1" x14ac:dyDescent="0.25">
      <c r="A40" s="130"/>
      <c r="B40" s="131">
        <f>DATE(2023,10,1)</f>
        <v>45200</v>
      </c>
      <c r="C40" s="204">
        <v>12435915</v>
      </c>
      <c r="D40" s="204">
        <v>2838722.5</v>
      </c>
      <c r="E40" s="204">
        <v>1234436</v>
      </c>
      <c r="F40" s="132">
        <f>(+D40-E40)/E40</f>
        <v>1.2996109154302045</v>
      </c>
      <c r="G40" s="215">
        <f>D40/C40</f>
        <v>0.22826808481724103</v>
      </c>
      <c r="H40" s="123"/>
    </row>
    <row r="41" spans="1:8" ht="15.75" thickBot="1" x14ac:dyDescent="0.25">
      <c r="A41" s="133"/>
      <c r="B41" s="131"/>
      <c r="C41" s="204"/>
      <c r="D41" s="204"/>
      <c r="E41" s="204"/>
      <c r="F41" s="132"/>
      <c r="G41" s="215"/>
      <c r="H41" s="123"/>
    </row>
    <row r="42" spans="1:8" ht="17.25" customHeight="1" thickTop="1" thickBot="1" x14ac:dyDescent="0.3">
      <c r="A42" s="141" t="s">
        <v>14</v>
      </c>
      <c r="B42" s="142"/>
      <c r="C42" s="207">
        <f>SUM(C37:C41)</f>
        <v>48661561</v>
      </c>
      <c r="D42" s="261">
        <f>SUM(D37:D41)</f>
        <v>12278594.5</v>
      </c>
      <c r="E42" s="206">
        <f>SUM(E37:E41)</f>
        <v>12117237</v>
      </c>
      <c r="F42" s="268">
        <f>(+D42-E42)/E42</f>
        <v>1.3316360817239111E-2</v>
      </c>
      <c r="G42" s="267">
        <f>D42/C42</f>
        <v>0.25232635878655846</v>
      </c>
      <c r="H42" s="123"/>
    </row>
    <row r="43" spans="1:8" ht="15.75" customHeight="1" thickTop="1" x14ac:dyDescent="0.25">
      <c r="A43" s="130"/>
      <c r="B43" s="134"/>
      <c r="C43" s="204"/>
      <c r="D43" s="204"/>
      <c r="E43" s="204"/>
      <c r="F43" s="132"/>
      <c r="G43" s="218"/>
      <c r="H43" s="123"/>
    </row>
    <row r="44" spans="1:8" ht="15.75" x14ac:dyDescent="0.25">
      <c r="A44" s="130" t="s">
        <v>64</v>
      </c>
      <c r="B44" s="131">
        <f>DATE(2023,7,1)</f>
        <v>45108</v>
      </c>
      <c r="C44" s="204">
        <v>3361117</v>
      </c>
      <c r="D44" s="204">
        <v>707897</v>
      </c>
      <c r="E44" s="204">
        <v>700930</v>
      </c>
      <c r="F44" s="132">
        <f>(+D44-E44)/E44</f>
        <v>9.9396516057238243E-3</v>
      </c>
      <c r="G44" s="215">
        <f>D44/C44</f>
        <v>0.21061361446209698</v>
      </c>
      <c r="H44" s="123"/>
    </row>
    <row r="45" spans="1:8" ht="15.75" x14ac:dyDescent="0.25">
      <c r="A45" s="130"/>
      <c r="B45" s="131">
        <f>DATE(2023,8,1)</f>
        <v>45139</v>
      </c>
      <c r="C45" s="204">
        <v>2951366</v>
      </c>
      <c r="D45" s="204">
        <v>871889</v>
      </c>
      <c r="E45" s="204">
        <v>630145.5</v>
      </c>
      <c r="F45" s="132">
        <f>(+D45-E45)/E45</f>
        <v>0.38363124072138893</v>
      </c>
      <c r="G45" s="215">
        <f>D45/C45</f>
        <v>0.29541879929497056</v>
      </c>
      <c r="H45" s="123"/>
    </row>
    <row r="46" spans="1:8" ht="15.75" x14ac:dyDescent="0.25">
      <c r="A46" s="130"/>
      <c r="B46" s="131">
        <f>DATE(2023,9,1)</f>
        <v>45170</v>
      </c>
      <c r="C46" s="204">
        <v>2512048</v>
      </c>
      <c r="D46" s="204">
        <v>529240.5</v>
      </c>
      <c r="E46" s="204">
        <v>538940</v>
      </c>
      <c r="F46" s="132">
        <f>(+D46-E46)/E46</f>
        <v>-1.7997365198352322E-2</v>
      </c>
      <c r="G46" s="215">
        <f>D46/C46</f>
        <v>0.21068088667095533</v>
      </c>
      <c r="H46" s="123"/>
    </row>
    <row r="47" spans="1:8" ht="15.75" x14ac:dyDescent="0.25">
      <c r="A47" s="130"/>
      <c r="B47" s="131">
        <f>DATE(2023,10,1)</f>
        <v>45200</v>
      </c>
      <c r="C47" s="204">
        <v>2477871</v>
      </c>
      <c r="D47" s="204">
        <v>555726</v>
      </c>
      <c r="E47" s="204">
        <v>664586</v>
      </c>
      <c r="F47" s="132">
        <f>(+D47-E47)/E47</f>
        <v>-0.16380122361891464</v>
      </c>
      <c r="G47" s="215">
        <f>D47/C47</f>
        <v>0.22427559788221421</v>
      </c>
      <c r="H47" s="123"/>
    </row>
    <row r="48" spans="1:8" ht="15.75" customHeight="1" thickBot="1" x14ac:dyDescent="0.3">
      <c r="A48" s="130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7">
        <f>SUM(C44:C48)</f>
        <v>11302402</v>
      </c>
      <c r="D49" s="261">
        <f>SUM(D44:D48)</f>
        <v>2664752.5</v>
      </c>
      <c r="E49" s="207">
        <f>SUM(E44:E48)</f>
        <v>2534601.5</v>
      </c>
      <c r="F49" s="268">
        <f>(+D49-E49)/E49</f>
        <v>5.1349689487676861E-2</v>
      </c>
      <c r="G49" s="267">
        <f>D49/C49</f>
        <v>0.23576868881499702</v>
      </c>
      <c r="H49" s="123"/>
    </row>
    <row r="50" spans="1:8" ht="15.75" customHeight="1" thickTop="1" x14ac:dyDescent="0.25">
      <c r="A50" s="130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30" t="s">
        <v>67</v>
      </c>
      <c r="B51" s="131">
        <f>DATE(2023,7,1)</f>
        <v>45108</v>
      </c>
      <c r="C51" s="204">
        <v>8239268</v>
      </c>
      <c r="D51" s="204">
        <v>826564</v>
      </c>
      <c r="E51" s="204">
        <v>951854</v>
      </c>
      <c r="F51" s="132">
        <f>(+D51-E51)/E51</f>
        <v>-0.13162732940135777</v>
      </c>
      <c r="G51" s="215">
        <f>D51/C51</f>
        <v>0.1003200769777121</v>
      </c>
      <c r="H51" s="123"/>
    </row>
    <row r="52" spans="1:8" ht="15.75" x14ac:dyDescent="0.25">
      <c r="A52" s="130"/>
      <c r="B52" s="131">
        <f>DATE(2023,8,1)</f>
        <v>45139</v>
      </c>
      <c r="C52" s="204">
        <v>7087572</v>
      </c>
      <c r="D52" s="204">
        <v>916100.5</v>
      </c>
      <c r="E52" s="204">
        <v>1029739</v>
      </c>
      <c r="F52" s="132">
        <f>(+D52-E52)/E52</f>
        <v>-0.11035660492610264</v>
      </c>
      <c r="G52" s="215">
        <f>D52/C52</f>
        <v>0.1292544894076561</v>
      </c>
      <c r="H52" s="123"/>
    </row>
    <row r="53" spans="1:8" ht="15.75" x14ac:dyDescent="0.25">
      <c r="A53" s="130"/>
      <c r="B53" s="131">
        <f>DATE(2023,9,1)</f>
        <v>45170</v>
      </c>
      <c r="C53" s="204">
        <v>7246519</v>
      </c>
      <c r="D53" s="204">
        <v>1270544.5</v>
      </c>
      <c r="E53" s="204">
        <v>389281</v>
      </c>
      <c r="F53" s="132">
        <f>(+D53-E53)/E53</f>
        <v>2.2638235619000158</v>
      </c>
      <c r="G53" s="215">
        <f>D53/C53</f>
        <v>0.17533170064137002</v>
      </c>
      <c r="H53" s="123"/>
    </row>
    <row r="54" spans="1:8" ht="15.75" x14ac:dyDescent="0.25">
      <c r="A54" s="130"/>
      <c r="B54" s="131">
        <f>DATE(2023,10,1)</f>
        <v>45200</v>
      </c>
      <c r="C54" s="204">
        <v>7936605</v>
      </c>
      <c r="D54" s="204">
        <v>1093341.5</v>
      </c>
      <c r="E54" s="204">
        <v>1134882.5</v>
      </c>
      <c r="F54" s="132">
        <f>(+D54-E54)/E54</f>
        <v>-3.6603789379076691E-2</v>
      </c>
      <c r="G54" s="215">
        <f>D54/C54</f>
        <v>0.13775934420322039</v>
      </c>
      <c r="H54" s="123"/>
    </row>
    <row r="55" spans="1:8" ht="15.75" customHeight="1" thickBot="1" x14ac:dyDescent="0.3">
      <c r="A55" s="130"/>
      <c r="B55" s="131"/>
      <c r="C55" s="204"/>
      <c r="D55" s="204"/>
      <c r="E55" s="204"/>
      <c r="F55" s="132"/>
      <c r="G55" s="215"/>
      <c r="H55" s="123"/>
    </row>
    <row r="56" spans="1:8" ht="17.25" thickTop="1" thickBot="1" x14ac:dyDescent="0.3">
      <c r="A56" s="141" t="s">
        <v>14</v>
      </c>
      <c r="B56" s="142"/>
      <c r="C56" s="207">
        <f>SUM(C51:C55)</f>
        <v>30509964</v>
      </c>
      <c r="D56" s="261">
        <f>SUM(D51:D55)</f>
        <v>4106550.5</v>
      </c>
      <c r="E56" s="207">
        <f>SUM(E51:E55)</f>
        <v>3505756.5</v>
      </c>
      <c r="F56" s="269">
        <f>(+D56-E56)/E56</f>
        <v>0.17137356801591896</v>
      </c>
      <c r="G56" s="267">
        <f>D56/C56</f>
        <v>0.13459702869528131</v>
      </c>
      <c r="H56" s="123"/>
    </row>
    <row r="57" spans="1:8" ht="15.75" customHeight="1" thickTop="1" x14ac:dyDescent="0.25">
      <c r="A57" s="130"/>
      <c r="B57" s="139"/>
      <c r="C57" s="205"/>
      <c r="D57" s="205"/>
      <c r="E57" s="205"/>
      <c r="F57" s="140"/>
      <c r="G57" s="216"/>
      <c r="H57" s="123"/>
    </row>
    <row r="58" spans="1:8" ht="15.75" x14ac:dyDescent="0.25">
      <c r="A58" s="130" t="s">
        <v>69</v>
      </c>
      <c r="B58" s="131">
        <f>DATE(2023,7,1)</f>
        <v>45108</v>
      </c>
      <c r="C58" s="204">
        <v>6583612</v>
      </c>
      <c r="D58" s="204">
        <v>1705016.95</v>
      </c>
      <c r="E58" s="204">
        <v>1405783</v>
      </c>
      <c r="F58" s="132">
        <f>(+D58-E58)/E58</f>
        <v>0.21285927486674683</v>
      </c>
      <c r="G58" s="215">
        <f>D58/C58</f>
        <v>0.25897895410604393</v>
      </c>
      <c r="H58" s="123"/>
    </row>
    <row r="59" spans="1:8" ht="15.75" x14ac:dyDescent="0.25">
      <c r="A59" s="130"/>
      <c r="B59" s="131">
        <f>DATE(2023,8,1)</f>
        <v>45139</v>
      </c>
      <c r="C59" s="204">
        <v>6682064</v>
      </c>
      <c r="D59" s="204">
        <v>1401382.35</v>
      </c>
      <c r="E59" s="204">
        <v>1387184.42</v>
      </c>
      <c r="F59" s="132">
        <f>(+D59-E59)/E59</f>
        <v>1.0235070258358415E-2</v>
      </c>
      <c r="G59" s="215">
        <f>D59/C59</f>
        <v>0.20972297631390541</v>
      </c>
      <c r="H59" s="123"/>
    </row>
    <row r="60" spans="1:8" ht="15.75" x14ac:dyDescent="0.25">
      <c r="A60" s="130"/>
      <c r="B60" s="131">
        <f>DATE(2023,9,1)</f>
        <v>45170</v>
      </c>
      <c r="C60" s="204">
        <v>6212275</v>
      </c>
      <c r="D60" s="204">
        <v>1626153.96</v>
      </c>
      <c r="E60" s="204">
        <v>1318470</v>
      </c>
      <c r="F60" s="132">
        <f>(+D60-E60)/E60</f>
        <v>0.2333643996450431</v>
      </c>
      <c r="G60" s="215">
        <f>D60/C60</f>
        <v>0.26176464499720309</v>
      </c>
      <c r="H60" s="123"/>
    </row>
    <row r="61" spans="1:8" ht="15.75" x14ac:dyDescent="0.25">
      <c r="A61" s="130"/>
      <c r="B61" s="131">
        <f>DATE(2023,10,1)</f>
        <v>45200</v>
      </c>
      <c r="C61" s="204">
        <v>5515298</v>
      </c>
      <c r="D61" s="204">
        <v>1039539</v>
      </c>
      <c r="E61" s="204">
        <v>1379988.01</v>
      </c>
      <c r="F61" s="132">
        <f>(+D61-E61)/E61</f>
        <v>-0.24670432462670455</v>
      </c>
      <c r="G61" s="215">
        <f>D61/C61</f>
        <v>0.18848283447240746</v>
      </c>
      <c r="H61" s="123"/>
    </row>
    <row r="62" spans="1:8" ht="15.75" customHeight="1" thickBot="1" x14ac:dyDescent="0.3">
      <c r="A62" s="130"/>
      <c r="B62" s="131"/>
      <c r="C62" s="204"/>
      <c r="D62" s="204"/>
      <c r="E62" s="204"/>
      <c r="F62" s="132"/>
      <c r="G62" s="215"/>
      <c r="H62" s="123"/>
    </row>
    <row r="63" spans="1:8" ht="17.25" thickTop="1" thickBot="1" x14ac:dyDescent="0.3">
      <c r="A63" s="141" t="s">
        <v>14</v>
      </c>
      <c r="B63" s="142"/>
      <c r="C63" s="206">
        <f>SUM(C58:C62)</f>
        <v>24993249</v>
      </c>
      <c r="D63" s="206">
        <f>SUM(D58:D62)</f>
        <v>5772092.2599999998</v>
      </c>
      <c r="E63" s="206">
        <f>SUM(E58:E62)</f>
        <v>5491425.4299999997</v>
      </c>
      <c r="F63" s="143">
        <f>(+D63-E63)/E63</f>
        <v>5.1110013889417431E-2</v>
      </c>
      <c r="G63" s="217">
        <f>D63/C63</f>
        <v>0.23094605507271182</v>
      </c>
      <c r="H63" s="123"/>
    </row>
    <row r="64" spans="1:8" ht="15.75" customHeight="1" thickTop="1" x14ac:dyDescent="0.25">
      <c r="A64" s="138"/>
      <c r="B64" s="139"/>
      <c r="C64" s="205"/>
      <c r="D64" s="205"/>
      <c r="E64" s="205"/>
      <c r="F64" s="140"/>
      <c r="G64" s="216"/>
      <c r="H64" s="123"/>
    </row>
    <row r="65" spans="1:8" ht="15.75" x14ac:dyDescent="0.25">
      <c r="A65" s="130" t="s">
        <v>16</v>
      </c>
      <c r="B65" s="131">
        <f>DATE(2023,7,1)</f>
        <v>45108</v>
      </c>
      <c r="C65" s="204">
        <v>10870339</v>
      </c>
      <c r="D65" s="204">
        <v>2105009.5</v>
      </c>
      <c r="E65" s="204">
        <v>2289729.5</v>
      </c>
      <c r="F65" s="132">
        <f>(+D65-E65)/E65</f>
        <v>-8.0673284770100578E-2</v>
      </c>
      <c r="G65" s="215">
        <f>D65/C65</f>
        <v>0.1936470886510531</v>
      </c>
      <c r="H65" s="123"/>
    </row>
    <row r="66" spans="1:8" ht="15.75" x14ac:dyDescent="0.25">
      <c r="A66" s="130"/>
      <c r="B66" s="131">
        <f>DATE(2023,8,1)</f>
        <v>45139</v>
      </c>
      <c r="C66" s="204">
        <v>10577694.15</v>
      </c>
      <c r="D66" s="204">
        <v>1767561.15</v>
      </c>
      <c r="E66" s="204">
        <v>2099615</v>
      </c>
      <c r="F66" s="132">
        <f>(+D66-E66)/E66</f>
        <v>-0.15814987509614861</v>
      </c>
      <c r="G66" s="215">
        <f>D66/C66</f>
        <v>0.16710269033445252</v>
      </c>
      <c r="H66" s="123"/>
    </row>
    <row r="67" spans="1:8" ht="15.75" x14ac:dyDescent="0.25">
      <c r="A67" s="130"/>
      <c r="B67" s="131">
        <f>DATE(2023,9,1)</f>
        <v>45170</v>
      </c>
      <c r="C67" s="204">
        <v>11010233</v>
      </c>
      <c r="D67" s="204">
        <v>2123175</v>
      </c>
      <c r="E67" s="204">
        <v>1892853.5</v>
      </c>
      <c r="F67" s="132">
        <f>(+D67-E67)/E67</f>
        <v>0.12167951719454252</v>
      </c>
      <c r="G67" s="215">
        <f>D67/C67</f>
        <v>0.19283651853689199</v>
      </c>
      <c r="H67" s="123"/>
    </row>
    <row r="68" spans="1:8" ht="15.75" x14ac:dyDescent="0.25">
      <c r="A68" s="130"/>
      <c r="B68" s="131">
        <f>DATE(2023,10,1)</f>
        <v>45200</v>
      </c>
      <c r="C68" s="204">
        <v>10359340</v>
      </c>
      <c r="D68" s="204">
        <v>1980886.5</v>
      </c>
      <c r="E68" s="204">
        <v>1720920</v>
      </c>
      <c r="F68" s="132">
        <f>(+D68-E68)/E68</f>
        <v>0.15106251307440208</v>
      </c>
      <c r="G68" s="215">
        <f>D68/C68</f>
        <v>0.19121744242393821</v>
      </c>
      <c r="H68" s="123"/>
    </row>
    <row r="69" spans="1:8" ht="15.75" customHeight="1" thickBot="1" x14ac:dyDescent="0.3">
      <c r="A69" s="130"/>
      <c r="B69" s="131"/>
      <c r="C69" s="204"/>
      <c r="D69" s="204"/>
      <c r="E69" s="204"/>
      <c r="F69" s="132"/>
      <c r="G69" s="215"/>
      <c r="H69" s="123"/>
    </row>
    <row r="70" spans="1:8" ht="17.25" thickTop="1" thickBot="1" x14ac:dyDescent="0.3">
      <c r="A70" s="141" t="s">
        <v>14</v>
      </c>
      <c r="B70" s="142"/>
      <c r="C70" s="206">
        <f>SUM(C65:C69)</f>
        <v>42817606.149999999</v>
      </c>
      <c r="D70" s="206">
        <f>SUM(D65:D69)</f>
        <v>7976632.1500000004</v>
      </c>
      <c r="E70" s="206">
        <f>SUM(E65:E69)</f>
        <v>8003118</v>
      </c>
      <c r="F70" s="143">
        <f>(+D70-E70)/E70</f>
        <v>-3.3094413952161677E-3</v>
      </c>
      <c r="G70" s="217">
        <f>D70/C70</f>
        <v>0.18629327669688048</v>
      </c>
      <c r="H70" s="123"/>
    </row>
    <row r="71" spans="1:8" ht="15.75" customHeight="1" thickTop="1" x14ac:dyDescent="0.25">
      <c r="A71" s="138"/>
      <c r="B71" s="139"/>
      <c r="C71" s="205"/>
      <c r="D71" s="205"/>
      <c r="E71" s="205"/>
      <c r="F71" s="140"/>
      <c r="G71" s="216"/>
      <c r="H71" s="123"/>
    </row>
    <row r="72" spans="1:8" ht="15.75" x14ac:dyDescent="0.25">
      <c r="A72" s="130" t="s">
        <v>53</v>
      </c>
      <c r="B72" s="131">
        <f>DATE(2023,7,1)</f>
        <v>45108</v>
      </c>
      <c r="C72" s="204">
        <v>14493632</v>
      </c>
      <c r="D72" s="204">
        <v>2697018.32</v>
      </c>
      <c r="E72" s="204">
        <v>2740415.54</v>
      </c>
      <c r="F72" s="132">
        <f>(+D72-E72)/E72</f>
        <v>-1.5835999820669609E-2</v>
      </c>
      <c r="G72" s="215">
        <f>D72/C72</f>
        <v>0.18608298596238679</v>
      </c>
      <c r="H72" s="123"/>
    </row>
    <row r="73" spans="1:8" ht="15.75" x14ac:dyDescent="0.25">
      <c r="A73" s="130"/>
      <c r="B73" s="131">
        <f>DATE(2023,8,1)</f>
        <v>45139</v>
      </c>
      <c r="C73" s="204">
        <v>13342517</v>
      </c>
      <c r="D73" s="204">
        <v>2176274.1</v>
      </c>
      <c r="E73" s="204">
        <v>2942976.84</v>
      </c>
      <c r="F73" s="132">
        <f>(+D73-E73)/E73</f>
        <v>-0.26051946096864281</v>
      </c>
      <c r="G73" s="215">
        <f>D73/C73</f>
        <v>0.1631082126408383</v>
      </c>
      <c r="H73" s="123"/>
    </row>
    <row r="74" spans="1:8" ht="15.75" x14ac:dyDescent="0.25">
      <c r="A74" s="130"/>
      <c r="B74" s="131">
        <f>DATE(2023,9,1)</f>
        <v>45170</v>
      </c>
      <c r="C74" s="204">
        <v>12919096</v>
      </c>
      <c r="D74" s="204">
        <v>3641267.7</v>
      </c>
      <c r="E74" s="204">
        <v>2470080.11</v>
      </c>
      <c r="F74" s="132">
        <f>(+D74-E74)/E74</f>
        <v>0.47414963800506066</v>
      </c>
      <c r="G74" s="215">
        <f>D74/C74</f>
        <v>0.28185158621005679</v>
      </c>
      <c r="H74" s="123"/>
    </row>
    <row r="75" spans="1:8" ht="15.75" x14ac:dyDescent="0.25">
      <c r="A75" s="130"/>
      <c r="B75" s="131">
        <f>DATE(2023,10,1)</f>
        <v>45200</v>
      </c>
      <c r="C75" s="204">
        <v>12747730</v>
      </c>
      <c r="D75" s="204">
        <v>2255484.27</v>
      </c>
      <c r="E75" s="204">
        <v>3215532.42</v>
      </c>
      <c r="F75" s="132">
        <f>(+D75-E75)/E75</f>
        <v>-0.29856584372425637</v>
      </c>
      <c r="G75" s="215">
        <f>D75/C75</f>
        <v>0.1769322279339145</v>
      </c>
      <c r="H75" s="123"/>
    </row>
    <row r="76" spans="1:8" ht="15.75" thickBot="1" x14ac:dyDescent="0.25">
      <c r="A76" s="133"/>
      <c r="B76" s="131"/>
      <c r="C76" s="204"/>
      <c r="D76" s="204"/>
      <c r="E76" s="204"/>
      <c r="F76" s="132"/>
      <c r="G76" s="215"/>
      <c r="H76" s="123"/>
    </row>
    <row r="77" spans="1:8" ht="17.25" thickTop="1" thickBot="1" x14ac:dyDescent="0.3">
      <c r="A77" s="141" t="s">
        <v>14</v>
      </c>
      <c r="B77" s="142"/>
      <c r="C77" s="207">
        <f>SUM(C72:C76)</f>
        <v>53502975</v>
      </c>
      <c r="D77" s="207">
        <f>SUM(D72:D76)</f>
        <v>10770044.390000001</v>
      </c>
      <c r="E77" s="207">
        <f>SUM(E72:E76)</f>
        <v>11369004.91</v>
      </c>
      <c r="F77" s="143">
        <f>(+D77-E77)/E77</f>
        <v>-5.2683636320111284E-2</v>
      </c>
      <c r="G77" s="267">
        <f>D77/C77</f>
        <v>0.20129804725811978</v>
      </c>
      <c r="H77" s="123"/>
    </row>
    <row r="78" spans="1:8" ht="15.75" customHeight="1" thickTop="1" x14ac:dyDescent="0.25">
      <c r="A78" s="138"/>
      <c r="B78" s="139"/>
      <c r="C78" s="205"/>
      <c r="D78" s="205"/>
      <c r="E78" s="205"/>
      <c r="F78" s="140"/>
      <c r="G78" s="219"/>
      <c r="H78" s="123"/>
    </row>
    <row r="79" spans="1:8" ht="15.75" x14ac:dyDescent="0.25">
      <c r="A79" s="130" t="s">
        <v>54</v>
      </c>
      <c r="B79" s="131">
        <f>DATE(2023,7,1)</f>
        <v>45108</v>
      </c>
      <c r="C79" s="204">
        <v>199161</v>
      </c>
      <c r="D79" s="204">
        <v>54168.5</v>
      </c>
      <c r="E79" s="204">
        <v>33672.5</v>
      </c>
      <c r="F79" s="132">
        <f>(+D79-E79)/E79</f>
        <v>0.60868661370554611</v>
      </c>
      <c r="G79" s="215">
        <f>D79/C79</f>
        <v>0.27198347065941625</v>
      </c>
      <c r="H79" s="123"/>
    </row>
    <row r="80" spans="1:8" ht="15.75" x14ac:dyDescent="0.25">
      <c r="A80" s="130"/>
      <c r="B80" s="131">
        <f>DATE(2023,8,1)</f>
        <v>45139</v>
      </c>
      <c r="C80" s="204">
        <v>175878</v>
      </c>
      <c r="D80" s="204">
        <v>48279.5</v>
      </c>
      <c r="E80" s="204">
        <v>43554</v>
      </c>
      <c r="F80" s="132">
        <f>(+D80-E80)/E80</f>
        <v>0.10849749735959957</v>
      </c>
      <c r="G80" s="215">
        <f>D80/C80</f>
        <v>0.27450562321609295</v>
      </c>
      <c r="H80" s="123"/>
    </row>
    <row r="81" spans="1:8" ht="15.75" x14ac:dyDescent="0.25">
      <c r="A81" s="130"/>
      <c r="B81" s="131">
        <f>DATE(2023,9,1)</f>
        <v>45170</v>
      </c>
      <c r="C81" s="204">
        <v>172935</v>
      </c>
      <c r="D81" s="204">
        <v>44777.5</v>
      </c>
      <c r="E81" s="204">
        <v>21940.5</v>
      </c>
      <c r="F81" s="132">
        <f>(+D81-E81)/E81</f>
        <v>1.0408605091041681</v>
      </c>
      <c r="G81" s="215">
        <f>D81/C81</f>
        <v>0.25892676439124529</v>
      </c>
      <c r="H81" s="123"/>
    </row>
    <row r="82" spans="1:8" ht="15.75" x14ac:dyDescent="0.25">
      <c r="A82" s="130"/>
      <c r="B82" s="131">
        <f>DATE(2023,10,1)</f>
        <v>45200</v>
      </c>
      <c r="C82" s="204">
        <v>199343</v>
      </c>
      <c r="D82" s="204">
        <v>43819.5</v>
      </c>
      <c r="E82" s="204">
        <v>23452.5</v>
      </c>
      <c r="F82" s="132">
        <f>(+D82-E82)/E82</f>
        <v>0.86843620083146789</v>
      </c>
      <c r="G82" s="215">
        <f>D82/C82</f>
        <v>0.21981960741034298</v>
      </c>
      <c r="H82" s="123"/>
    </row>
    <row r="83" spans="1:8" ht="15.75" thickBot="1" x14ac:dyDescent="0.25">
      <c r="A83" s="133"/>
      <c r="B83" s="134"/>
      <c r="C83" s="204"/>
      <c r="D83" s="204"/>
      <c r="E83" s="204"/>
      <c r="F83" s="132"/>
      <c r="G83" s="215"/>
      <c r="H83" s="123"/>
    </row>
    <row r="84" spans="1:8" ht="17.25" thickTop="1" thickBot="1" x14ac:dyDescent="0.3">
      <c r="A84" s="144" t="s">
        <v>14</v>
      </c>
      <c r="B84" s="145"/>
      <c r="C84" s="207">
        <f>SUM(C79:C83)</f>
        <v>747317</v>
      </c>
      <c r="D84" s="207">
        <f>SUM(D79:D83)</f>
        <v>191045</v>
      </c>
      <c r="E84" s="207">
        <f>SUM(E79:E83)</f>
        <v>122619.5</v>
      </c>
      <c r="F84" s="143">
        <f>(+D84-E84)/E84</f>
        <v>0.55803114512781404</v>
      </c>
      <c r="G84" s="217">
        <f>D84/C84</f>
        <v>0.25564118038262212</v>
      </c>
      <c r="H84" s="123"/>
    </row>
    <row r="85" spans="1:8" ht="15.75" customHeight="1" thickTop="1" x14ac:dyDescent="0.25">
      <c r="A85" s="130"/>
      <c r="B85" s="134"/>
      <c r="C85" s="204"/>
      <c r="D85" s="204"/>
      <c r="E85" s="204"/>
      <c r="F85" s="132"/>
      <c r="G85" s="218"/>
      <c r="H85" s="123"/>
    </row>
    <row r="86" spans="1:8" ht="15.75" x14ac:dyDescent="0.25">
      <c r="A86" s="130" t="s">
        <v>37</v>
      </c>
      <c r="B86" s="131">
        <f>DATE(2023,7,1)</f>
        <v>45108</v>
      </c>
      <c r="C86" s="204">
        <v>20709684</v>
      </c>
      <c r="D86" s="204">
        <v>4690410.88</v>
      </c>
      <c r="E86" s="204">
        <v>4747644.93</v>
      </c>
      <c r="F86" s="132">
        <f>(+D86-E86)/E86</f>
        <v>-1.2055250728280519E-2</v>
      </c>
      <c r="G86" s="215">
        <f>D86/C86</f>
        <v>0.22648394248796844</v>
      </c>
      <c r="H86" s="123"/>
    </row>
    <row r="87" spans="1:8" ht="15.75" x14ac:dyDescent="0.25">
      <c r="A87" s="130"/>
      <c r="B87" s="131">
        <f>DATE(2023,8,1)</f>
        <v>45139</v>
      </c>
      <c r="C87" s="204">
        <v>20362139</v>
      </c>
      <c r="D87" s="204">
        <v>3109199.97</v>
      </c>
      <c r="E87" s="204">
        <v>5944421.2300000004</v>
      </c>
      <c r="F87" s="132">
        <f>(+D87-E87)/E87</f>
        <v>-0.47695497177948137</v>
      </c>
      <c r="G87" s="215">
        <f>D87/C87</f>
        <v>0.15269515496382774</v>
      </c>
      <c r="H87" s="123"/>
    </row>
    <row r="88" spans="1:8" ht="15.75" x14ac:dyDescent="0.25">
      <c r="A88" s="130"/>
      <c r="B88" s="131">
        <f>DATE(2023,9,1)</f>
        <v>45170</v>
      </c>
      <c r="C88" s="204">
        <v>21392075</v>
      </c>
      <c r="D88" s="204">
        <v>4835353.0999999996</v>
      </c>
      <c r="E88" s="204">
        <v>4482002.3499999996</v>
      </c>
      <c r="F88" s="132">
        <f>(+D88-E88)/E88</f>
        <v>7.8837698512139343E-2</v>
      </c>
      <c r="G88" s="215">
        <f>D88/C88</f>
        <v>0.22603478624677595</v>
      </c>
      <c r="H88" s="123"/>
    </row>
    <row r="89" spans="1:8" ht="15.75" x14ac:dyDescent="0.25">
      <c r="A89" s="130"/>
      <c r="B89" s="131">
        <f>DATE(2023,10,1)</f>
        <v>45200</v>
      </c>
      <c r="C89" s="204">
        <v>19934793</v>
      </c>
      <c r="D89" s="204">
        <v>4925406.22</v>
      </c>
      <c r="E89" s="204">
        <v>4856222.42</v>
      </c>
      <c r="F89" s="132">
        <f>(+D89-E89)/E89</f>
        <v>1.4246423251758681E-2</v>
      </c>
      <c r="G89" s="215">
        <f>D89/C89</f>
        <v>0.24707586479578694</v>
      </c>
      <c r="H89" s="123"/>
    </row>
    <row r="90" spans="1:8" ht="15.75" thickBot="1" x14ac:dyDescent="0.25">
      <c r="A90" s="133"/>
      <c r="B90" s="134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6">
        <f>SUM(C86:C90)</f>
        <v>82398691</v>
      </c>
      <c r="D91" s="207">
        <f>SUM(D86:D90)</f>
        <v>17560370.169999998</v>
      </c>
      <c r="E91" s="206">
        <f>SUM(E86:E90)</f>
        <v>20030290.93</v>
      </c>
      <c r="F91" s="143">
        <f>(+D91-E91)/E91</f>
        <v>-0.1233092803610118</v>
      </c>
      <c r="G91" s="217">
        <f>D91/C91</f>
        <v>0.21311467399403225</v>
      </c>
      <c r="H91" s="123"/>
    </row>
    <row r="92" spans="1:8" ht="15.75" customHeight="1" thickTop="1" x14ac:dyDescent="0.25">
      <c r="A92" s="130"/>
      <c r="B92" s="134"/>
      <c r="C92" s="204"/>
      <c r="D92" s="204"/>
      <c r="E92" s="204"/>
      <c r="F92" s="132"/>
      <c r="G92" s="218"/>
      <c r="H92" s="123"/>
    </row>
    <row r="93" spans="1:8" ht="15.75" x14ac:dyDescent="0.25">
      <c r="A93" s="130" t="s">
        <v>57</v>
      </c>
      <c r="B93" s="131">
        <f>DATE(2023,7,1)</f>
        <v>45108</v>
      </c>
      <c r="C93" s="204">
        <v>667022</v>
      </c>
      <c r="D93" s="204">
        <v>167507.5</v>
      </c>
      <c r="E93" s="204">
        <v>196833</v>
      </c>
      <c r="F93" s="132">
        <f>(+D93-E93)/E93</f>
        <v>-0.14898670446520654</v>
      </c>
      <c r="G93" s="215">
        <f>D93/C93</f>
        <v>0.25112739909628168</v>
      </c>
      <c r="H93" s="123"/>
    </row>
    <row r="94" spans="1:8" ht="15.75" x14ac:dyDescent="0.25">
      <c r="A94" s="130"/>
      <c r="B94" s="131">
        <f>DATE(2023,8,1)</f>
        <v>45139</v>
      </c>
      <c r="C94" s="204">
        <v>610032</v>
      </c>
      <c r="D94" s="204">
        <v>211410</v>
      </c>
      <c r="E94" s="204">
        <v>151280.5</v>
      </c>
      <c r="F94" s="132">
        <f>(+D94-E94)/E94</f>
        <v>0.39747026219506149</v>
      </c>
      <c r="G94" s="215">
        <f>D94/C94</f>
        <v>0.34655559052639862</v>
      </c>
      <c r="H94" s="123"/>
    </row>
    <row r="95" spans="1:8" ht="15.75" x14ac:dyDescent="0.25">
      <c r="A95" s="130"/>
      <c r="B95" s="131">
        <f>DATE(2023,9,1)</f>
        <v>45170</v>
      </c>
      <c r="C95" s="204">
        <v>532466</v>
      </c>
      <c r="D95" s="204">
        <v>169350</v>
      </c>
      <c r="E95" s="204">
        <v>193974</v>
      </c>
      <c r="F95" s="132">
        <f>(+D95-E95)/E95</f>
        <v>-0.12694484827863528</v>
      </c>
      <c r="G95" s="215">
        <f>D95/C95</f>
        <v>0.31804847633463923</v>
      </c>
      <c r="H95" s="123"/>
    </row>
    <row r="96" spans="1:8" ht="15.75" x14ac:dyDescent="0.25">
      <c r="A96" s="130"/>
      <c r="B96" s="131">
        <f>DATE(2023,10,1)</f>
        <v>45200</v>
      </c>
      <c r="C96" s="204">
        <v>417867</v>
      </c>
      <c r="D96" s="204">
        <v>88179.5</v>
      </c>
      <c r="E96" s="204">
        <v>196489.5</v>
      </c>
      <c r="F96" s="132">
        <f>(+D96-E96)/E96</f>
        <v>-0.55122538354466777</v>
      </c>
      <c r="G96" s="215">
        <f>D96/C96</f>
        <v>0.21102288527210811</v>
      </c>
      <c r="H96" s="123"/>
    </row>
    <row r="97" spans="1:8" ht="15.75" thickBot="1" x14ac:dyDescent="0.25">
      <c r="A97" s="133"/>
      <c r="B97" s="134"/>
      <c r="C97" s="204"/>
      <c r="D97" s="204"/>
      <c r="E97" s="204"/>
      <c r="F97" s="132"/>
      <c r="G97" s="215"/>
      <c r="H97" s="123"/>
    </row>
    <row r="98" spans="1:8" ht="17.25" thickTop="1" thickBot="1" x14ac:dyDescent="0.3">
      <c r="A98" s="135" t="s">
        <v>14</v>
      </c>
      <c r="B98" s="136"/>
      <c r="C98" s="201">
        <f>SUM(C93:C97)</f>
        <v>2227387</v>
      </c>
      <c r="D98" s="207">
        <f>SUM(D93:D97)</f>
        <v>636447</v>
      </c>
      <c r="E98" s="207">
        <f>SUM(E93:E97)</f>
        <v>738577</v>
      </c>
      <c r="F98" s="143">
        <f>(+D98-E98)/E98</f>
        <v>-0.13827942110301294</v>
      </c>
      <c r="G98" s="217">
        <f>D98/C98</f>
        <v>0.285737054225422</v>
      </c>
      <c r="H98" s="123"/>
    </row>
    <row r="99" spans="1:8" ht="16.5" thickTop="1" thickBot="1" x14ac:dyDescent="0.25">
      <c r="A99" s="146"/>
      <c r="B99" s="139"/>
      <c r="C99" s="205"/>
      <c r="D99" s="205"/>
      <c r="E99" s="205"/>
      <c r="F99" s="140"/>
      <c r="G99" s="216"/>
      <c r="H99" s="123"/>
    </row>
    <row r="100" spans="1:8" ht="17.25" thickTop="1" thickBot="1" x14ac:dyDescent="0.3">
      <c r="A100" s="147" t="s">
        <v>38</v>
      </c>
      <c r="B100" s="121"/>
      <c r="C100" s="201">
        <f>C98+C91+C70+C56+C42+C28+C14+C35+C84+C21+C63+C77+C49</f>
        <v>442068832.14999998</v>
      </c>
      <c r="D100" s="201">
        <f>D98+D91+D70+D56+D42+D28+D14+D35+D84+D21+D63+D77+D49</f>
        <v>87631600.5</v>
      </c>
      <c r="E100" s="201">
        <f>E98+E91+E70+E56+E42+E28+E14+E35+E84+E21+E63+E77+E49</f>
        <v>91158978.359999985</v>
      </c>
      <c r="F100" s="137">
        <f>(+D100-E100)/E100</f>
        <v>-3.8694793683073755E-2</v>
      </c>
      <c r="G100" s="212">
        <f>D100/C100</f>
        <v>0.19823066935934855</v>
      </c>
      <c r="H100" s="123"/>
    </row>
    <row r="101" spans="1:8" ht="17.25" thickTop="1" thickBot="1" x14ac:dyDescent="0.3">
      <c r="A101" s="147"/>
      <c r="B101" s="121"/>
      <c r="C101" s="201"/>
      <c r="D101" s="201"/>
      <c r="E101" s="201"/>
      <c r="F101" s="137"/>
      <c r="G101" s="212"/>
      <c r="H101" s="123"/>
    </row>
    <row r="102" spans="1:8" ht="17.25" thickTop="1" thickBot="1" x14ac:dyDescent="0.3">
      <c r="A102" s="265" t="s">
        <v>39</v>
      </c>
      <c r="B102" s="266"/>
      <c r="C102" s="206">
        <f>+C12+C19+C26+C33+C40+C47+C54+C61+C68+C75+C82+C89+C96</f>
        <v>107004582</v>
      </c>
      <c r="D102" s="206">
        <f>+D12+D19+D26+D33+D40+D47+D54+D61+D68+D75+D82+D89+D96</f>
        <v>21026084.989999998</v>
      </c>
      <c r="E102" s="206">
        <f>+E12+E19+E26+E33+E40+E47+E54+E61+E68+E75+E82+E89+E96</f>
        <v>21027549.890000001</v>
      </c>
      <c r="F102" s="268">
        <f>(+D102-E102)/E102</f>
        <v>-6.9665748395103923E-5</v>
      </c>
      <c r="G102" s="217">
        <f>D102/C102</f>
        <v>0.19649705271499493</v>
      </c>
      <c r="H102" s="123"/>
    </row>
    <row r="103" spans="1:8" ht="16.5" thickTop="1" x14ac:dyDescent="0.25">
      <c r="A103" s="256"/>
      <c r="B103" s="258"/>
      <c r="C103" s="259"/>
      <c r="D103" s="259"/>
      <c r="E103" s="259"/>
      <c r="F103" s="260"/>
      <c r="G103" s="257"/>
      <c r="H103" s="257"/>
    </row>
    <row r="104" spans="1:8" ht="18.75" x14ac:dyDescent="0.3">
      <c r="A104" s="263" t="s">
        <v>40</v>
      </c>
      <c r="B104" s="117"/>
      <c r="C104" s="208"/>
      <c r="D104" s="208"/>
      <c r="E104" s="208"/>
      <c r="F104" s="148"/>
      <c r="G104" s="220"/>
    </row>
    <row r="105" spans="1:8" ht="15.75" x14ac:dyDescent="0.25">
      <c r="A105" s="72"/>
    </row>
  </sheetData>
  <phoneticPr fontId="0" type="noConversion"/>
  <printOptions horizontalCentered="1"/>
  <pageMargins left="0.45" right="0.25" top="0.31944444444444398" bottom="0.2" header="0.5" footer="0.5"/>
  <pageSetup scale="57" orientation="landscape" r:id="rId1"/>
  <headerFooter alignWithMargins="0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>
      <selection activeCell="A10" sqref="A10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79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x14ac:dyDescent="0.25">
      <c r="A13" s="164"/>
      <c r="B13" s="165">
        <f>DATE(23,10,1)</f>
        <v>8675</v>
      </c>
      <c r="C13" s="226">
        <v>0</v>
      </c>
      <c r="D13" s="226">
        <v>0</v>
      </c>
      <c r="E13" s="226">
        <v>97377.75</v>
      </c>
      <c r="F13" s="166">
        <v>-1</v>
      </c>
      <c r="G13" s="241">
        <v>0</v>
      </c>
      <c r="H13" s="289">
        <v>0</v>
      </c>
    </row>
    <row r="14" spans="1:8" ht="15.75" thickBot="1" x14ac:dyDescent="0.25">
      <c r="A14" s="167"/>
      <c r="B14" s="168"/>
      <c r="C14" s="226"/>
      <c r="D14" s="226"/>
      <c r="E14" s="226"/>
      <c r="F14" s="166"/>
      <c r="G14" s="241"/>
      <c r="H14" s="242"/>
    </row>
    <row r="15" spans="1:8" ht="17.25" thickTop="1" thickBot="1" x14ac:dyDescent="0.3">
      <c r="A15" s="169" t="s">
        <v>14</v>
      </c>
      <c r="B15" s="155"/>
      <c r="C15" s="223">
        <f>SUM(C10:C14)</f>
        <v>0</v>
      </c>
      <c r="D15" s="223">
        <f>SUM(D10:D14)</f>
        <v>0</v>
      </c>
      <c r="E15" s="223">
        <f>SUM(E10:E14)</f>
        <v>413836.02</v>
      </c>
      <c r="F15" s="176">
        <f>+(D15-E15)/E15</f>
        <v>-1</v>
      </c>
      <c r="G15" s="245">
        <v>0</v>
      </c>
      <c r="H15" s="246">
        <v>0</v>
      </c>
    </row>
    <row r="16" spans="1:8" ht="15.75" thickTop="1" x14ac:dyDescent="0.2">
      <c r="A16" s="171"/>
      <c r="B16" s="172"/>
      <c r="C16" s="227"/>
      <c r="D16" s="227"/>
      <c r="E16" s="227"/>
      <c r="F16" s="173"/>
      <c r="G16" s="243"/>
      <c r="H16" s="244"/>
    </row>
    <row r="17" spans="1:8" ht="15.75" x14ac:dyDescent="0.25">
      <c r="A17" s="19" t="s">
        <v>48</v>
      </c>
      <c r="B17" s="165">
        <f>DATE(23,7,1)</f>
        <v>8583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9"/>
      <c r="B18" s="165">
        <f>DATE(23,8,1)</f>
        <v>8614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9"/>
      <c r="B19" s="165">
        <f>DATE(23,9,1)</f>
        <v>8645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DATE(23,10,1)</f>
        <v>8675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thickBot="1" x14ac:dyDescent="0.25">
      <c r="A21" s="167"/>
      <c r="B21" s="165"/>
      <c r="C21" s="226"/>
      <c r="D21" s="226"/>
      <c r="E21" s="226"/>
      <c r="F21" s="166"/>
      <c r="G21" s="241"/>
      <c r="H21" s="242"/>
    </row>
    <row r="22" spans="1:8" ht="17.25" thickTop="1" thickBot="1" x14ac:dyDescent="0.3">
      <c r="A22" s="169" t="s">
        <v>14</v>
      </c>
      <c r="B22" s="155"/>
      <c r="C22" s="223">
        <f>SUM(C17:C21)</f>
        <v>0</v>
      </c>
      <c r="D22" s="223">
        <f>SUM(D17:D21)</f>
        <v>0</v>
      </c>
      <c r="E22" s="223">
        <f>SUM(E17:E21)</f>
        <v>0</v>
      </c>
      <c r="F22" s="170">
        <v>0</v>
      </c>
      <c r="G22" s="236">
        <v>0</v>
      </c>
      <c r="H22" s="237">
        <v>0</v>
      </c>
    </row>
    <row r="23" spans="1:8" ht="15.75" thickTop="1" x14ac:dyDescent="0.2">
      <c r="A23" s="171"/>
      <c r="B23" s="172"/>
      <c r="C23" s="227"/>
      <c r="D23" s="227"/>
      <c r="E23" s="227"/>
      <c r="F23" s="173"/>
      <c r="G23" s="243"/>
      <c r="H23" s="244"/>
    </row>
    <row r="24" spans="1:8" ht="15.75" x14ac:dyDescent="0.25">
      <c r="A24" s="19" t="s">
        <v>62</v>
      </c>
      <c r="B24" s="165">
        <f>DATE(23,7,1)</f>
        <v>8583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DATE(23,8,1)</f>
        <v>8614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DATE(23,9,1)</f>
        <v>8645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DATE(23,10,1)</f>
        <v>8675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thickBot="1" x14ac:dyDescent="0.25">
      <c r="A28" s="167"/>
      <c r="B28" s="165"/>
      <c r="C28" s="226"/>
      <c r="D28" s="226"/>
      <c r="E28" s="226"/>
      <c r="F28" s="166"/>
      <c r="G28" s="241"/>
      <c r="H28" s="242"/>
    </row>
    <row r="29" spans="1:8" ht="17.25" thickTop="1" thickBot="1" x14ac:dyDescent="0.3">
      <c r="A29" s="174" t="s">
        <v>14</v>
      </c>
      <c r="B29" s="175"/>
      <c r="C29" s="228">
        <f>SUM(C24:C28)</f>
        <v>0</v>
      </c>
      <c r="D29" s="228">
        <f>SUM(D24:D28)</f>
        <v>0</v>
      </c>
      <c r="E29" s="228">
        <f>SUM(E24:E28)</f>
        <v>0</v>
      </c>
      <c r="F29" s="176">
        <v>0</v>
      </c>
      <c r="G29" s="245">
        <v>0</v>
      </c>
      <c r="H29" s="246">
        <v>0</v>
      </c>
    </row>
    <row r="30" spans="1:8" ht="15.75" thickTop="1" x14ac:dyDescent="0.2">
      <c r="A30" s="167"/>
      <c r="B30" s="168"/>
      <c r="C30" s="226"/>
      <c r="D30" s="226"/>
      <c r="E30" s="226"/>
      <c r="F30" s="166"/>
      <c r="G30" s="241"/>
      <c r="H30" s="242"/>
    </row>
    <row r="31" spans="1:8" ht="15.75" x14ac:dyDescent="0.25">
      <c r="A31" s="177" t="s">
        <v>58</v>
      </c>
      <c r="B31" s="165">
        <f>DATE(23,7,1)</f>
        <v>8583</v>
      </c>
      <c r="C31" s="226">
        <v>0</v>
      </c>
      <c r="D31" s="226">
        <v>0</v>
      </c>
      <c r="E31" s="226">
        <v>133555.04</v>
      </c>
      <c r="F31" s="166">
        <v>-1</v>
      </c>
      <c r="G31" s="241">
        <v>0</v>
      </c>
      <c r="H31" s="289">
        <v>0</v>
      </c>
    </row>
    <row r="32" spans="1:8" ht="15.75" x14ac:dyDescent="0.25">
      <c r="A32" s="177"/>
      <c r="B32" s="165">
        <f>DATE(23,8,1)</f>
        <v>8614</v>
      </c>
      <c r="C32" s="226">
        <v>0</v>
      </c>
      <c r="D32" s="226">
        <v>0</v>
      </c>
      <c r="E32" s="226">
        <v>183477.77</v>
      </c>
      <c r="F32" s="166">
        <v>-1</v>
      </c>
      <c r="G32" s="241">
        <v>0</v>
      </c>
      <c r="H32" s="289">
        <v>0</v>
      </c>
    </row>
    <row r="33" spans="1:8" ht="15.75" x14ac:dyDescent="0.25">
      <c r="A33" s="177"/>
      <c r="B33" s="165">
        <f>DATE(23,9,1)</f>
        <v>8645</v>
      </c>
      <c r="C33" s="226">
        <v>0</v>
      </c>
      <c r="D33" s="226">
        <v>0</v>
      </c>
      <c r="E33" s="226">
        <v>155342.66</v>
      </c>
      <c r="F33" s="166">
        <v>-1</v>
      </c>
      <c r="G33" s="241">
        <v>0</v>
      </c>
      <c r="H33" s="289">
        <v>0</v>
      </c>
    </row>
    <row r="34" spans="1:8" ht="15.75" x14ac:dyDescent="0.25">
      <c r="A34" s="177"/>
      <c r="B34" s="165">
        <f>DATE(23,10,1)</f>
        <v>8675</v>
      </c>
      <c r="C34" s="226">
        <v>0</v>
      </c>
      <c r="D34" s="226">
        <v>0</v>
      </c>
      <c r="E34" s="226">
        <v>95342.11</v>
      </c>
      <c r="F34" s="166">
        <v>-1</v>
      </c>
      <c r="G34" s="241">
        <v>0</v>
      </c>
      <c r="H34" s="289">
        <v>0</v>
      </c>
    </row>
    <row r="35" spans="1:8" ht="15.75" thickBot="1" x14ac:dyDescent="0.25">
      <c r="A35" s="167"/>
      <c r="B35" s="168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74" t="s">
        <v>14</v>
      </c>
      <c r="B36" s="178"/>
      <c r="C36" s="228">
        <f>SUM(C31:C35)</f>
        <v>0</v>
      </c>
      <c r="D36" s="228">
        <f>SUM(D31:D35)</f>
        <v>0</v>
      </c>
      <c r="E36" s="228">
        <f>SUM(E31:E35)</f>
        <v>567717.57999999996</v>
      </c>
      <c r="F36" s="176">
        <f>+(D36-E36)/E36</f>
        <v>-1</v>
      </c>
      <c r="G36" s="245">
        <v>0</v>
      </c>
      <c r="H36" s="246">
        <v>0</v>
      </c>
    </row>
    <row r="37" spans="1:8" ht="15.75" thickTop="1" x14ac:dyDescent="0.2">
      <c r="A37" s="167"/>
      <c r="B37" s="168"/>
      <c r="C37" s="226"/>
      <c r="D37" s="226"/>
      <c r="E37" s="226"/>
      <c r="F37" s="166"/>
      <c r="G37" s="241"/>
      <c r="H37" s="242"/>
    </row>
    <row r="38" spans="1:8" ht="15.75" x14ac:dyDescent="0.25">
      <c r="A38" s="164" t="s">
        <v>60</v>
      </c>
      <c r="B38" s="165">
        <f>DATE(23,7,1)</f>
        <v>8583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64"/>
      <c r="B39" s="165">
        <f>DATE(23,8,1)</f>
        <v>8614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64"/>
      <c r="B40" s="165">
        <f>DATE(23,9,1)</f>
        <v>8645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DATE(23,10,1)</f>
        <v>8675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thickBot="1" x14ac:dyDescent="0.25">
      <c r="A42" s="167"/>
      <c r="B42" s="165"/>
      <c r="C42" s="226"/>
      <c r="D42" s="226"/>
      <c r="E42" s="226"/>
      <c r="F42" s="166"/>
      <c r="G42" s="241"/>
      <c r="H42" s="242"/>
    </row>
    <row r="43" spans="1:8" ht="17.25" thickTop="1" thickBot="1" x14ac:dyDescent="0.3">
      <c r="A43" s="174" t="s">
        <v>14</v>
      </c>
      <c r="B43" s="175"/>
      <c r="C43" s="228">
        <f>SUM(C38:C42)</f>
        <v>0</v>
      </c>
      <c r="D43" s="230">
        <f>SUM(D38:D42)</f>
        <v>0</v>
      </c>
      <c r="E43" s="271">
        <f>SUM(E38:E42)</f>
        <v>0</v>
      </c>
      <c r="F43" s="176">
        <v>0</v>
      </c>
      <c r="G43" s="245">
        <v>0</v>
      </c>
      <c r="H43" s="246">
        <v>0</v>
      </c>
    </row>
    <row r="44" spans="1:8" ht="15.75" thickTop="1" x14ac:dyDescent="0.2">
      <c r="A44" s="167"/>
      <c r="B44" s="168"/>
      <c r="C44" s="226"/>
      <c r="D44" s="226"/>
      <c r="E44" s="226"/>
      <c r="F44" s="166"/>
      <c r="G44" s="241"/>
      <c r="H44" s="242"/>
    </row>
    <row r="45" spans="1:8" ht="15.75" x14ac:dyDescent="0.25">
      <c r="A45" s="164" t="s">
        <v>64</v>
      </c>
      <c r="B45" s="165">
        <f>DATE(23,7,1)</f>
        <v>8583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DATE(23,8,1)</f>
        <v>8614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DATE(23,9,1)</f>
        <v>8645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DATE(23,10,1)</f>
        <v>8675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SUM(C45:C49)</f>
        <v>0</v>
      </c>
      <c r="D50" s="230">
        <f>SUM(D45:D49)</f>
        <v>0</v>
      </c>
      <c r="E50" s="271">
        <f>SUM(E45:E49)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64" t="s">
        <v>67</v>
      </c>
      <c r="B52" s="165">
        <f>DATE(23,7,1)</f>
        <v>8583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DATE(23,8,1)</f>
        <v>8614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DATE(23,9,1)</f>
        <v>8645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DATE(23,10,1)</f>
        <v>8675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thickBot="1" x14ac:dyDescent="0.25">
      <c r="A56" s="167"/>
      <c r="B56" s="165"/>
      <c r="C56" s="226"/>
      <c r="D56" s="226"/>
      <c r="E56" s="226"/>
      <c r="F56" s="166"/>
      <c r="G56" s="241"/>
      <c r="H56" s="242"/>
    </row>
    <row r="57" spans="1:8" ht="17.25" thickTop="1" thickBot="1" x14ac:dyDescent="0.3">
      <c r="A57" s="174" t="s">
        <v>14</v>
      </c>
      <c r="B57" s="175"/>
      <c r="C57" s="228">
        <f>SUM(C52:C56)</f>
        <v>0</v>
      </c>
      <c r="D57" s="230">
        <f>SUM(D52:D56)</f>
        <v>0</v>
      </c>
      <c r="E57" s="271">
        <f>SUM(E52:E56)</f>
        <v>0</v>
      </c>
      <c r="F57" s="176">
        <v>0</v>
      </c>
      <c r="G57" s="245">
        <v>0</v>
      </c>
      <c r="H57" s="246">
        <v>0</v>
      </c>
    </row>
    <row r="58" spans="1:8" ht="15.75" thickTop="1" x14ac:dyDescent="0.2">
      <c r="A58" s="167"/>
      <c r="B58" s="168"/>
      <c r="C58" s="226"/>
      <c r="D58" s="226"/>
      <c r="E58" s="226"/>
      <c r="F58" s="166"/>
      <c r="G58" s="241"/>
      <c r="H58" s="242"/>
    </row>
    <row r="59" spans="1:8" ht="15.75" x14ac:dyDescent="0.25">
      <c r="A59" s="164" t="s">
        <v>69</v>
      </c>
      <c r="B59" s="165">
        <f>DATE(23,7,1)</f>
        <v>8583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DATE(23,8,1)</f>
        <v>8614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DATE(23,9,1)</f>
        <v>8645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DATE(23,10,1)</f>
        <v>8675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thickBot="1" x14ac:dyDescent="0.25">
      <c r="A63" s="167"/>
      <c r="B63" s="165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5"/>
      <c r="C64" s="228">
        <f>SUM(C59:C63)</f>
        <v>0</v>
      </c>
      <c r="D64" s="230">
        <f>SUM(D59:D63)</f>
        <v>0</v>
      </c>
      <c r="E64" s="271">
        <f>SUM(E59:E63)</f>
        <v>0</v>
      </c>
      <c r="F64" s="176">
        <v>0</v>
      </c>
      <c r="G64" s="249">
        <v>0</v>
      </c>
      <c r="H64" s="270">
        <v>0</v>
      </c>
    </row>
    <row r="65" spans="1:8" ht="15.75" thickTop="1" x14ac:dyDescent="0.2">
      <c r="A65" s="167"/>
      <c r="B65" s="179"/>
      <c r="C65" s="229"/>
      <c r="D65" s="229"/>
      <c r="E65" s="229"/>
      <c r="F65" s="180"/>
      <c r="G65" s="247"/>
      <c r="H65" s="248"/>
    </row>
    <row r="66" spans="1:8" ht="15.75" x14ac:dyDescent="0.25">
      <c r="A66" s="164" t="s">
        <v>16</v>
      </c>
      <c r="B66" s="165">
        <f>DATE(23,7,1)</f>
        <v>8583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DATE(23,8,1)</f>
        <v>8614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DATE(23,9,1)</f>
        <v>8645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DATE(23,10,1)</f>
        <v>8675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6.5" thickBot="1" x14ac:dyDescent="0.3">
      <c r="A70" s="164"/>
      <c r="B70" s="165"/>
      <c r="C70" s="226"/>
      <c r="D70" s="226"/>
      <c r="E70" s="226"/>
      <c r="F70" s="166"/>
      <c r="G70" s="241"/>
      <c r="H70" s="242"/>
    </row>
    <row r="71" spans="1:8" ht="17.25" thickTop="1" thickBot="1" x14ac:dyDescent="0.3">
      <c r="A71" s="174" t="s">
        <v>14</v>
      </c>
      <c r="B71" s="181"/>
      <c r="C71" s="228">
        <f>SUM(C66:C70)</f>
        <v>0</v>
      </c>
      <c r="D71" s="228">
        <f>SUM(D66:D70)</f>
        <v>0</v>
      </c>
      <c r="E71" s="228">
        <f>SUM(E66:E70)</f>
        <v>0</v>
      </c>
      <c r="F71" s="176">
        <v>0</v>
      </c>
      <c r="G71" s="245">
        <v>0</v>
      </c>
      <c r="H71" s="246">
        <v>0</v>
      </c>
    </row>
    <row r="72" spans="1:8" ht="15.75" thickTop="1" x14ac:dyDescent="0.2">
      <c r="A72" s="171"/>
      <c r="B72" s="172"/>
      <c r="C72" s="227"/>
      <c r="D72" s="227"/>
      <c r="E72" s="227"/>
      <c r="F72" s="173"/>
      <c r="G72" s="243"/>
      <c r="H72" s="244"/>
    </row>
    <row r="73" spans="1:8" ht="15.75" x14ac:dyDescent="0.25">
      <c r="A73" s="164" t="s">
        <v>53</v>
      </c>
      <c r="B73" s="165">
        <f>DATE(23,7,1)</f>
        <v>8583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DATE(23,8,1)</f>
        <v>8614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DATE(23,9,1)</f>
        <v>8645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DATE(23,10,1)</f>
        <v>8675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8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SUM(C73:C77)</f>
        <v>0</v>
      </c>
      <c r="D78" s="228">
        <f>SUM(D73:D77)</f>
        <v>0</v>
      </c>
      <c r="E78" s="228">
        <f>SUM(E73:E77)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54</v>
      </c>
      <c r="B80" s="165">
        <f>DATE(23,7,1)</f>
        <v>8583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DATE(23,8,1)</f>
        <v>8614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DATE(23,9,1)</f>
        <v>8645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DATE(23,10,1)</f>
        <v>8675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thickBot="1" x14ac:dyDescent="0.25">
      <c r="A84" s="167"/>
      <c r="B84" s="168"/>
      <c r="C84" s="226"/>
      <c r="D84" s="226"/>
      <c r="E84" s="226"/>
      <c r="F84" s="166"/>
      <c r="G84" s="241"/>
      <c r="H84" s="242"/>
    </row>
    <row r="85" spans="1:8" ht="17.25" thickTop="1" thickBot="1" x14ac:dyDescent="0.3">
      <c r="A85" s="182" t="s">
        <v>14</v>
      </c>
      <c r="B85" s="183"/>
      <c r="C85" s="230">
        <f>SUM(C80:C84)</f>
        <v>0</v>
      </c>
      <c r="D85" s="230">
        <f>SUM(D80:D84)</f>
        <v>0</v>
      </c>
      <c r="E85" s="230">
        <f>SUM(E80:E84)</f>
        <v>0</v>
      </c>
      <c r="F85" s="176">
        <v>0</v>
      </c>
      <c r="G85" s="245">
        <v>0</v>
      </c>
      <c r="H85" s="246">
        <v>0</v>
      </c>
    </row>
    <row r="86" spans="1:8" ht="15.75" thickTop="1" x14ac:dyDescent="0.2">
      <c r="A86" s="167"/>
      <c r="B86" s="168"/>
      <c r="C86" s="226"/>
      <c r="D86" s="226"/>
      <c r="E86" s="226"/>
      <c r="F86" s="166"/>
      <c r="G86" s="241"/>
      <c r="H86" s="242"/>
    </row>
    <row r="87" spans="1:8" ht="15.75" x14ac:dyDescent="0.25">
      <c r="A87" s="164" t="s">
        <v>37</v>
      </c>
      <c r="B87" s="165">
        <f>DATE(23,7,1)</f>
        <v>8583</v>
      </c>
      <c r="C87" s="226">
        <v>3921585</v>
      </c>
      <c r="D87" s="226">
        <v>179389.2</v>
      </c>
      <c r="E87" s="226">
        <v>215844.68</v>
      </c>
      <c r="F87" s="166">
        <f>+(D87-E87)/E87</f>
        <v>-0.16889681969460624</v>
      </c>
      <c r="G87" s="241">
        <f>+D87/C87</f>
        <v>4.5744055018570304E-2</v>
      </c>
      <c r="H87" s="289">
        <f>1-G87</f>
        <v>0.95425594498142974</v>
      </c>
    </row>
    <row r="88" spans="1:8" ht="15.75" x14ac:dyDescent="0.25">
      <c r="A88" s="164"/>
      <c r="B88" s="165">
        <f>DATE(23,8,1)</f>
        <v>8614</v>
      </c>
      <c r="C88" s="226">
        <v>4810863</v>
      </c>
      <c r="D88" s="226">
        <v>198288.36</v>
      </c>
      <c r="E88" s="226">
        <v>222475.66</v>
      </c>
      <c r="F88" s="166">
        <f>+(D88-E88)/E88</f>
        <v>-0.10871885940241741</v>
      </c>
      <c r="G88" s="241">
        <f>+D88/C88</f>
        <v>4.1216796238013845E-2</v>
      </c>
      <c r="H88" s="289">
        <f>1-G88</f>
        <v>0.95878320376198611</v>
      </c>
    </row>
    <row r="89" spans="1:8" ht="15.75" x14ac:dyDescent="0.25">
      <c r="A89" s="164"/>
      <c r="B89" s="165">
        <f>DATE(23,9,1)</f>
        <v>8645</v>
      </c>
      <c r="C89" s="226">
        <v>4650603.5</v>
      </c>
      <c r="D89" s="226">
        <v>223122.42</v>
      </c>
      <c r="E89" s="226">
        <v>213180.35</v>
      </c>
      <c r="F89" s="166">
        <f>+(D89-E89)/E89</f>
        <v>4.6636896880974284E-2</v>
      </c>
      <c r="G89" s="241">
        <f>+D89/C89</f>
        <v>4.797708942506064E-2</v>
      </c>
      <c r="H89" s="289">
        <f>1-G89</f>
        <v>0.95202291057493937</v>
      </c>
    </row>
    <row r="90" spans="1:8" ht="15.75" x14ac:dyDescent="0.25">
      <c r="A90" s="164"/>
      <c r="B90" s="165">
        <f>DATE(23,10,1)</f>
        <v>8675</v>
      </c>
      <c r="C90" s="226">
        <v>5353656.5</v>
      </c>
      <c r="D90" s="226">
        <v>233641.67</v>
      </c>
      <c r="E90" s="226">
        <v>197241.83</v>
      </c>
      <c r="F90" s="166">
        <f>+(D90-E90)/E90</f>
        <v>0.18454422167954956</v>
      </c>
      <c r="G90" s="241">
        <f>+D90/C90</f>
        <v>4.3641513048138222E-2</v>
      </c>
      <c r="H90" s="289">
        <f>1-G90</f>
        <v>0.95635848695186176</v>
      </c>
    </row>
    <row r="91" spans="1:8" ht="15.75" thickBot="1" x14ac:dyDescent="0.25">
      <c r="A91" s="167"/>
      <c r="B91" s="168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SUM(C87:C91)</f>
        <v>18736708</v>
      </c>
      <c r="D92" s="228">
        <f>SUM(D87:D91)</f>
        <v>834441.65</v>
      </c>
      <c r="E92" s="228">
        <f>SUM(E87:E91)</f>
        <v>848742.5199999999</v>
      </c>
      <c r="F92" s="176">
        <f>+(D92-E92)/E92</f>
        <v>-1.6849479863457154E-2</v>
      </c>
      <c r="G92" s="245">
        <f>+D92/C92</f>
        <v>4.4535125914328177E-2</v>
      </c>
      <c r="H92" s="246">
        <f>1-G92</f>
        <v>0.95546487408567182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57</v>
      </c>
      <c r="B94" s="165">
        <f>DATE(23,7,1)</f>
        <v>8583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DATE(23,8,1)</f>
        <v>8614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DATE(23,9,1)</f>
        <v>8645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DATE(23,10,1)</f>
        <v>8675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thickBot="1" x14ac:dyDescent="0.25">
      <c r="A98" s="167"/>
      <c r="B98" s="168"/>
      <c r="C98" s="226"/>
      <c r="D98" s="226"/>
      <c r="E98" s="226"/>
      <c r="F98" s="166"/>
      <c r="G98" s="241"/>
      <c r="H98" s="242"/>
    </row>
    <row r="99" spans="1:8" ht="17.25" thickTop="1" thickBot="1" x14ac:dyDescent="0.3">
      <c r="A99" s="169" t="s">
        <v>14</v>
      </c>
      <c r="B99" s="155"/>
      <c r="C99" s="223">
        <f>SUM(C94:C98)</f>
        <v>0</v>
      </c>
      <c r="D99" s="223">
        <f>SUM(D94:D98)</f>
        <v>0</v>
      </c>
      <c r="E99" s="223">
        <f>SUM(E94:E98)</f>
        <v>0</v>
      </c>
      <c r="F99" s="176">
        <v>0</v>
      </c>
      <c r="G99" s="245">
        <v>0</v>
      </c>
      <c r="H99" s="246">
        <v>0</v>
      </c>
    </row>
    <row r="100" spans="1:8" ht="16.5" thickTop="1" thickBot="1" x14ac:dyDescent="0.25">
      <c r="A100" s="171"/>
      <c r="B100" s="172"/>
      <c r="C100" s="227"/>
      <c r="D100" s="227"/>
      <c r="E100" s="227"/>
      <c r="F100" s="173"/>
      <c r="G100" s="243"/>
      <c r="H100" s="244"/>
    </row>
    <row r="101" spans="1:8" ht="17.25" thickTop="1" thickBot="1" x14ac:dyDescent="0.3">
      <c r="A101" s="184" t="s">
        <v>38</v>
      </c>
      <c r="B101" s="155"/>
      <c r="C101" s="223">
        <f>C99+C92+C71+C57+C43+C29+C15+C36+C85+C22+C64+C78+C50</f>
        <v>18736708</v>
      </c>
      <c r="D101" s="223">
        <f>D99+D92+D71+D57+D43+D29+D15+D36+D85+D22+D64+D78+D50</f>
        <v>834441.65</v>
      </c>
      <c r="E101" s="223">
        <f>E99+E92+E71+E57+E43+E29+E15+E36+E85+E22+E64+E78+E50</f>
        <v>1830296.12</v>
      </c>
      <c r="F101" s="176">
        <f>+(D101-E101)/E101</f>
        <v>-0.54409472823446736</v>
      </c>
      <c r="G101" s="236">
        <f>D101/C101</f>
        <v>4.4535125914328177E-2</v>
      </c>
      <c r="H101" s="237">
        <f>1-G101</f>
        <v>0.95546487408567182</v>
      </c>
    </row>
    <row r="102" spans="1:8" ht="17.25" thickTop="1" thickBot="1" x14ac:dyDescent="0.3">
      <c r="A102" s="184"/>
      <c r="B102" s="155"/>
      <c r="C102" s="223"/>
      <c r="D102" s="223"/>
      <c r="E102" s="223"/>
      <c r="F102" s="170"/>
      <c r="G102" s="236"/>
      <c r="H102" s="237"/>
    </row>
    <row r="103" spans="1:8" ht="17.25" thickTop="1" thickBot="1" x14ac:dyDescent="0.3">
      <c r="A103" s="184" t="s">
        <v>39</v>
      </c>
      <c r="B103" s="155"/>
      <c r="C103" s="223">
        <f>+C13+C20+C27+C34+C41+C48+C55+C62+C69+C76+C83+C90+C97</f>
        <v>5353656.5</v>
      </c>
      <c r="D103" s="223">
        <f>+D13+D20+D27+D34+D41+D48+D55+D62+D69+D76+D83+D90+D97</f>
        <v>233641.67</v>
      </c>
      <c r="E103" s="223">
        <f>+E13+E20+E27+E34+E41+E48+E55+E62+E69+E76+E83+E90+E97</f>
        <v>389961.68999999994</v>
      </c>
      <c r="F103" s="176">
        <f>+(D103-E103)/E103</f>
        <v>-0.40085994088291071</v>
      </c>
      <c r="G103" s="236">
        <f>D103/C103</f>
        <v>4.3641513048138222E-2</v>
      </c>
      <c r="H103" s="246">
        <f>1-G103</f>
        <v>0.95635848695186176</v>
      </c>
    </row>
    <row r="104" spans="1:8" ht="16.5" thickTop="1" x14ac:dyDescent="0.25">
      <c r="A104" s="185"/>
      <c r="B104" s="186"/>
      <c r="C104" s="231"/>
      <c r="D104" s="231"/>
      <c r="E104" s="231"/>
      <c r="F104" s="187"/>
      <c r="G104" s="250"/>
      <c r="H104" s="250"/>
    </row>
    <row r="105" spans="1:8" ht="18.75" x14ac:dyDescent="0.3">
      <c r="A105" s="188" t="s">
        <v>49</v>
      </c>
      <c r="B105" s="189"/>
      <c r="C105" s="232"/>
      <c r="D105" s="232"/>
      <c r="E105" s="232"/>
      <c r="F105" s="190"/>
      <c r="G105" s="251"/>
      <c r="H105" s="251"/>
    </row>
    <row r="106" spans="1:8" ht="15.75" x14ac:dyDescent="0.25">
      <c r="A106" s="191"/>
      <c r="B106" s="189"/>
      <c r="C106" s="232"/>
      <c r="D106" s="232"/>
      <c r="E106" s="232"/>
      <c r="F106" s="190"/>
      <c r="G106" s="257"/>
      <c r="H106" s="257"/>
    </row>
  </sheetData>
  <printOptions horizontalCentered="1"/>
  <pageMargins left="0.7" right="0.45" top="0.25" bottom="0.25" header="0.3" footer="0.3"/>
  <pageSetup scale="56" orientation="landscape" r:id="rId1"/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7"/>
  <sheetViews>
    <sheetView showOutlineSymbols="0" zoomScaleNormal="100" workbookViewId="0">
      <selection activeCell="A10" sqref="A10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79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>(+D10-E10)/E10</f>
        <v>-4.915227005321969E-2</v>
      </c>
      <c r="G10" s="241">
        <f>D10/C10</f>
        <v>9.3826436670503097E-2</v>
      </c>
      <c r="H10" s="242">
        <f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>(+D11-E11)/E11</f>
        <v>-5.7688990217977111E-2</v>
      </c>
      <c r="G11" s="241">
        <f>D11/C11</f>
        <v>9.1378973853970064E-2</v>
      </c>
      <c r="H11" s="242">
        <f>1-G11</f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>(+D12-E12)/E12</f>
        <v>-7.5588687300377363E-2</v>
      </c>
      <c r="G12" s="241">
        <f>D12/C12</f>
        <v>9.1067049851923987E-2</v>
      </c>
      <c r="H12" s="242">
        <f>1-G12</f>
        <v>0.90893295014807607</v>
      </c>
      <c r="I12" s="157"/>
    </row>
    <row r="13" spans="1:9" ht="15.75" x14ac:dyDescent="0.25">
      <c r="A13" s="164"/>
      <c r="B13" s="165">
        <f>DATE(23,10,1)</f>
        <v>8675</v>
      </c>
      <c r="C13" s="226">
        <v>113617241.08</v>
      </c>
      <c r="D13" s="226">
        <v>10286786.27</v>
      </c>
      <c r="E13" s="226">
        <v>11839133.27</v>
      </c>
      <c r="F13" s="166">
        <f>(+D13-E13)/E13</f>
        <v>-0.1311199869616807</v>
      </c>
      <c r="G13" s="241">
        <f>D13/C13</f>
        <v>9.0538954935165894E-2</v>
      </c>
      <c r="H13" s="242">
        <f>1-G13</f>
        <v>0.90946104506483416</v>
      </c>
      <c r="I13" s="157"/>
    </row>
    <row r="14" spans="1:9" ht="15.75" thickBot="1" x14ac:dyDescent="0.25">
      <c r="A14" s="167"/>
      <c r="B14" s="168"/>
      <c r="C14" s="226"/>
      <c r="D14" s="226"/>
      <c r="E14" s="226"/>
      <c r="F14" s="166"/>
      <c r="G14" s="241"/>
      <c r="H14" s="242"/>
      <c r="I14" s="157"/>
    </row>
    <row r="15" spans="1:9" ht="17.25" thickTop="1" thickBot="1" x14ac:dyDescent="0.3">
      <c r="A15" s="169" t="s">
        <v>14</v>
      </c>
      <c r="B15" s="155"/>
      <c r="C15" s="223">
        <f>SUM(C10:C14)</f>
        <v>485448360.39999998</v>
      </c>
      <c r="D15" s="223">
        <f>SUM(D10:D14)</f>
        <v>44545926.75</v>
      </c>
      <c r="E15" s="223">
        <f>SUM(E10:E14)</f>
        <v>48302920.890000001</v>
      </c>
      <c r="F15" s="170">
        <f>(+D15-E15)/E15</f>
        <v>-7.7779854111841074E-2</v>
      </c>
      <c r="G15" s="236">
        <f>D15/C15</f>
        <v>9.1762441453700716E-2</v>
      </c>
      <c r="H15" s="237">
        <f>1-G15</f>
        <v>0.90823755854629928</v>
      </c>
      <c r="I15" s="157"/>
    </row>
    <row r="16" spans="1:9" ht="15.75" thickTop="1" x14ac:dyDescent="0.2">
      <c r="A16" s="171"/>
      <c r="B16" s="172"/>
      <c r="C16" s="227"/>
      <c r="D16" s="227"/>
      <c r="E16" s="227"/>
      <c r="F16" s="173"/>
      <c r="G16" s="243"/>
      <c r="H16" s="244"/>
      <c r="I16" s="157"/>
    </row>
    <row r="17" spans="1:9" ht="15.75" x14ac:dyDescent="0.25">
      <c r="A17" s="19" t="s">
        <v>48</v>
      </c>
      <c r="B17" s="165">
        <f>DATE(23,7,1)</f>
        <v>8583</v>
      </c>
      <c r="C17" s="226">
        <v>75800127.310000002</v>
      </c>
      <c r="D17" s="226">
        <v>7575374.3200000003</v>
      </c>
      <c r="E17" s="226">
        <v>7757914.71</v>
      </c>
      <c r="F17" s="166">
        <f>(+D17-E17)/E17</f>
        <v>-2.3529569068954054E-2</v>
      </c>
      <c r="G17" s="241">
        <f>D17/C17</f>
        <v>9.993880734552027E-2</v>
      </c>
      <c r="H17" s="242">
        <f>1-G17</f>
        <v>0.9000611926544797</v>
      </c>
      <c r="I17" s="157"/>
    </row>
    <row r="18" spans="1:9" ht="15.75" x14ac:dyDescent="0.25">
      <c r="A18" s="19"/>
      <c r="B18" s="165">
        <f>DATE(23,8,1)</f>
        <v>8614</v>
      </c>
      <c r="C18" s="226">
        <v>70452827.459999993</v>
      </c>
      <c r="D18" s="226">
        <v>7089689.0300000003</v>
      </c>
      <c r="E18" s="226">
        <v>6870200.0300000003</v>
      </c>
      <c r="F18" s="166">
        <f>(+D18-E18)/E18</f>
        <v>3.1947978085290187E-2</v>
      </c>
      <c r="G18" s="241">
        <f>D18/C18</f>
        <v>0.1006302981101108</v>
      </c>
      <c r="H18" s="242">
        <f>1-G18</f>
        <v>0.89936970188988918</v>
      </c>
      <c r="I18" s="157"/>
    </row>
    <row r="19" spans="1:9" ht="15.75" x14ac:dyDescent="0.25">
      <c r="A19" s="19"/>
      <c r="B19" s="165">
        <f>DATE(23,9,1)</f>
        <v>8645</v>
      </c>
      <c r="C19" s="226">
        <v>66505879.869999997</v>
      </c>
      <c r="D19" s="226">
        <v>6608716.9299999997</v>
      </c>
      <c r="E19" s="226">
        <v>7013550.54</v>
      </c>
      <c r="F19" s="166">
        <f>(+D19-E19)/E19</f>
        <v>-5.7721635809300141E-2</v>
      </c>
      <c r="G19" s="241">
        <f>D19/C19</f>
        <v>9.9370415712387444E-2</v>
      </c>
      <c r="H19" s="242">
        <f>1-G19</f>
        <v>0.90062958428761253</v>
      </c>
      <c r="I19" s="157"/>
    </row>
    <row r="20" spans="1:9" ht="15.75" x14ac:dyDescent="0.25">
      <c r="A20" s="19"/>
      <c r="B20" s="165">
        <f>DATE(23,10,1)</f>
        <v>8675</v>
      </c>
      <c r="C20" s="226">
        <v>63554221.140000001</v>
      </c>
      <c r="D20" s="226">
        <v>6073572.6299999999</v>
      </c>
      <c r="E20" s="226">
        <v>6793373.3399999999</v>
      </c>
      <c r="F20" s="166">
        <f>(+D20-E20)/E20</f>
        <v>-0.10595630093840831</v>
      </c>
      <c r="G20" s="241">
        <f>D20/C20</f>
        <v>9.5565212208656769E-2</v>
      </c>
      <c r="H20" s="242">
        <f>1-G20</f>
        <v>0.90443478779134323</v>
      </c>
      <c r="I20" s="157"/>
    </row>
    <row r="21" spans="1:9" ht="15.75" thickBot="1" x14ac:dyDescent="0.25">
      <c r="A21" s="167"/>
      <c r="B21" s="165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SUM(C17:C21)</f>
        <v>276313055.77999997</v>
      </c>
      <c r="D22" s="223">
        <f>SUM(D17:D21)</f>
        <v>27347352.91</v>
      </c>
      <c r="E22" s="223">
        <f>SUM(E17:E21)</f>
        <v>28435038.620000001</v>
      </c>
      <c r="F22" s="170">
        <f>(+D22-E22)/E22</f>
        <v>-3.8251599533083415E-2</v>
      </c>
      <c r="G22" s="236">
        <f>D22/C22</f>
        <v>9.8972351606049044E-2</v>
      </c>
      <c r="H22" s="237">
        <f>1-G22</f>
        <v>0.901027648393951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62</v>
      </c>
      <c r="B24" s="165">
        <f>DATE(23,7,1)</f>
        <v>8583</v>
      </c>
      <c r="C24" s="226">
        <v>37126873.899999999</v>
      </c>
      <c r="D24" s="226">
        <v>3728602.99</v>
      </c>
      <c r="E24" s="226">
        <v>3537425.2</v>
      </c>
      <c r="F24" s="166">
        <f>(+D24-E24)/E24</f>
        <v>5.4044334280199065E-2</v>
      </c>
      <c r="G24" s="241">
        <f>D24/C24</f>
        <v>0.10042868139242933</v>
      </c>
      <c r="H24" s="242">
        <f>1-G24</f>
        <v>0.89957131860757067</v>
      </c>
      <c r="I24" s="157"/>
    </row>
    <row r="25" spans="1:9" ht="15.75" x14ac:dyDescent="0.25">
      <c r="A25" s="19"/>
      <c r="B25" s="165">
        <f>DATE(23,8,1)</f>
        <v>8614</v>
      </c>
      <c r="C25" s="226">
        <v>33173547.440000001</v>
      </c>
      <c r="D25" s="226">
        <v>3492885.71</v>
      </c>
      <c r="E25" s="226">
        <v>3224518.01</v>
      </c>
      <c r="F25" s="166">
        <f>(+D25-E25)/E25</f>
        <v>8.3227229361947402E-2</v>
      </c>
      <c r="G25" s="241">
        <f>D25/C25</f>
        <v>0.10529129320032708</v>
      </c>
      <c r="H25" s="242">
        <f>1-G25</f>
        <v>0.89470870679967296</v>
      </c>
      <c r="I25" s="157"/>
    </row>
    <row r="26" spans="1:9" ht="15.75" x14ac:dyDescent="0.25">
      <c r="A26" s="19"/>
      <c r="B26" s="165">
        <f>DATE(23,9,1)</f>
        <v>8645</v>
      </c>
      <c r="C26" s="226">
        <v>34343922.799999997</v>
      </c>
      <c r="D26" s="226">
        <v>3669671.06</v>
      </c>
      <c r="E26" s="226">
        <v>3285954.25</v>
      </c>
      <c r="F26" s="166">
        <f>(+D26-E26)/E26</f>
        <v>0.11677484858469958</v>
      </c>
      <c r="G26" s="241">
        <f>D26/C26</f>
        <v>0.10685066704144817</v>
      </c>
      <c r="H26" s="242">
        <f>1-G26</f>
        <v>0.89314933295855181</v>
      </c>
      <c r="I26" s="157"/>
    </row>
    <row r="27" spans="1:9" ht="15.75" x14ac:dyDescent="0.25">
      <c r="A27" s="19"/>
      <c r="B27" s="165">
        <f>DATE(23,10,1)</f>
        <v>8675</v>
      </c>
      <c r="C27" s="226">
        <v>31007658.719999999</v>
      </c>
      <c r="D27" s="226">
        <v>3409284.9</v>
      </c>
      <c r="E27" s="226">
        <v>3155435.74</v>
      </c>
      <c r="F27" s="166">
        <f>(+D27-E27)/E27</f>
        <v>8.0448210933935754E-2</v>
      </c>
      <c r="G27" s="241">
        <f>D27/C27</f>
        <v>0.10994976856479025</v>
      </c>
      <c r="H27" s="242">
        <f>1-G27</f>
        <v>0.89005023143520978</v>
      </c>
      <c r="I27" s="157"/>
    </row>
    <row r="28" spans="1:9" ht="15.75" thickBot="1" x14ac:dyDescent="0.25">
      <c r="A28" s="167"/>
      <c r="B28" s="165"/>
      <c r="C28" s="226"/>
      <c r="D28" s="226"/>
      <c r="E28" s="226"/>
      <c r="F28" s="166"/>
      <c r="G28" s="241"/>
      <c r="H28" s="242"/>
      <c r="I28" s="157"/>
    </row>
    <row r="29" spans="1:9" ht="17.25" thickTop="1" thickBot="1" x14ac:dyDescent="0.3">
      <c r="A29" s="174" t="s">
        <v>14</v>
      </c>
      <c r="B29" s="175"/>
      <c r="C29" s="228">
        <f>SUM(C24:C28)</f>
        <v>135652002.86000001</v>
      </c>
      <c r="D29" s="228">
        <f>SUM(D24:D28)</f>
        <v>14300444.66</v>
      </c>
      <c r="E29" s="228">
        <f>SUM(E24:E28)</f>
        <v>13203333.200000001</v>
      </c>
      <c r="F29" s="176">
        <f>(+D29-E29)/E29</f>
        <v>8.3093522172113243E-2</v>
      </c>
      <c r="G29" s="245">
        <f>D29/C29</f>
        <v>0.10542007754031328</v>
      </c>
      <c r="H29" s="246">
        <f>1-G29</f>
        <v>0.89457992245968676</v>
      </c>
      <c r="I29" s="157"/>
    </row>
    <row r="30" spans="1:9" ht="15.75" thickTop="1" x14ac:dyDescent="0.2">
      <c r="A30" s="167"/>
      <c r="B30" s="168"/>
      <c r="C30" s="226"/>
      <c r="D30" s="226"/>
      <c r="E30" s="226"/>
      <c r="F30" s="166"/>
      <c r="G30" s="241"/>
      <c r="H30" s="242"/>
      <c r="I30" s="157"/>
    </row>
    <row r="31" spans="1:9" ht="15.75" x14ac:dyDescent="0.25">
      <c r="A31" s="177" t="s">
        <v>58</v>
      </c>
      <c r="B31" s="165">
        <f>DATE(23,7,1)</f>
        <v>8583</v>
      </c>
      <c r="C31" s="226">
        <v>203652069.36000001</v>
      </c>
      <c r="D31" s="226">
        <v>18456668.579999998</v>
      </c>
      <c r="E31" s="226">
        <v>17880290.199999999</v>
      </c>
      <c r="F31" s="166">
        <f>(+D31-E31)/E31</f>
        <v>3.2235404098754444E-2</v>
      </c>
      <c r="G31" s="241">
        <f>D31/C31</f>
        <v>9.0628436224597153E-2</v>
      </c>
      <c r="H31" s="242">
        <f>1-G31</f>
        <v>0.90937156377540285</v>
      </c>
      <c r="I31" s="157"/>
    </row>
    <row r="32" spans="1:9" ht="15.75" x14ac:dyDescent="0.25">
      <c r="A32" s="177"/>
      <c r="B32" s="165">
        <f>DATE(23,8,1)</f>
        <v>8614</v>
      </c>
      <c r="C32" s="226">
        <v>191968973.33000001</v>
      </c>
      <c r="D32" s="226">
        <v>17397451.300000001</v>
      </c>
      <c r="E32" s="226">
        <v>17060867.379999999</v>
      </c>
      <c r="F32" s="166">
        <f>(+D32-E32)/E32</f>
        <v>1.9728417817406526E-2</v>
      </c>
      <c r="G32" s="241">
        <f>D32/C32</f>
        <v>9.0626370492138314E-2</v>
      </c>
      <c r="H32" s="242">
        <f>1-G32</f>
        <v>0.90937362950786171</v>
      </c>
      <c r="I32" s="157"/>
    </row>
    <row r="33" spans="1:9" ht="15.75" x14ac:dyDescent="0.25">
      <c r="A33" s="177"/>
      <c r="B33" s="165">
        <f>DATE(23,9,1)</f>
        <v>8645</v>
      </c>
      <c r="C33" s="226">
        <v>188961524.24000001</v>
      </c>
      <c r="D33" s="226">
        <v>17402399.579999998</v>
      </c>
      <c r="E33" s="226">
        <v>17061917.539999999</v>
      </c>
      <c r="F33" s="166">
        <f>(+D33-E33)/E33</f>
        <v>1.9955672579109133E-2</v>
      </c>
      <c r="G33" s="241">
        <f>D33/C33</f>
        <v>9.2094936522089083E-2</v>
      </c>
      <c r="H33" s="242">
        <f>1-G33</f>
        <v>0.90790506347791089</v>
      </c>
      <c r="I33" s="157"/>
    </row>
    <row r="34" spans="1:9" ht="15.75" x14ac:dyDescent="0.25">
      <c r="A34" s="177"/>
      <c r="B34" s="165">
        <f>DATE(23,10,1)</f>
        <v>8675</v>
      </c>
      <c r="C34" s="226">
        <v>184357310.63</v>
      </c>
      <c r="D34" s="226">
        <v>16475993.380000001</v>
      </c>
      <c r="E34" s="226">
        <v>16341780.85</v>
      </c>
      <c r="F34" s="166">
        <f>(+D34-E34)/E34</f>
        <v>8.2128460314042934E-3</v>
      </c>
      <c r="G34" s="241">
        <f>D34/C34</f>
        <v>8.9369894384426454E-2</v>
      </c>
      <c r="H34" s="242">
        <f>1-G34</f>
        <v>0.91063010561557356</v>
      </c>
      <c r="I34" s="157"/>
    </row>
    <row r="35" spans="1:9" ht="15.75" thickBot="1" x14ac:dyDescent="0.25">
      <c r="A35" s="167"/>
      <c r="B35" s="168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74" t="s">
        <v>14</v>
      </c>
      <c r="B36" s="178"/>
      <c r="C36" s="228">
        <f>SUM(C31:C35)</f>
        <v>768939877.56000006</v>
      </c>
      <c r="D36" s="228">
        <f>SUM(D31:D35)</f>
        <v>69732512.839999989</v>
      </c>
      <c r="E36" s="228">
        <f>SUM(E31:E35)</f>
        <v>68344855.969999999</v>
      </c>
      <c r="F36" s="176">
        <f>(+D36-E36)/E36</f>
        <v>2.0303750008765872E-2</v>
      </c>
      <c r="G36" s="245">
        <f>D36/C36</f>
        <v>9.0686560646685663E-2</v>
      </c>
      <c r="H36" s="246">
        <f>1-G36</f>
        <v>0.90931343935331432</v>
      </c>
      <c r="I36" s="157"/>
    </row>
    <row r="37" spans="1:9" ht="15.75" thickTop="1" x14ac:dyDescent="0.2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 x14ac:dyDescent="0.25">
      <c r="A38" s="164" t="s">
        <v>60</v>
      </c>
      <c r="B38" s="165">
        <f>DATE(23,7,1)</f>
        <v>8583</v>
      </c>
      <c r="C38" s="226">
        <v>121881486.05</v>
      </c>
      <c r="D38" s="226">
        <v>12067335.59</v>
      </c>
      <c r="E38" s="226">
        <v>11877741.560000001</v>
      </c>
      <c r="F38" s="166">
        <f>(+D38-E38)/E38</f>
        <v>1.5962127904725964E-2</v>
      </c>
      <c r="G38" s="241">
        <f>D38/C38</f>
        <v>9.9008766475406795E-2</v>
      </c>
      <c r="H38" s="242">
        <f>1-G38</f>
        <v>0.9009912335245932</v>
      </c>
      <c r="I38" s="157"/>
    </row>
    <row r="39" spans="1:9" ht="15.75" x14ac:dyDescent="0.25">
      <c r="A39" s="164"/>
      <c r="B39" s="165">
        <f>DATE(23,8,1)</f>
        <v>8614</v>
      </c>
      <c r="C39" s="226">
        <v>115554383.93000001</v>
      </c>
      <c r="D39" s="226">
        <v>10973674.99</v>
      </c>
      <c r="E39" s="226">
        <v>11399779.33</v>
      </c>
      <c r="F39" s="166">
        <f>(+D39-E39)/E39</f>
        <v>-3.7378297216565493E-2</v>
      </c>
      <c r="G39" s="241">
        <f>D39/C39</f>
        <v>9.4965457966939462E-2</v>
      </c>
      <c r="H39" s="242">
        <f>1-G39</f>
        <v>0.90503454203306055</v>
      </c>
      <c r="I39" s="157"/>
    </row>
    <row r="40" spans="1:9" ht="15.75" x14ac:dyDescent="0.25">
      <c r="A40" s="164"/>
      <c r="B40" s="165">
        <f>DATE(23,9,1)</f>
        <v>8645</v>
      </c>
      <c r="C40" s="226">
        <v>112575369.23999999</v>
      </c>
      <c r="D40" s="226">
        <v>10801103.67</v>
      </c>
      <c r="E40" s="226">
        <v>10069352.810000001</v>
      </c>
      <c r="F40" s="166">
        <f>(+D40-E40)/E40</f>
        <v>7.2671091559458362E-2</v>
      </c>
      <c r="G40" s="241">
        <f>D40/C40</f>
        <v>9.5945531806101145E-2</v>
      </c>
      <c r="H40" s="242">
        <f>1-G40</f>
        <v>0.9040544681938989</v>
      </c>
      <c r="I40" s="157"/>
    </row>
    <row r="41" spans="1:9" ht="15.75" x14ac:dyDescent="0.25">
      <c r="A41" s="164"/>
      <c r="B41" s="165">
        <f>DATE(23,10,1)</f>
        <v>8675</v>
      </c>
      <c r="C41" s="226">
        <v>105123042.13</v>
      </c>
      <c r="D41" s="226">
        <v>10564246.92</v>
      </c>
      <c r="E41" s="226">
        <v>10695374.6</v>
      </c>
      <c r="F41" s="166">
        <f>(+D41-E41)/E41</f>
        <v>-1.2260223218362048E-2</v>
      </c>
      <c r="G41" s="241">
        <f>D41/C41</f>
        <v>0.10049411343077158</v>
      </c>
      <c r="H41" s="242">
        <f>1-G41</f>
        <v>0.89950588656922847</v>
      </c>
      <c r="I41" s="157"/>
    </row>
    <row r="42" spans="1:9" ht="15.75" thickBot="1" x14ac:dyDescent="0.25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Top="1" thickBot="1" x14ac:dyDescent="0.3">
      <c r="A43" s="174" t="s">
        <v>14</v>
      </c>
      <c r="B43" s="175"/>
      <c r="C43" s="228">
        <f>SUM(C38:C42)</f>
        <v>455134281.35000002</v>
      </c>
      <c r="D43" s="230">
        <f>SUM(D38:D42)</f>
        <v>44406361.170000002</v>
      </c>
      <c r="E43" s="271">
        <f>SUM(E38:E42)</f>
        <v>44042248.300000004</v>
      </c>
      <c r="F43" s="272">
        <f>(+D43-E43)/E43</f>
        <v>8.2673542803671368E-3</v>
      </c>
      <c r="G43" s="249">
        <f>D43/C43</f>
        <v>9.7567603649375154E-2</v>
      </c>
      <c r="H43" s="270">
        <f>1-G43</f>
        <v>0.90243239635062489</v>
      </c>
      <c r="I43" s="157"/>
    </row>
    <row r="44" spans="1:9" ht="15.75" thickTop="1" x14ac:dyDescent="0.2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 x14ac:dyDescent="0.25">
      <c r="A45" s="164" t="s">
        <v>64</v>
      </c>
      <c r="B45" s="165">
        <f>DATE(23,7,1)</f>
        <v>8583</v>
      </c>
      <c r="C45" s="226">
        <v>53239780.990000002</v>
      </c>
      <c r="D45" s="226">
        <v>5575819.8300000001</v>
      </c>
      <c r="E45" s="226">
        <v>5559220.0999999996</v>
      </c>
      <c r="F45" s="166">
        <f>(+D45-E45)/E45</f>
        <v>2.9859817926619686E-3</v>
      </c>
      <c r="G45" s="241">
        <f>D45/C45</f>
        <v>0.10473032995848167</v>
      </c>
      <c r="H45" s="242">
        <f>1-G45</f>
        <v>0.89526967004151836</v>
      </c>
      <c r="I45" s="157"/>
    </row>
    <row r="46" spans="1:9" ht="15.75" x14ac:dyDescent="0.25">
      <c r="A46" s="164"/>
      <c r="B46" s="165">
        <f>DATE(23,8,1)</f>
        <v>8614</v>
      </c>
      <c r="C46" s="226">
        <v>49967048.579999998</v>
      </c>
      <c r="D46" s="226">
        <v>5122977.68</v>
      </c>
      <c r="E46" s="226">
        <v>4834999.09</v>
      </c>
      <c r="F46" s="166">
        <f>(+D46-E46)/E46</f>
        <v>5.9561250093223876E-2</v>
      </c>
      <c r="G46" s="241">
        <f>D46/C46</f>
        <v>0.10252712188509254</v>
      </c>
      <c r="H46" s="242">
        <f>1-G46</f>
        <v>0.8974728781149075</v>
      </c>
      <c r="I46" s="157"/>
    </row>
    <row r="47" spans="1:9" ht="15.75" x14ac:dyDescent="0.25">
      <c r="A47" s="164"/>
      <c r="B47" s="165">
        <f>DATE(23,9,1)</f>
        <v>8645</v>
      </c>
      <c r="C47" s="226">
        <v>48479872.609999999</v>
      </c>
      <c r="D47" s="226">
        <v>4693957.13</v>
      </c>
      <c r="E47" s="226">
        <v>4841899.8</v>
      </c>
      <c r="F47" s="166">
        <f>(+D47-E47)/E47</f>
        <v>-3.0554674014526266E-2</v>
      </c>
      <c r="G47" s="241">
        <f>D47/C47</f>
        <v>9.6822802480544715E-2</v>
      </c>
      <c r="H47" s="242">
        <f>1-G47</f>
        <v>0.90317719751945524</v>
      </c>
      <c r="I47" s="157"/>
    </row>
    <row r="48" spans="1:9" ht="15.75" x14ac:dyDescent="0.25">
      <c r="A48" s="164"/>
      <c r="B48" s="165">
        <f>DATE(23,10,1)</f>
        <v>8675</v>
      </c>
      <c r="C48" s="226">
        <v>45241468.390000001</v>
      </c>
      <c r="D48" s="226">
        <v>4687600.6900000004</v>
      </c>
      <c r="E48" s="226">
        <v>4853868.22</v>
      </c>
      <c r="F48" s="166">
        <f>(+D48-E48)/E48</f>
        <v>-3.4254644432847689E-2</v>
      </c>
      <c r="G48" s="241">
        <f>D48/C48</f>
        <v>0.10361292099520204</v>
      </c>
      <c r="H48" s="242">
        <f>1-G48</f>
        <v>0.89638707900479797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SUM(C45:C49)</f>
        <v>196928170.56999999</v>
      </c>
      <c r="D50" s="230">
        <f>SUM(D45:D49)</f>
        <v>20080355.330000002</v>
      </c>
      <c r="E50" s="271">
        <f>SUM(E45:E49)</f>
        <v>20089987.209999997</v>
      </c>
      <c r="F50" s="272">
        <f>(+D50-E50)/E50</f>
        <v>-4.794368408159496E-4</v>
      </c>
      <c r="G50" s="249">
        <f>D50/C50</f>
        <v>0.10196791689009393</v>
      </c>
      <c r="H50" s="270">
        <f>1-G50</f>
        <v>0.89803208310990601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290" t="s">
        <v>67</v>
      </c>
      <c r="B52" s="165">
        <f>DATE(23,7,1)</f>
        <v>8583</v>
      </c>
      <c r="C52" s="226">
        <v>89298695.370000005</v>
      </c>
      <c r="D52" s="226">
        <v>9977929.8800000008</v>
      </c>
      <c r="E52" s="226">
        <v>9654928.8200000003</v>
      </c>
      <c r="F52" s="166">
        <f>(+D52-E52)/E52</f>
        <v>3.3454525250451353E-2</v>
      </c>
      <c r="G52" s="241">
        <f>D52/C52</f>
        <v>0.11173656948354586</v>
      </c>
      <c r="H52" s="242">
        <f>1-G52</f>
        <v>0.88826343051645418</v>
      </c>
      <c r="I52" s="157"/>
    </row>
    <row r="53" spans="1:9" ht="15.75" x14ac:dyDescent="0.25">
      <c r="A53" s="290"/>
      <c r="B53" s="165">
        <f>DATE(23,8,1)</f>
        <v>8614</v>
      </c>
      <c r="C53" s="226">
        <v>89627706.310000002</v>
      </c>
      <c r="D53" s="226">
        <v>9956028.8800000008</v>
      </c>
      <c r="E53" s="226">
        <v>9270730.9700000007</v>
      </c>
      <c r="F53" s="166">
        <f>(+D53-E53)/E53</f>
        <v>7.3920590751432425E-2</v>
      </c>
      <c r="G53" s="241">
        <f>D53/C53</f>
        <v>0.11108204471466186</v>
      </c>
      <c r="H53" s="242">
        <f>1-G53</f>
        <v>0.88891795528533812</v>
      </c>
      <c r="I53" s="157"/>
    </row>
    <row r="54" spans="1:9" ht="15.75" x14ac:dyDescent="0.25">
      <c r="A54" s="290"/>
      <c r="B54" s="165">
        <f>DATE(23,9,1)</f>
        <v>8645</v>
      </c>
      <c r="C54" s="226">
        <v>95507709.879999995</v>
      </c>
      <c r="D54" s="226">
        <v>10479555.779999999</v>
      </c>
      <c r="E54" s="226">
        <v>9440089.3000000007</v>
      </c>
      <c r="F54" s="166">
        <f>(+D54-E54)/E54</f>
        <v>0.11011193294537992</v>
      </c>
      <c r="G54" s="241">
        <f>D54/C54</f>
        <v>0.10972471011153932</v>
      </c>
      <c r="H54" s="242">
        <f>1-G54</f>
        <v>0.89027528988846072</v>
      </c>
      <c r="I54" s="157"/>
    </row>
    <row r="55" spans="1:9" ht="15.75" x14ac:dyDescent="0.25">
      <c r="A55" s="290"/>
      <c r="B55" s="165">
        <f>DATE(23,10,1)</f>
        <v>8675</v>
      </c>
      <c r="C55" s="226">
        <v>94703586.390000001</v>
      </c>
      <c r="D55" s="226">
        <v>10708668.119999999</v>
      </c>
      <c r="E55" s="226">
        <v>9283650.1199999992</v>
      </c>
      <c r="F55" s="166">
        <f>(+D55-E55)/E55</f>
        <v>0.15349759863634327</v>
      </c>
      <c r="G55" s="241">
        <f>D55/C55</f>
        <v>0.1130756344949863</v>
      </c>
      <c r="H55" s="242">
        <f>1-G55</f>
        <v>0.88692436550501375</v>
      </c>
      <c r="I55" s="157"/>
    </row>
    <row r="56" spans="1:9" ht="15.75" thickBot="1" x14ac:dyDescent="0.25">
      <c r="A56" s="167"/>
      <c r="B56" s="165"/>
      <c r="C56" s="226"/>
      <c r="D56" s="226"/>
      <c r="E56" s="226"/>
      <c r="F56" s="166"/>
      <c r="G56" s="241"/>
      <c r="H56" s="242"/>
      <c r="I56" s="157"/>
    </row>
    <row r="57" spans="1:9" ht="17.25" thickTop="1" thickBot="1" x14ac:dyDescent="0.3">
      <c r="A57" s="174" t="s">
        <v>14</v>
      </c>
      <c r="B57" s="175"/>
      <c r="C57" s="228">
        <f>SUM(C52:C56)</f>
        <v>369137697.94999999</v>
      </c>
      <c r="D57" s="230">
        <f>SUM(D52:D56)</f>
        <v>41122182.659999996</v>
      </c>
      <c r="E57" s="271">
        <f>SUM(E52:E56)</f>
        <v>37649399.210000001</v>
      </c>
      <c r="F57" s="272">
        <f>(+D57-E57)/E57</f>
        <v>9.2240076146489866E-2</v>
      </c>
      <c r="G57" s="249">
        <f>D57/C57</f>
        <v>0.11140065858451019</v>
      </c>
      <c r="H57" s="270">
        <f>1-G57</f>
        <v>0.8885993414154898</v>
      </c>
      <c r="I57" s="157"/>
    </row>
    <row r="58" spans="1:9" ht="15.75" thickTop="1" x14ac:dyDescent="0.2">
      <c r="A58" s="167"/>
      <c r="B58" s="168"/>
      <c r="C58" s="226"/>
      <c r="D58" s="226"/>
      <c r="E58" s="226"/>
      <c r="F58" s="166"/>
      <c r="G58" s="241"/>
      <c r="H58" s="242"/>
      <c r="I58" s="157"/>
    </row>
    <row r="59" spans="1:9" ht="15.75" x14ac:dyDescent="0.25">
      <c r="A59" s="164" t="s">
        <v>69</v>
      </c>
      <c r="B59" s="165">
        <f>DATE(23,7,1)</f>
        <v>8583</v>
      </c>
      <c r="C59" s="226">
        <v>121213119.26000001</v>
      </c>
      <c r="D59" s="226">
        <v>12329543.52</v>
      </c>
      <c r="E59" s="226">
        <v>11762621.74</v>
      </c>
      <c r="F59" s="166">
        <f>(+D59-E59)/E59</f>
        <v>4.8196889480184822E-2</v>
      </c>
      <c r="G59" s="241">
        <f>D59/C59</f>
        <v>0.10171789650552054</v>
      </c>
      <c r="H59" s="242">
        <f>1-G59</f>
        <v>0.89828210349447946</v>
      </c>
      <c r="I59" s="157"/>
    </row>
    <row r="60" spans="1:9" ht="15.75" x14ac:dyDescent="0.25">
      <c r="A60" s="164"/>
      <c r="B60" s="165">
        <f>DATE(23,8,1)</f>
        <v>8614</v>
      </c>
      <c r="C60" s="226">
        <v>112407031.68000001</v>
      </c>
      <c r="D60" s="226">
        <v>11665095.210000001</v>
      </c>
      <c r="E60" s="226">
        <v>12540537.029999999</v>
      </c>
      <c r="F60" s="166">
        <f>(+D60-E60)/E60</f>
        <v>-6.9808957774753169E-2</v>
      </c>
      <c r="G60" s="241">
        <f>D60/C60</f>
        <v>0.10377549371829477</v>
      </c>
      <c r="H60" s="242">
        <f>1-G60</f>
        <v>0.89622450628170525</v>
      </c>
      <c r="I60" s="157"/>
    </row>
    <row r="61" spans="1:9" ht="15.75" x14ac:dyDescent="0.25">
      <c r="A61" s="164"/>
      <c r="B61" s="165">
        <f>DATE(23,9,1)</f>
        <v>8645</v>
      </c>
      <c r="C61" s="226">
        <v>114671749.77</v>
      </c>
      <c r="D61" s="226">
        <v>12009719.560000001</v>
      </c>
      <c r="E61" s="226">
        <v>12203478.51</v>
      </c>
      <c r="F61" s="166">
        <f>(+D61-E61)/E61</f>
        <v>-1.58773541364641E-2</v>
      </c>
      <c r="G61" s="241">
        <f>D61/C61</f>
        <v>0.10473128372147626</v>
      </c>
      <c r="H61" s="242">
        <f>1-G61</f>
        <v>0.89526871627852378</v>
      </c>
      <c r="I61" s="157"/>
    </row>
    <row r="62" spans="1:9" ht="15.75" x14ac:dyDescent="0.25">
      <c r="A62" s="164"/>
      <c r="B62" s="165">
        <f>DATE(23,10,1)</f>
        <v>8675</v>
      </c>
      <c r="C62" s="226">
        <v>104976582.06999999</v>
      </c>
      <c r="D62" s="226">
        <v>10536048.18</v>
      </c>
      <c r="E62" s="226">
        <v>11570843.18</v>
      </c>
      <c r="F62" s="166">
        <f>(+D62-E62)/E62</f>
        <v>-8.9431252666929667E-2</v>
      </c>
      <c r="G62" s="241">
        <f>D62/C62</f>
        <v>0.10036570035185945</v>
      </c>
      <c r="H62" s="242">
        <f>1-G62</f>
        <v>0.89963429964814057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SUM(C59:C63)</f>
        <v>453268482.77999997</v>
      </c>
      <c r="D64" s="230">
        <f>SUM(D59:D63)</f>
        <v>46540406.469999999</v>
      </c>
      <c r="E64" s="271">
        <f>SUM(E59:E63)</f>
        <v>48077480.460000001</v>
      </c>
      <c r="F64" s="176">
        <f>(+D64-E64)/E64</f>
        <v>-3.1970768336723319E-2</v>
      </c>
      <c r="G64" s="249">
        <f>D64/C64</f>
        <v>0.1026773496020658</v>
      </c>
      <c r="H64" s="270">
        <f>1-G64</f>
        <v>0.89732265039793424</v>
      </c>
      <c r="I64" s="157"/>
    </row>
    <row r="65" spans="1:9" ht="15.75" thickTop="1" x14ac:dyDescent="0.2">
      <c r="A65" s="167"/>
      <c r="B65" s="179"/>
      <c r="C65" s="229"/>
      <c r="D65" s="229"/>
      <c r="E65" s="229"/>
      <c r="F65" s="180"/>
      <c r="G65" s="247"/>
      <c r="H65" s="248"/>
      <c r="I65" s="157"/>
    </row>
    <row r="66" spans="1:9" ht="15.75" x14ac:dyDescent="0.25">
      <c r="A66" s="164" t="s">
        <v>16</v>
      </c>
      <c r="B66" s="165">
        <f>DATE(23,7,1)</f>
        <v>8583</v>
      </c>
      <c r="C66" s="226">
        <v>160295640.59</v>
      </c>
      <c r="D66" s="226">
        <v>15534932.51</v>
      </c>
      <c r="E66" s="226">
        <v>15914314.48</v>
      </c>
      <c r="F66" s="166">
        <f>(+D66-E66)/E66</f>
        <v>-2.383903940548501E-2</v>
      </c>
      <c r="G66" s="241">
        <f>D66/C66</f>
        <v>9.691425451634611E-2</v>
      </c>
      <c r="H66" s="242">
        <f>1-G66</f>
        <v>0.90308574548365383</v>
      </c>
      <c r="I66" s="157"/>
    </row>
    <row r="67" spans="1:9" ht="15.75" x14ac:dyDescent="0.25">
      <c r="A67" s="164"/>
      <c r="B67" s="165">
        <f>DATE(23,8,1)</f>
        <v>8614</v>
      </c>
      <c r="C67" s="226">
        <v>149700012.46000001</v>
      </c>
      <c r="D67" s="226">
        <v>14573354.48</v>
      </c>
      <c r="E67" s="226">
        <v>14340389.18</v>
      </c>
      <c r="F67" s="166">
        <f>(+D67-E67)/E67</f>
        <v>1.6245395928648064E-2</v>
      </c>
      <c r="G67" s="241">
        <f>D67/C67</f>
        <v>9.7350389225211428E-2</v>
      </c>
      <c r="H67" s="242">
        <f>1-G67</f>
        <v>0.90264961077478856</v>
      </c>
      <c r="I67" s="157"/>
    </row>
    <row r="68" spans="1:9" ht="15.75" x14ac:dyDescent="0.25">
      <c r="A68" s="164"/>
      <c r="B68" s="165">
        <f>DATE(23,9,1)</f>
        <v>8645</v>
      </c>
      <c r="C68" s="226">
        <v>152315348.52000001</v>
      </c>
      <c r="D68" s="226">
        <v>14733622.32</v>
      </c>
      <c r="E68" s="226">
        <v>15068846.289999999</v>
      </c>
      <c r="F68" s="166">
        <f>(+D68-E68)/E68</f>
        <v>-2.2246160293138063E-2</v>
      </c>
      <c r="G68" s="241">
        <f>D68/C68</f>
        <v>9.6731041639348508E-2</v>
      </c>
      <c r="H68" s="242">
        <f>1-G68</f>
        <v>0.90326895836065146</v>
      </c>
      <c r="I68" s="157"/>
    </row>
    <row r="69" spans="1:9" ht="15.75" x14ac:dyDescent="0.25">
      <c r="A69" s="164"/>
      <c r="B69" s="165">
        <f>DATE(23,10,1)</f>
        <v>8675</v>
      </c>
      <c r="C69" s="226">
        <v>137731703.62</v>
      </c>
      <c r="D69" s="226">
        <v>13951699.710000001</v>
      </c>
      <c r="E69" s="226">
        <v>14552868.960000001</v>
      </c>
      <c r="F69" s="166">
        <f>(+D69-E69)/E69</f>
        <v>-4.1309328878887941E-2</v>
      </c>
      <c r="G69" s="241">
        <f>D69/C69</f>
        <v>0.10129621099069942</v>
      </c>
      <c r="H69" s="242">
        <f>1-G69</f>
        <v>0.89870378900930059</v>
      </c>
      <c r="I69" s="157"/>
    </row>
    <row r="70" spans="1:9" ht="15.75" customHeight="1" thickBot="1" x14ac:dyDescent="0.3">
      <c r="A70" s="164"/>
      <c r="B70" s="165"/>
      <c r="C70" s="226"/>
      <c r="D70" s="226"/>
      <c r="E70" s="226"/>
      <c r="F70" s="166"/>
      <c r="G70" s="241"/>
      <c r="H70" s="242"/>
      <c r="I70" s="157"/>
    </row>
    <row r="71" spans="1:9" ht="17.25" thickTop="1" thickBot="1" x14ac:dyDescent="0.3">
      <c r="A71" s="174" t="s">
        <v>14</v>
      </c>
      <c r="B71" s="181"/>
      <c r="C71" s="228">
        <f>SUM(C66:C70)</f>
        <v>600042705.19000006</v>
      </c>
      <c r="D71" s="228">
        <f>SUM(D66:D70)</f>
        <v>58793609.020000003</v>
      </c>
      <c r="E71" s="228">
        <f>SUM(E66:E70)</f>
        <v>59876418.910000004</v>
      </c>
      <c r="F71" s="176">
        <f>(+D71-E71)/E71</f>
        <v>-1.8084079003247801E-2</v>
      </c>
      <c r="G71" s="245">
        <f>D71/C71</f>
        <v>9.7982374440138131E-2</v>
      </c>
      <c r="H71" s="246">
        <f>1-G71</f>
        <v>0.90201762555986187</v>
      </c>
      <c r="I71" s="157"/>
    </row>
    <row r="72" spans="1:9" ht="15.75" thickTop="1" x14ac:dyDescent="0.2">
      <c r="A72" s="171"/>
      <c r="B72" s="172"/>
      <c r="C72" s="227"/>
      <c r="D72" s="227"/>
      <c r="E72" s="227"/>
      <c r="F72" s="173"/>
      <c r="G72" s="243"/>
      <c r="H72" s="244"/>
      <c r="I72" s="157"/>
    </row>
    <row r="73" spans="1:9" ht="15.75" x14ac:dyDescent="0.25">
      <c r="A73" s="164" t="s">
        <v>53</v>
      </c>
      <c r="B73" s="165">
        <f>DATE(23,7,1)</f>
        <v>8583</v>
      </c>
      <c r="C73" s="226">
        <v>214046132.72999999</v>
      </c>
      <c r="D73" s="226">
        <v>19538214.289999999</v>
      </c>
      <c r="E73" s="226">
        <v>19656587.449999999</v>
      </c>
      <c r="F73" s="166">
        <f>(+D73-E73)/E73</f>
        <v>-6.022060558634767E-3</v>
      </c>
      <c r="G73" s="241">
        <f>D73/C73</f>
        <v>9.1280389142305629E-2</v>
      </c>
      <c r="H73" s="242">
        <f>1-G73</f>
        <v>0.90871961085769437</v>
      </c>
      <c r="I73" s="157"/>
    </row>
    <row r="74" spans="1:9" ht="15.75" x14ac:dyDescent="0.25">
      <c r="A74" s="164"/>
      <c r="B74" s="165">
        <f>DATE(23,8,1)</f>
        <v>8614</v>
      </c>
      <c r="C74" s="226">
        <v>203623905.31</v>
      </c>
      <c r="D74" s="226">
        <v>18436883.300000001</v>
      </c>
      <c r="E74" s="226">
        <v>17776767.91</v>
      </c>
      <c r="F74" s="166">
        <f>(+D74-E74)/E74</f>
        <v>3.7133600063972518E-2</v>
      </c>
      <c r="G74" s="241">
        <f>D74/C74</f>
        <v>9.0543805610306019E-2</v>
      </c>
      <c r="H74" s="242">
        <f>1-G74</f>
        <v>0.90945619438969394</v>
      </c>
      <c r="I74" s="157"/>
    </row>
    <row r="75" spans="1:9" ht="15.75" x14ac:dyDescent="0.25">
      <c r="A75" s="164"/>
      <c r="B75" s="165">
        <f>DATE(23,9,1)</f>
        <v>8645</v>
      </c>
      <c r="C75" s="226">
        <v>197195020.69</v>
      </c>
      <c r="D75" s="226">
        <v>17898589.149999999</v>
      </c>
      <c r="E75" s="226">
        <v>17845168.100000001</v>
      </c>
      <c r="F75" s="166">
        <f>(+D75-E75)/E75</f>
        <v>2.9935862582318299E-3</v>
      </c>
      <c r="G75" s="241">
        <f>D75/C75</f>
        <v>9.0765928507583554E-2</v>
      </c>
      <c r="H75" s="242">
        <f>1-G75</f>
        <v>0.90923407149241642</v>
      </c>
      <c r="I75" s="157"/>
    </row>
    <row r="76" spans="1:9" ht="15.75" x14ac:dyDescent="0.25">
      <c r="A76" s="164"/>
      <c r="B76" s="165">
        <f>DATE(23,10,1)</f>
        <v>8675</v>
      </c>
      <c r="C76" s="226">
        <v>192922839.52000001</v>
      </c>
      <c r="D76" s="226">
        <v>17533849.43</v>
      </c>
      <c r="E76" s="226">
        <v>17788599.370000001</v>
      </c>
      <c r="F76" s="166">
        <f>(+D76-E76)/E76</f>
        <v>-1.4320966743993926E-2</v>
      </c>
      <c r="G76" s="241">
        <f>D76/C76</f>
        <v>9.0885296285421371E-2</v>
      </c>
      <c r="H76" s="242">
        <f>1-G76</f>
        <v>0.90911470371457859</v>
      </c>
      <c r="I76" s="157"/>
    </row>
    <row r="77" spans="1:9" ht="15.75" thickBot="1" x14ac:dyDescent="0.25">
      <c r="A77" s="167"/>
      <c r="B77" s="168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SUM(C73:C77)</f>
        <v>807787898.25</v>
      </c>
      <c r="D78" s="228">
        <f>SUM(D73:D77)</f>
        <v>73407536.170000002</v>
      </c>
      <c r="E78" s="228">
        <f>SUM(E73:E77)</f>
        <v>73067122.829999998</v>
      </c>
      <c r="F78" s="176">
        <f>(+D78-E78)/E78</f>
        <v>4.6589126109703094E-3</v>
      </c>
      <c r="G78" s="249">
        <f>D78/C78</f>
        <v>9.087476592436064E-2</v>
      </c>
      <c r="H78" s="270">
        <f>1-G78</f>
        <v>0.90912523407563939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54</v>
      </c>
      <c r="B80" s="165">
        <f>DATE(23,7,1)</f>
        <v>8583</v>
      </c>
      <c r="C80" s="226">
        <v>28158647.050000001</v>
      </c>
      <c r="D80" s="226">
        <v>3124210.48</v>
      </c>
      <c r="E80" s="226">
        <v>3220140.18</v>
      </c>
      <c r="F80" s="166">
        <f>(+D80-E80)/E80</f>
        <v>-2.9790535392158046E-2</v>
      </c>
      <c r="G80" s="241">
        <f>D80/C80</f>
        <v>0.11095030505025631</v>
      </c>
      <c r="H80" s="242">
        <f>1-G80</f>
        <v>0.88904969494974373</v>
      </c>
      <c r="I80" s="157"/>
    </row>
    <row r="81" spans="1:9" ht="15.75" x14ac:dyDescent="0.25">
      <c r="A81" s="164"/>
      <c r="B81" s="165">
        <f>DATE(23,8,1)</f>
        <v>8614</v>
      </c>
      <c r="C81" s="226">
        <v>24636212.309999999</v>
      </c>
      <c r="D81" s="226">
        <v>2824739.23</v>
      </c>
      <c r="E81" s="226">
        <v>2910388.06</v>
      </c>
      <c r="F81" s="166">
        <f>(+D81-E81)/E81</f>
        <v>-2.94286632003294E-2</v>
      </c>
      <c r="G81" s="241">
        <f>D81/C81</f>
        <v>0.11465801619404863</v>
      </c>
      <c r="H81" s="242">
        <f>1-G81</f>
        <v>0.88534198380595142</v>
      </c>
      <c r="I81" s="157"/>
    </row>
    <row r="82" spans="1:9" ht="15.75" x14ac:dyDescent="0.25">
      <c r="A82" s="164"/>
      <c r="B82" s="165">
        <f>DATE(23,9,1)</f>
        <v>8645</v>
      </c>
      <c r="C82" s="226">
        <v>25252043.170000002</v>
      </c>
      <c r="D82" s="226">
        <v>2831375.91</v>
      </c>
      <c r="E82" s="226">
        <v>3079109.35</v>
      </c>
      <c r="F82" s="166">
        <f>(+D82-E82)/E82</f>
        <v>-8.045620075168812E-2</v>
      </c>
      <c r="G82" s="241">
        <f>D82/C82</f>
        <v>0.11212462654759511</v>
      </c>
      <c r="H82" s="242">
        <f>1-G82</f>
        <v>0.88787537345240486</v>
      </c>
      <c r="I82" s="157"/>
    </row>
    <row r="83" spans="1:9" ht="15.75" x14ac:dyDescent="0.25">
      <c r="A83" s="164"/>
      <c r="B83" s="165">
        <f>DATE(23,10,1)</f>
        <v>8675</v>
      </c>
      <c r="C83" s="226">
        <v>25583626.219999999</v>
      </c>
      <c r="D83" s="226">
        <v>3046238.53</v>
      </c>
      <c r="E83" s="226">
        <v>3026739.97</v>
      </c>
      <c r="F83" s="166">
        <f>(+D83-E83)/E83</f>
        <v>6.4420994843503486E-3</v>
      </c>
      <c r="G83" s="241">
        <f>D83/C83</f>
        <v>0.11906984974704653</v>
      </c>
      <c r="H83" s="242">
        <f>1-G83</f>
        <v>0.88093015025295351</v>
      </c>
      <c r="I83" s="157"/>
    </row>
    <row r="84" spans="1:9" ht="15.75" thickBot="1" x14ac:dyDescent="0.25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7.25" thickTop="1" thickBot="1" x14ac:dyDescent="0.3">
      <c r="A85" s="182" t="s">
        <v>14</v>
      </c>
      <c r="B85" s="183"/>
      <c r="C85" s="230">
        <f>SUM(C80:C84)</f>
        <v>103630528.75</v>
      </c>
      <c r="D85" s="230">
        <f>SUM(D80:D84)</f>
        <v>11826564.15</v>
      </c>
      <c r="E85" s="230">
        <f>SUM(E80:E84)</f>
        <v>12236377.560000001</v>
      </c>
      <c r="F85" s="176">
        <f>(+D85-E85)/E85</f>
        <v>-3.3491399557631835E-2</v>
      </c>
      <c r="G85" s="249">
        <f>D85/C85</f>
        <v>0.11412239513445502</v>
      </c>
      <c r="H85" s="246">
        <f>1-G85</f>
        <v>0.88587760486554501</v>
      </c>
      <c r="I85" s="157"/>
    </row>
    <row r="86" spans="1:9" ht="15.75" thickTop="1" x14ac:dyDescent="0.2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 x14ac:dyDescent="0.25">
      <c r="A87" s="164" t="s">
        <v>37</v>
      </c>
      <c r="B87" s="165">
        <f>DATE(23,7,1)</f>
        <v>8583</v>
      </c>
      <c r="C87" s="226">
        <v>221709382.90000001</v>
      </c>
      <c r="D87" s="226">
        <v>20800777.710000001</v>
      </c>
      <c r="E87" s="226">
        <v>21735779.219999999</v>
      </c>
      <c r="F87" s="166">
        <f>(+D87-E87)/E87</f>
        <v>-4.3016700737356771E-2</v>
      </c>
      <c r="G87" s="241">
        <f>D87/C87</f>
        <v>9.3820015363905468E-2</v>
      </c>
      <c r="H87" s="242">
        <f>1-G87</f>
        <v>0.9061799846360945</v>
      </c>
      <c r="I87" s="157"/>
    </row>
    <row r="88" spans="1:9" ht="15.75" x14ac:dyDescent="0.25">
      <c r="A88" s="164"/>
      <c r="B88" s="165">
        <f>DATE(23,8,1)</f>
        <v>8614</v>
      </c>
      <c r="C88" s="226">
        <v>209669300.15000001</v>
      </c>
      <c r="D88" s="226">
        <v>20038616.34</v>
      </c>
      <c r="E88" s="226">
        <v>20453352.670000002</v>
      </c>
      <c r="F88" s="166">
        <f>(+D88-E88)/E88</f>
        <v>-2.0277180797274245E-2</v>
      </c>
      <c r="G88" s="241">
        <f>D88/C88</f>
        <v>9.5572486413910501E-2</v>
      </c>
      <c r="H88" s="242">
        <f>1-G88</f>
        <v>0.90442751358608953</v>
      </c>
      <c r="I88" s="157"/>
    </row>
    <row r="89" spans="1:9" ht="15.75" x14ac:dyDescent="0.25">
      <c r="A89" s="164"/>
      <c r="B89" s="165">
        <f>DATE(23,9,1)</f>
        <v>8645</v>
      </c>
      <c r="C89" s="226">
        <v>204140702.06999999</v>
      </c>
      <c r="D89" s="226">
        <v>19545369.489999998</v>
      </c>
      <c r="E89" s="226">
        <v>19785542.02</v>
      </c>
      <c r="F89" s="166">
        <f>(+D89-E89)/E89</f>
        <v>-1.2138789513940301E-2</v>
      </c>
      <c r="G89" s="241">
        <f>D89/C89</f>
        <v>9.574459817081396E-2</v>
      </c>
      <c r="H89" s="242">
        <f>1-G89</f>
        <v>0.90425540182918607</v>
      </c>
      <c r="I89" s="157"/>
    </row>
    <row r="90" spans="1:9" ht="15.75" x14ac:dyDescent="0.25">
      <c r="A90" s="164"/>
      <c r="B90" s="165">
        <f>DATE(23,10,1)</f>
        <v>8675</v>
      </c>
      <c r="C90" s="226">
        <v>199447600.25999999</v>
      </c>
      <c r="D90" s="226">
        <v>18492281.440000001</v>
      </c>
      <c r="E90" s="226">
        <v>19416414.079999998</v>
      </c>
      <c r="F90" s="166">
        <f>(+D90-E90)/E90</f>
        <v>-4.7595433234600491E-2</v>
      </c>
      <c r="G90" s="241">
        <f>D90/C90</f>
        <v>9.2717492794565856E-2</v>
      </c>
      <c r="H90" s="242">
        <f>1-G90</f>
        <v>0.90728250720543413</v>
      </c>
      <c r="I90" s="157"/>
    </row>
    <row r="91" spans="1:9" ht="15.75" thickBot="1" x14ac:dyDescent="0.25">
      <c r="A91" s="167"/>
      <c r="B91" s="168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SUM(C87:C91)</f>
        <v>834966985.38</v>
      </c>
      <c r="D92" s="228">
        <f>SUM(D87:D91)</f>
        <v>78877044.979999989</v>
      </c>
      <c r="E92" s="228">
        <f>SUM(E87:E91)</f>
        <v>81391087.989999995</v>
      </c>
      <c r="F92" s="176">
        <f>(+D92-E92)/E92</f>
        <v>-3.0888431056590494E-2</v>
      </c>
      <c r="G92" s="245">
        <f>D92/C92</f>
        <v>9.4467262012883579E-2</v>
      </c>
      <c r="H92" s="246">
        <f>1-G92</f>
        <v>0.90553273798711642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57</v>
      </c>
      <c r="B94" s="165">
        <f>DATE(23,7,1)</f>
        <v>8583</v>
      </c>
      <c r="C94" s="226">
        <v>33435275.829999998</v>
      </c>
      <c r="D94" s="226">
        <v>3743935.17</v>
      </c>
      <c r="E94" s="226">
        <v>3941098.7</v>
      </c>
      <c r="F94" s="166">
        <f>(+D94-E94)/E94</f>
        <v>-5.0027554498952347E-2</v>
      </c>
      <c r="G94" s="241">
        <f>D94/C94</f>
        <v>0.11197560292416467</v>
      </c>
      <c r="H94" s="242">
        <f>1-G94</f>
        <v>0.88802439707583536</v>
      </c>
      <c r="I94" s="157"/>
    </row>
    <row r="95" spans="1:9" ht="15.75" x14ac:dyDescent="0.25">
      <c r="A95" s="164"/>
      <c r="B95" s="165">
        <f>DATE(23,8,1)</f>
        <v>8614</v>
      </c>
      <c r="C95" s="226">
        <v>32794629.890000001</v>
      </c>
      <c r="D95" s="226">
        <v>3650833.47</v>
      </c>
      <c r="E95" s="226">
        <v>3508347.49</v>
      </c>
      <c r="F95" s="166">
        <f>(+D95-E95)/E95</f>
        <v>4.0613417116216154E-2</v>
      </c>
      <c r="G95" s="241">
        <f>D95/C95</f>
        <v>0.11132412478035746</v>
      </c>
      <c r="H95" s="242">
        <f>1-G95</f>
        <v>0.88867587521964253</v>
      </c>
      <c r="I95" s="157"/>
    </row>
    <row r="96" spans="1:9" ht="15.75" x14ac:dyDescent="0.25">
      <c r="A96" s="164"/>
      <c r="B96" s="165">
        <f>DATE(23,9,1)</f>
        <v>8645</v>
      </c>
      <c r="C96" s="226">
        <v>29987636.98</v>
      </c>
      <c r="D96" s="226">
        <v>3571965.85</v>
      </c>
      <c r="E96" s="226">
        <v>3766686.61</v>
      </c>
      <c r="F96" s="166">
        <f>(+D96-E96)/E96</f>
        <v>-5.16955032794724E-2</v>
      </c>
      <c r="G96" s="241">
        <f>D96/C96</f>
        <v>0.1191146155458095</v>
      </c>
      <c r="H96" s="242">
        <f>1-G96</f>
        <v>0.88088538445419051</v>
      </c>
      <c r="I96" s="157"/>
    </row>
    <row r="97" spans="1:9" ht="15.75" x14ac:dyDescent="0.25">
      <c r="A97" s="164"/>
      <c r="B97" s="165">
        <f>DATE(23,10,1)</f>
        <v>8675</v>
      </c>
      <c r="C97" s="226">
        <v>30636225.07</v>
      </c>
      <c r="D97" s="226">
        <v>3454191.96</v>
      </c>
      <c r="E97" s="226">
        <v>3644045.37</v>
      </c>
      <c r="F97" s="166">
        <f>(+D97-E97)/E97</f>
        <v>-5.209962849611835E-2</v>
      </c>
      <c r="G97" s="241">
        <f>D97/C97</f>
        <v>0.11274861547424975</v>
      </c>
      <c r="H97" s="242">
        <f>1-G97</f>
        <v>0.88725138452575025</v>
      </c>
      <c r="I97" s="157"/>
    </row>
    <row r="98" spans="1:9" ht="15.75" thickBot="1" x14ac:dyDescent="0.25">
      <c r="A98" s="167"/>
      <c r="B98" s="168"/>
      <c r="C98" s="226"/>
      <c r="D98" s="226"/>
      <c r="E98" s="226"/>
      <c r="F98" s="166"/>
      <c r="G98" s="241"/>
      <c r="H98" s="242"/>
      <c r="I98" s="157"/>
    </row>
    <row r="99" spans="1:9" ht="17.25" thickTop="1" thickBot="1" x14ac:dyDescent="0.3">
      <c r="A99" s="169" t="s">
        <v>14</v>
      </c>
      <c r="B99" s="155"/>
      <c r="C99" s="223">
        <f>SUM(C94:C98)</f>
        <v>126853767.77000001</v>
      </c>
      <c r="D99" s="223">
        <f>SUM(D94:D98)</f>
        <v>14420926.449999999</v>
      </c>
      <c r="E99" s="223">
        <f>SUM(E94:E98)</f>
        <v>14860178.170000002</v>
      </c>
      <c r="F99" s="176">
        <f>(+D99-E99)/E99</f>
        <v>-2.9558980718466209E-2</v>
      </c>
      <c r="G99" s="245">
        <f>D99/C99</f>
        <v>0.11368149881166117</v>
      </c>
      <c r="H99" s="246">
        <f>1-G99</f>
        <v>0.88631850118833877</v>
      </c>
      <c r="I99" s="157"/>
    </row>
    <row r="100" spans="1:9" ht="16.5" thickTop="1" thickBot="1" x14ac:dyDescent="0.25">
      <c r="A100" s="171"/>
      <c r="B100" s="172"/>
      <c r="C100" s="227"/>
      <c r="D100" s="227"/>
      <c r="E100" s="227"/>
      <c r="F100" s="173"/>
      <c r="G100" s="243"/>
      <c r="H100" s="244"/>
      <c r="I100" s="157"/>
    </row>
    <row r="101" spans="1:9" ht="17.25" thickTop="1" thickBot="1" x14ac:dyDescent="0.3">
      <c r="A101" s="184" t="s">
        <v>38</v>
      </c>
      <c r="B101" s="155"/>
      <c r="C101" s="223">
        <f>C99+C92+C71+C57+C43+C29+C15+C36+C85+C22+C64+C78+C50</f>
        <v>5614103814.5900002</v>
      </c>
      <c r="D101" s="223">
        <f>D99+D92+D71+D57+D43+D29+D15+D36+D85+D22+D64+D78+D50</f>
        <v>545401223.55999994</v>
      </c>
      <c r="E101" s="223">
        <f>E99+E92+E71+E57+E43+E29+E15+E36+E85+E22+E64+E78+E50</f>
        <v>549576449.31999993</v>
      </c>
      <c r="F101" s="170">
        <f>(+D101-E101)/E101</f>
        <v>-7.5971700846462157E-3</v>
      </c>
      <c r="G101" s="236">
        <f>D101/C101</f>
        <v>9.7148403658408433E-2</v>
      </c>
      <c r="H101" s="237">
        <f>1-G101</f>
        <v>0.90285159634159151</v>
      </c>
      <c r="I101" s="157"/>
    </row>
    <row r="102" spans="1:9" ht="17.25" thickTop="1" thickBot="1" x14ac:dyDescent="0.3">
      <c r="A102" s="184"/>
      <c r="B102" s="155"/>
      <c r="C102" s="223"/>
      <c r="D102" s="223"/>
      <c r="E102" s="223"/>
      <c r="F102" s="170"/>
      <c r="G102" s="236"/>
      <c r="H102" s="237"/>
      <c r="I102" s="157"/>
    </row>
    <row r="103" spans="1:9" ht="17.25" thickTop="1" thickBot="1" x14ac:dyDescent="0.3">
      <c r="A103" s="184" t="s">
        <v>39</v>
      </c>
      <c r="B103" s="155"/>
      <c r="C103" s="223">
        <f>+C13+C20+C27+C34+C41+C48+C55+C69+C62+C76+C83+C90+C97</f>
        <v>1328903105.24</v>
      </c>
      <c r="D103" s="223">
        <f>+D13+D20+D27+D34+D41+D48+D55+D69+D62+D76+D83+D90+D97</f>
        <v>129220462.16000001</v>
      </c>
      <c r="E103" s="223">
        <f>+E13+E20+E27+E34+E41+E48+E55+E69+E62+E76+E83+E90+E97</f>
        <v>132962127.07000001</v>
      </c>
      <c r="F103" s="170">
        <f>(+D103-E103)/E103</f>
        <v>-2.8140832223826698E-2</v>
      </c>
      <c r="G103" s="236">
        <f>D103/C103</f>
        <v>9.7238437964717359E-2</v>
      </c>
      <c r="H103" s="246">
        <f>1-G103</f>
        <v>0.90276156203528268</v>
      </c>
      <c r="I103" s="157"/>
    </row>
    <row r="104" spans="1:9" ht="16.5" thickTop="1" x14ac:dyDescent="0.25">
      <c r="A104" s="185"/>
      <c r="B104" s="186"/>
      <c r="C104" s="231"/>
      <c r="D104" s="231"/>
      <c r="E104" s="231"/>
      <c r="F104" s="187"/>
      <c r="G104" s="250"/>
      <c r="H104" s="250"/>
      <c r="I104" s="151"/>
    </row>
    <row r="105" spans="1:9" ht="16.5" customHeight="1" x14ac:dyDescent="0.3">
      <c r="A105" s="188" t="s">
        <v>49</v>
      </c>
      <c r="B105" s="189"/>
      <c r="C105" s="232"/>
      <c r="D105" s="232"/>
      <c r="E105" s="232"/>
      <c r="F105" s="190"/>
      <c r="G105" s="251"/>
      <c r="H105" s="251"/>
      <c r="I105" s="151"/>
    </row>
    <row r="106" spans="1:9" ht="15.75" x14ac:dyDescent="0.25">
      <c r="A106" s="191"/>
      <c r="B106" s="189"/>
      <c r="C106" s="232"/>
      <c r="D106" s="232"/>
      <c r="E106" s="232"/>
      <c r="F106" s="190"/>
      <c r="G106" s="257"/>
      <c r="H106" s="257"/>
      <c r="I106" s="151"/>
    </row>
    <row r="107" spans="1:9" ht="15.75" x14ac:dyDescent="0.25">
      <c r="A107" s="72"/>
      <c r="I107" s="151"/>
    </row>
  </sheetData>
  <phoneticPr fontId="0" type="noConversion"/>
  <printOptions horizontalCentered="1"/>
  <pageMargins left="0.75" right="0.25" top="0.31940000000000002" bottom="0.2" header="0.5" footer="0.5"/>
  <pageSetup scale="55" orientation="landscape" r:id="rId1"/>
  <headerFooter alignWithMargins="0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2023-11-09T13:34:25Z</cp:lastPrinted>
  <dcterms:created xsi:type="dcterms:W3CDTF">2003-09-09T14:41:43Z</dcterms:created>
  <dcterms:modified xsi:type="dcterms:W3CDTF">2023-11-09T19:52:49Z</dcterms:modified>
</cp:coreProperties>
</file>