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June 2024\Optimized\"/>
    </mc:Choice>
  </mc:AlternateContent>
  <bookViews>
    <workbookView xWindow="0" yWindow="0" windowWidth="28800" windowHeight="1221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STATS'!$A$1:$M$208</definedName>
    <definedName name="_xlnm.Print_Area" localSheetId="4">'SLOT STATS'!$A$1:$I$209</definedName>
    <definedName name="_xlnm.Print_Area" localSheetId="2">'TABLE STATS'!$A$1:$H$208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E207" i="4" l="1"/>
  <c r="D207" i="4"/>
  <c r="C207" i="4"/>
  <c r="F201" i="4"/>
  <c r="G201" i="4"/>
  <c r="H201" i="4"/>
  <c r="F186" i="4"/>
  <c r="G186" i="4"/>
  <c r="H186" i="4"/>
  <c r="F171" i="4"/>
  <c r="G171" i="4"/>
  <c r="H171" i="4"/>
  <c r="F156" i="4"/>
  <c r="G156" i="4"/>
  <c r="H156" i="4"/>
  <c r="F141" i="4"/>
  <c r="G141" i="4"/>
  <c r="H141" i="4"/>
  <c r="F126" i="4"/>
  <c r="G126" i="4"/>
  <c r="H126" i="4"/>
  <c r="F111" i="4"/>
  <c r="G111" i="4"/>
  <c r="H111" i="4"/>
  <c r="F96" i="4"/>
  <c r="G96" i="4"/>
  <c r="H96" i="4"/>
  <c r="F81" i="4"/>
  <c r="G81" i="4"/>
  <c r="H81" i="4"/>
  <c r="F66" i="4"/>
  <c r="G66" i="4"/>
  <c r="H66" i="4"/>
  <c r="F51" i="4"/>
  <c r="G51" i="4"/>
  <c r="H51" i="4"/>
  <c r="F36" i="4"/>
  <c r="G36" i="4"/>
  <c r="H36" i="4"/>
  <c r="F21" i="4"/>
  <c r="G21" i="4"/>
  <c r="H21" i="4"/>
  <c r="B201" i="4"/>
  <c r="B186" i="4"/>
  <c r="B171" i="4"/>
  <c r="B156" i="4"/>
  <c r="B141" i="4"/>
  <c r="B126" i="4"/>
  <c r="B111" i="4"/>
  <c r="B96" i="4"/>
  <c r="B81" i="4"/>
  <c r="B66" i="4"/>
  <c r="B51" i="4"/>
  <c r="B36" i="4"/>
  <c r="B21" i="4"/>
  <c r="B20" i="4"/>
  <c r="E207" i="5"/>
  <c r="D207" i="5"/>
  <c r="G207" i="5"/>
  <c r="H207" i="5"/>
  <c r="C207" i="5"/>
  <c r="G156" i="5"/>
  <c r="H156" i="5"/>
  <c r="F186" i="5"/>
  <c r="B201" i="5"/>
  <c r="B186" i="5"/>
  <c r="B171" i="5"/>
  <c r="B156" i="5"/>
  <c r="B141" i="5"/>
  <c r="B126" i="5"/>
  <c r="B111" i="5"/>
  <c r="B96" i="5"/>
  <c r="B81" i="5"/>
  <c r="B66" i="5"/>
  <c r="B51" i="5"/>
  <c r="B36" i="5"/>
  <c r="B21" i="5"/>
  <c r="E206" i="3"/>
  <c r="D206" i="3"/>
  <c r="C206" i="3"/>
  <c r="F200" i="3"/>
  <c r="G200" i="3"/>
  <c r="F185" i="3"/>
  <c r="G185" i="3"/>
  <c r="F170" i="3"/>
  <c r="F155" i="3"/>
  <c r="G155" i="3"/>
  <c r="F140" i="3"/>
  <c r="G140" i="3"/>
  <c r="F125" i="3"/>
  <c r="G125" i="3"/>
  <c r="F110" i="3"/>
  <c r="G110" i="3"/>
  <c r="F95" i="3"/>
  <c r="G95" i="3"/>
  <c r="F80" i="3"/>
  <c r="G80" i="3"/>
  <c r="F65" i="3"/>
  <c r="G65" i="3"/>
  <c r="F50" i="3"/>
  <c r="G50" i="3"/>
  <c r="F35" i="3"/>
  <c r="G35" i="3"/>
  <c r="F20" i="3"/>
  <c r="G20" i="3"/>
  <c r="B200" i="3"/>
  <c r="B185" i="3"/>
  <c r="B170" i="3"/>
  <c r="B155" i="3"/>
  <c r="B140" i="3"/>
  <c r="B125" i="3"/>
  <c r="B110" i="3"/>
  <c r="B95" i="3"/>
  <c r="B80" i="3"/>
  <c r="B65" i="3"/>
  <c r="B50" i="3"/>
  <c r="B35" i="3"/>
  <c r="B20" i="3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G115" i="1"/>
  <c r="F49" i="1"/>
  <c r="F107" i="1"/>
  <c r="F134" i="1"/>
  <c r="F136" i="1"/>
  <c r="F184" i="1"/>
  <c r="L206" i="1"/>
  <c r="K206" i="1"/>
  <c r="G206" i="1"/>
  <c r="F206" i="1"/>
  <c r="D206" i="1"/>
  <c r="C206" i="1"/>
  <c r="H200" i="1"/>
  <c r="M200" i="1"/>
  <c r="I200" i="1"/>
  <c r="J200" i="1"/>
  <c r="G200" i="1"/>
  <c r="F200" i="1"/>
  <c r="E200" i="1"/>
  <c r="H185" i="1"/>
  <c r="M185" i="1"/>
  <c r="I185" i="1"/>
  <c r="J185" i="1"/>
  <c r="G185" i="1"/>
  <c r="F185" i="1"/>
  <c r="E185" i="1"/>
  <c r="H170" i="1"/>
  <c r="M170" i="1"/>
  <c r="I170" i="1"/>
  <c r="J170" i="1"/>
  <c r="G170" i="1"/>
  <c r="F170" i="1"/>
  <c r="E170" i="1"/>
  <c r="H155" i="1"/>
  <c r="M155" i="1"/>
  <c r="I155" i="1"/>
  <c r="J155" i="1"/>
  <c r="G155" i="1"/>
  <c r="F155" i="1"/>
  <c r="E155" i="1"/>
  <c r="H140" i="1"/>
  <c r="M140" i="1"/>
  <c r="I140" i="1"/>
  <c r="J140" i="1"/>
  <c r="G140" i="1"/>
  <c r="F140" i="1"/>
  <c r="E140" i="1"/>
  <c r="H125" i="1"/>
  <c r="M125" i="1"/>
  <c r="I125" i="1"/>
  <c r="J125" i="1"/>
  <c r="G125" i="1"/>
  <c r="F125" i="1"/>
  <c r="E125" i="1"/>
  <c r="H110" i="1"/>
  <c r="M110" i="1"/>
  <c r="I110" i="1"/>
  <c r="J110" i="1"/>
  <c r="G110" i="1"/>
  <c r="F110" i="1"/>
  <c r="E110" i="1"/>
  <c r="H95" i="1"/>
  <c r="M95" i="1"/>
  <c r="I95" i="1"/>
  <c r="J95" i="1"/>
  <c r="G95" i="1"/>
  <c r="F95" i="1"/>
  <c r="E95" i="1"/>
  <c r="H80" i="1"/>
  <c r="M80" i="1"/>
  <c r="I80" i="1"/>
  <c r="J80" i="1"/>
  <c r="G80" i="1"/>
  <c r="F80" i="1"/>
  <c r="E80" i="1"/>
  <c r="H65" i="1"/>
  <c r="M65" i="1"/>
  <c r="I65" i="1"/>
  <c r="J65" i="1"/>
  <c r="G65" i="1"/>
  <c r="F65" i="1"/>
  <c r="E65" i="1"/>
  <c r="H50" i="1"/>
  <c r="M50" i="1"/>
  <c r="I50" i="1"/>
  <c r="J50" i="1"/>
  <c r="G50" i="1"/>
  <c r="F50" i="1"/>
  <c r="E50" i="1"/>
  <c r="H35" i="1"/>
  <c r="M35" i="1"/>
  <c r="I35" i="1"/>
  <c r="J35" i="1"/>
  <c r="G35" i="1"/>
  <c r="F35" i="1"/>
  <c r="E35" i="1"/>
  <c r="H20" i="1"/>
  <c r="M20" i="1"/>
  <c r="I20" i="1"/>
  <c r="J20" i="1"/>
  <c r="G20" i="1"/>
  <c r="F20" i="1"/>
  <c r="E20" i="1"/>
  <c r="B200" i="1"/>
  <c r="B185" i="1"/>
  <c r="B170" i="1"/>
  <c r="B155" i="1"/>
  <c r="B140" i="1"/>
  <c r="B125" i="1"/>
  <c r="B110" i="1"/>
  <c r="B95" i="1"/>
  <c r="B80" i="1"/>
  <c r="B65" i="1"/>
  <c r="B50" i="1"/>
  <c r="B35" i="1"/>
  <c r="B20" i="1"/>
  <c r="B19" i="1"/>
  <c r="F200" i="4"/>
  <c r="G200" i="4"/>
  <c r="H200" i="4"/>
  <c r="F185" i="4"/>
  <c r="G185" i="4"/>
  <c r="H185" i="4"/>
  <c r="F170" i="4"/>
  <c r="G170" i="4"/>
  <c r="H170" i="4"/>
  <c r="F155" i="4"/>
  <c r="G155" i="4"/>
  <c r="H155" i="4"/>
  <c r="F140" i="4"/>
  <c r="G140" i="4"/>
  <c r="H140" i="4"/>
  <c r="F125" i="4"/>
  <c r="G125" i="4"/>
  <c r="H125" i="4"/>
  <c r="F110" i="4"/>
  <c r="G110" i="4"/>
  <c r="H110" i="4"/>
  <c r="F95" i="4"/>
  <c r="G95" i="4"/>
  <c r="H95" i="4"/>
  <c r="F80" i="4"/>
  <c r="G80" i="4"/>
  <c r="H80" i="4"/>
  <c r="F65" i="4"/>
  <c r="G65" i="4"/>
  <c r="H65" i="4"/>
  <c r="F50" i="4"/>
  <c r="G50" i="4"/>
  <c r="H50" i="4"/>
  <c r="F35" i="4"/>
  <c r="G35" i="4"/>
  <c r="H35" i="4"/>
  <c r="F20" i="4"/>
  <c r="G20" i="4"/>
  <c r="H20" i="4"/>
  <c r="B200" i="4"/>
  <c r="B185" i="4"/>
  <c r="B170" i="4"/>
  <c r="B155" i="4"/>
  <c r="B140" i="4"/>
  <c r="B125" i="4"/>
  <c r="B110" i="4"/>
  <c r="B95" i="4"/>
  <c r="B80" i="4"/>
  <c r="B65" i="4"/>
  <c r="B50" i="4"/>
  <c r="B35" i="4"/>
  <c r="G155" i="5"/>
  <c r="H155" i="5"/>
  <c r="F185" i="5"/>
  <c r="B200" i="5"/>
  <c r="B185" i="5"/>
  <c r="B170" i="5"/>
  <c r="B155" i="5"/>
  <c r="B140" i="5"/>
  <c r="B125" i="5"/>
  <c r="B110" i="5"/>
  <c r="B95" i="5"/>
  <c r="B80" i="5"/>
  <c r="B65" i="5"/>
  <c r="B50" i="5"/>
  <c r="B35" i="5"/>
  <c r="B20" i="5"/>
  <c r="F206" i="3"/>
  <c r="F199" i="3"/>
  <c r="G199" i="3"/>
  <c r="F184" i="3"/>
  <c r="G184" i="3"/>
  <c r="F169" i="3"/>
  <c r="F154" i="3"/>
  <c r="G154" i="3"/>
  <c r="F139" i="3"/>
  <c r="G139" i="3"/>
  <c r="F124" i="3"/>
  <c r="G124" i="3"/>
  <c r="F109" i="3"/>
  <c r="G109" i="3"/>
  <c r="F94" i="3"/>
  <c r="G94" i="3"/>
  <c r="F79" i="3"/>
  <c r="G79" i="3"/>
  <c r="F64" i="3"/>
  <c r="G64" i="3"/>
  <c r="F49" i="3"/>
  <c r="G49" i="3"/>
  <c r="F34" i="3"/>
  <c r="G34" i="3"/>
  <c r="F19" i="3"/>
  <c r="G19" i="3"/>
  <c r="B199" i="3"/>
  <c r="B184" i="3"/>
  <c r="B169" i="3"/>
  <c r="B154" i="3"/>
  <c r="B139" i="3"/>
  <c r="B124" i="3"/>
  <c r="B109" i="3"/>
  <c r="B94" i="3"/>
  <c r="B79" i="3"/>
  <c r="B64" i="3"/>
  <c r="B49" i="3"/>
  <c r="B34" i="3"/>
  <c r="B19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41" i="2"/>
  <c r="A20" i="2"/>
  <c r="G34" i="1"/>
  <c r="M199" i="1"/>
  <c r="I199" i="1"/>
  <c r="G199" i="1"/>
  <c r="F199" i="1"/>
  <c r="J199" i="1"/>
  <c r="E199" i="1"/>
  <c r="M184" i="1"/>
  <c r="I184" i="1"/>
  <c r="G184" i="1"/>
  <c r="J184" i="1"/>
  <c r="E184" i="1"/>
  <c r="M169" i="1"/>
  <c r="I169" i="1"/>
  <c r="G169" i="1"/>
  <c r="F169" i="1"/>
  <c r="J169" i="1"/>
  <c r="E169" i="1"/>
  <c r="M154" i="1"/>
  <c r="I154" i="1"/>
  <c r="G154" i="1"/>
  <c r="F154" i="1"/>
  <c r="J154" i="1"/>
  <c r="E154" i="1"/>
  <c r="M139" i="1"/>
  <c r="I139" i="1"/>
  <c r="G139" i="1"/>
  <c r="F139" i="1"/>
  <c r="E139" i="1"/>
  <c r="M124" i="1"/>
  <c r="I124" i="1"/>
  <c r="G124" i="1"/>
  <c r="F124" i="1"/>
  <c r="E124" i="1"/>
  <c r="F108" i="1"/>
  <c r="J108" i="1"/>
  <c r="M109" i="1"/>
  <c r="I109" i="1"/>
  <c r="G109" i="1"/>
  <c r="F109" i="1"/>
  <c r="E109" i="1"/>
  <c r="M94" i="1"/>
  <c r="I94" i="1"/>
  <c r="G94" i="1"/>
  <c r="F94" i="1"/>
  <c r="E94" i="1"/>
  <c r="F76" i="1"/>
  <c r="J76" i="1"/>
  <c r="M79" i="1"/>
  <c r="I79" i="1"/>
  <c r="G79" i="1"/>
  <c r="F79" i="1"/>
  <c r="E79" i="1"/>
  <c r="M64" i="1"/>
  <c r="I64" i="1"/>
  <c r="G64" i="1"/>
  <c r="F64" i="1"/>
  <c r="E64" i="1"/>
  <c r="F46" i="1"/>
  <c r="F48" i="1"/>
  <c r="J48" i="1"/>
  <c r="M49" i="1"/>
  <c r="I49" i="1"/>
  <c r="G49" i="1"/>
  <c r="E49" i="1"/>
  <c r="M34" i="1"/>
  <c r="I34" i="1"/>
  <c r="F34" i="1"/>
  <c r="J34" i="1"/>
  <c r="E34" i="1"/>
  <c r="F14" i="1"/>
  <c r="J14" i="1"/>
  <c r="F15" i="1"/>
  <c r="J15" i="1"/>
  <c r="M19" i="1"/>
  <c r="I19" i="1"/>
  <c r="G19" i="1"/>
  <c r="F19" i="1"/>
  <c r="E19" i="1"/>
  <c r="B199" i="1"/>
  <c r="B184" i="1"/>
  <c r="B169" i="1"/>
  <c r="B154" i="1"/>
  <c r="B139" i="1"/>
  <c r="B124" i="1"/>
  <c r="B109" i="1"/>
  <c r="B94" i="1"/>
  <c r="B79" i="1"/>
  <c r="B64" i="1"/>
  <c r="B49" i="1"/>
  <c r="B34" i="1"/>
  <c r="F199" i="4"/>
  <c r="G199" i="4"/>
  <c r="H199" i="4"/>
  <c r="F184" i="4"/>
  <c r="G184" i="4"/>
  <c r="H184" i="4"/>
  <c r="F169" i="4"/>
  <c r="G169" i="4"/>
  <c r="H169" i="4"/>
  <c r="F154" i="4"/>
  <c r="G154" i="4"/>
  <c r="H154" i="4"/>
  <c r="F139" i="4"/>
  <c r="G139" i="4"/>
  <c r="H139" i="4"/>
  <c r="F124" i="4"/>
  <c r="G124" i="4"/>
  <c r="H124" i="4"/>
  <c r="F109" i="4"/>
  <c r="G109" i="4"/>
  <c r="H109" i="4"/>
  <c r="F94" i="4"/>
  <c r="G94" i="4"/>
  <c r="H94" i="4"/>
  <c r="F79" i="4"/>
  <c r="G79" i="4"/>
  <c r="H79" i="4"/>
  <c r="F64" i="4"/>
  <c r="G64" i="4"/>
  <c r="H64" i="4"/>
  <c r="F49" i="4"/>
  <c r="G49" i="4"/>
  <c r="H49" i="4"/>
  <c r="F34" i="4"/>
  <c r="G34" i="4"/>
  <c r="H34" i="4"/>
  <c r="F19" i="4"/>
  <c r="G19" i="4"/>
  <c r="H19" i="4"/>
  <c r="B199" i="4"/>
  <c r="B184" i="4"/>
  <c r="B169" i="4"/>
  <c r="B154" i="4"/>
  <c r="B139" i="4"/>
  <c r="B124" i="4"/>
  <c r="B109" i="4"/>
  <c r="B94" i="4"/>
  <c r="B79" i="4"/>
  <c r="B64" i="4"/>
  <c r="B49" i="4"/>
  <c r="B34" i="4"/>
  <c r="B19" i="4"/>
  <c r="G154" i="5"/>
  <c r="H154" i="5"/>
  <c r="F184" i="5"/>
  <c r="B199" i="5"/>
  <c r="B184" i="5"/>
  <c r="B169" i="5"/>
  <c r="B154" i="5"/>
  <c r="B139" i="5"/>
  <c r="B124" i="5"/>
  <c r="B109" i="5"/>
  <c r="B94" i="5"/>
  <c r="B79" i="5"/>
  <c r="B64" i="5"/>
  <c r="B49" i="5"/>
  <c r="B34" i="5"/>
  <c r="B19" i="5"/>
  <c r="F198" i="3"/>
  <c r="G198" i="3"/>
  <c r="F183" i="3"/>
  <c r="G183" i="3"/>
  <c r="F168" i="3"/>
  <c r="F153" i="3"/>
  <c r="G153" i="3"/>
  <c r="F138" i="3"/>
  <c r="G138" i="3"/>
  <c r="F123" i="3"/>
  <c r="G123" i="3"/>
  <c r="F108" i="3"/>
  <c r="G108" i="3"/>
  <c r="F93" i="3"/>
  <c r="G93" i="3"/>
  <c r="F78" i="3"/>
  <c r="G78" i="3"/>
  <c r="F63" i="3"/>
  <c r="G63" i="3"/>
  <c r="F48" i="3"/>
  <c r="G48" i="3"/>
  <c r="F33" i="3"/>
  <c r="G33" i="3"/>
  <c r="F18" i="3"/>
  <c r="G18" i="3"/>
  <c r="B198" i="3"/>
  <c r="B183" i="3"/>
  <c r="B168" i="3"/>
  <c r="B153" i="3"/>
  <c r="B138" i="3"/>
  <c r="B123" i="3"/>
  <c r="B108" i="3"/>
  <c r="B93" i="3"/>
  <c r="B78" i="3"/>
  <c r="B63" i="3"/>
  <c r="B48" i="3"/>
  <c r="B33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40" i="2"/>
  <c r="A19" i="2"/>
  <c r="F43" i="1"/>
  <c r="J43" i="1"/>
  <c r="F74" i="1"/>
  <c r="J74" i="1"/>
  <c r="F92" i="1"/>
  <c r="H92" i="1"/>
  <c r="F120" i="1"/>
  <c r="F122" i="1"/>
  <c r="J122" i="1"/>
  <c r="F177" i="1"/>
  <c r="J177" i="1"/>
  <c r="F179" i="1"/>
  <c r="J179" i="1"/>
  <c r="F182" i="1"/>
  <c r="M198" i="1"/>
  <c r="I198" i="1"/>
  <c r="G198" i="1"/>
  <c r="H198" i="1"/>
  <c r="F198" i="1"/>
  <c r="J198" i="1"/>
  <c r="E198" i="1"/>
  <c r="M183" i="1"/>
  <c r="I183" i="1"/>
  <c r="G183" i="1"/>
  <c r="F183" i="1"/>
  <c r="J183" i="1"/>
  <c r="E183" i="1"/>
  <c r="M168" i="1"/>
  <c r="I168" i="1"/>
  <c r="G168" i="1"/>
  <c r="F168" i="1"/>
  <c r="J168" i="1"/>
  <c r="E168" i="1"/>
  <c r="M153" i="1"/>
  <c r="I153" i="1"/>
  <c r="G153" i="1"/>
  <c r="F153" i="1"/>
  <c r="J153" i="1"/>
  <c r="E153" i="1"/>
  <c r="M138" i="1"/>
  <c r="I138" i="1"/>
  <c r="G138" i="1"/>
  <c r="F138" i="1"/>
  <c r="E138" i="1"/>
  <c r="M123" i="1"/>
  <c r="I123" i="1"/>
  <c r="G123" i="1"/>
  <c r="F123" i="1"/>
  <c r="J123" i="1"/>
  <c r="E123" i="1"/>
  <c r="M108" i="1"/>
  <c r="I108" i="1"/>
  <c r="G108" i="1"/>
  <c r="E108" i="1"/>
  <c r="M93" i="1"/>
  <c r="I93" i="1"/>
  <c r="G93" i="1"/>
  <c r="F93" i="1"/>
  <c r="J93" i="1"/>
  <c r="E93" i="1"/>
  <c r="M78" i="1"/>
  <c r="I78" i="1"/>
  <c r="G78" i="1"/>
  <c r="F78" i="1"/>
  <c r="J78" i="1"/>
  <c r="E78" i="1"/>
  <c r="M63" i="1"/>
  <c r="I63" i="1"/>
  <c r="G63" i="1"/>
  <c r="F63" i="1"/>
  <c r="J63" i="1"/>
  <c r="E63" i="1"/>
  <c r="M48" i="1"/>
  <c r="I48" i="1"/>
  <c r="G48" i="1"/>
  <c r="E48" i="1"/>
  <c r="M33" i="1"/>
  <c r="I33" i="1"/>
  <c r="G33" i="1"/>
  <c r="F33" i="1"/>
  <c r="J33" i="1"/>
  <c r="E33" i="1"/>
  <c r="M18" i="1"/>
  <c r="I18" i="1"/>
  <c r="G18" i="1"/>
  <c r="F18" i="1"/>
  <c r="J18" i="1"/>
  <c r="E18" i="1"/>
  <c r="B198" i="1"/>
  <c r="B183" i="1"/>
  <c r="B168" i="1"/>
  <c r="B153" i="1"/>
  <c r="B138" i="1"/>
  <c r="B123" i="1"/>
  <c r="B108" i="1"/>
  <c r="B93" i="1"/>
  <c r="B78" i="1"/>
  <c r="B63" i="1"/>
  <c r="B48" i="1"/>
  <c r="B33" i="1"/>
  <c r="B18" i="1"/>
  <c r="F198" i="4"/>
  <c r="G198" i="4"/>
  <c r="H198" i="4"/>
  <c r="F183" i="4"/>
  <c r="G183" i="4"/>
  <c r="H183" i="4"/>
  <c r="F168" i="4"/>
  <c r="G168" i="4"/>
  <c r="H168" i="4"/>
  <c r="F153" i="4"/>
  <c r="G153" i="4"/>
  <c r="H153" i="4"/>
  <c r="F138" i="4"/>
  <c r="G138" i="4"/>
  <c r="H138" i="4"/>
  <c r="F123" i="4"/>
  <c r="G123" i="4"/>
  <c r="H123" i="4"/>
  <c r="F108" i="4"/>
  <c r="G108" i="4"/>
  <c r="H108" i="4"/>
  <c r="F93" i="4"/>
  <c r="G93" i="4"/>
  <c r="H93" i="4"/>
  <c r="F78" i="4"/>
  <c r="G78" i="4"/>
  <c r="H78" i="4"/>
  <c r="F63" i="4"/>
  <c r="G63" i="4"/>
  <c r="H63" i="4"/>
  <c r="F48" i="4"/>
  <c r="G48" i="4"/>
  <c r="H48" i="4"/>
  <c r="F33" i="4"/>
  <c r="G33" i="4"/>
  <c r="H33" i="4"/>
  <c r="F18" i="4"/>
  <c r="G18" i="4"/>
  <c r="H18" i="4"/>
  <c r="B198" i="4"/>
  <c r="B183" i="4"/>
  <c r="B168" i="4"/>
  <c r="B153" i="4"/>
  <c r="B138" i="4"/>
  <c r="B123" i="4"/>
  <c r="B108" i="4"/>
  <c r="B93" i="4"/>
  <c r="B78" i="4"/>
  <c r="B63" i="4"/>
  <c r="B48" i="4"/>
  <c r="B33" i="4"/>
  <c r="B18" i="4"/>
  <c r="G153" i="5"/>
  <c r="H153" i="5"/>
  <c r="F183" i="5"/>
  <c r="B198" i="5"/>
  <c r="B183" i="5"/>
  <c r="B168" i="5"/>
  <c r="B153" i="5"/>
  <c r="B138" i="5"/>
  <c r="B123" i="5"/>
  <c r="B108" i="5"/>
  <c r="B93" i="5"/>
  <c r="B78" i="5"/>
  <c r="B63" i="5"/>
  <c r="B48" i="5"/>
  <c r="B33" i="5"/>
  <c r="B18" i="5"/>
  <c r="F197" i="3"/>
  <c r="G197" i="3"/>
  <c r="F182" i="3"/>
  <c r="G182" i="3"/>
  <c r="F167" i="3"/>
  <c r="F152" i="3"/>
  <c r="G152" i="3"/>
  <c r="F137" i="3"/>
  <c r="G137" i="3"/>
  <c r="F122" i="3"/>
  <c r="G122" i="3"/>
  <c r="F107" i="3"/>
  <c r="G107" i="3"/>
  <c r="F92" i="3"/>
  <c r="G92" i="3"/>
  <c r="F77" i="3"/>
  <c r="G77" i="3"/>
  <c r="F62" i="3"/>
  <c r="G62" i="3"/>
  <c r="F47" i="3"/>
  <c r="G47" i="3"/>
  <c r="F32" i="3"/>
  <c r="G32" i="3"/>
  <c r="F17" i="3"/>
  <c r="G17" i="3"/>
  <c r="B197" i="3"/>
  <c r="B182" i="3"/>
  <c r="B167" i="3"/>
  <c r="B152" i="3"/>
  <c r="B137" i="3"/>
  <c r="B122" i="3"/>
  <c r="B107" i="3"/>
  <c r="B92" i="3"/>
  <c r="B77" i="3"/>
  <c r="B62" i="3"/>
  <c r="B47" i="3"/>
  <c r="B32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F147" i="1"/>
  <c r="J147" i="1"/>
  <c r="M197" i="1"/>
  <c r="I197" i="1"/>
  <c r="G197" i="1"/>
  <c r="F197" i="1"/>
  <c r="J197" i="1"/>
  <c r="E197" i="1"/>
  <c r="M182" i="1"/>
  <c r="I182" i="1"/>
  <c r="G182" i="1"/>
  <c r="E182" i="1"/>
  <c r="M167" i="1"/>
  <c r="I167" i="1"/>
  <c r="G167" i="1"/>
  <c r="F167" i="1"/>
  <c r="J167" i="1"/>
  <c r="E167" i="1"/>
  <c r="F148" i="1"/>
  <c r="J148" i="1"/>
  <c r="E148" i="1"/>
  <c r="F150" i="1"/>
  <c r="J150" i="1"/>
  <c r="M152" i="1"/>
  <c r="I152" i="1"/>
  <c r="G152" i="1"/>
  <c r="F152" i="1"/>
  <c r="J152" i="1"/>
  <c r="E152" i="1"/>
  <c r="M137" i="1"/>
  <c r="I137" i="1"/>
  <c r="G137" i="1"/>
  <c r="F137" i="1"/>
  <c r="J137" i="1"/>
  <c r="E137" i="1"/>
  <c r="M122" i="1"/>
  <c r="I122" i="1"/>
  <c r="G122" i="1"/>
  <c r="E122" i="1"/>
  <c r="M107" i="1"/>
  <c r="I107" i="1"/>
  <c r="G107" i="1"/>
  <c r="J107" i="1"/>
  <c r="E107" i="1"/>
  <c r="M92" i="1"/>
  <c r="I92" i="1"/>
  <c r="G92" i="1"/>
  <c r="E92" i="1"/>
  <c r="M77" i="1"/>
  <c r="I77" i="1"/>
  <c r="G77" i="1"/>
  <c r="F77" i="1"/>
  <c r="J77" i="1"/>
  <c r="E77" i="1"/>
  <c r="F60" i="1"/>
  <c r="J60" i="1"/>
  <c r="M62" i="1"/>
  <c r="I62" i="1"/>
  <c r="G62" i="1"/>
  <c r="F62" i="1"/>
  <c r="J62" i="1"/>
  <c r="E62" i="1"/>
  <c r="M47" i="1"/>
  <c r="I47" i="1"/>
  <c r="G47" i="1"/>
  <c r="F47" i="1"/>
  <c r="J47" i="1"/>
  <c r="E47" i="1"/>
  <c r="F28" i="1"/>
  <c r="M32" i="1"/>
  <c r="I32" i="1"/>
  <c r="G32" i="1"/>
  <c r="F32" i="1"/>
  <c r="J32" i="1"/>
  <c r="E32" i="1"/>
  <c r="F11" i="1"/>
  <c r="F12" i="1"/>
  <c r="M17" i="1"/>
  <c r="I17" i="1"/>
  <c r="G17" i="1"/>
  <c r="F17" i="1"/>
  <c r="J17" i="1"/>
  <c r="E17" i="1"/>
  <c r="B197" i="1"/>
  <c r="B182" i="1"/>
  <c r="B167" i="1"/>
  <c r="B152" i="1"/>
  <c r="B137" i="1"/>
  <c r="B122" i="1"/>
  <c r="B107" i="1"/>
  <c r="B92" i="1"/>
  <c r="B77" i="1"/>
  <c r="B62" i="1"/>
  <c r="B47" i="1"/>
  <c r="B32" i="1"/>
  <c r="B17" i="1"/>
  <c r="F45" i="1"/>
  <c r="J45" i="1"/>
  <c r="J136" i="1"/>
  <c r="G196" i="1"/>
  <c r="G181" i="1"/>
  <c r="G166" i="1"/>
  <c r="G151" i="1"/>
  <c r="G136" i="1"/>
  <c r="G121" i="1"/>
  <c r="G106" i="1"/>
  <c r="G91" i="1"/>
  <c r="G76" i="1"/>
  <c r="G61" i="1"/>
  <c r="G46" i="1"/>
  <c r="G31" i="1"/>
  <c r="G16" i="1"/>
  <c r="F196" i="1"/>
  <c r="J196" i="1"/>
  <c r="F181" i="1"/>
  <c r="J181" i="1"/>
  <c r="F166" i="1"/>
  <c r="J166" i="1"/>
  <c r="F151" i="1"/>
  <c r="J151" i="1"/>
  <c r="F121" i="1"/>
  <c r="F105" i="1"/>
  <c r="J105" i="1"/>
  <c r="F106" i="1"/>
  <c r="J106" i="1"/>
  <c r="F91" i="1"/>
  <c r="J91" i="1"/>
  <c r="F61" i="1"/>
  <c r="J61" i="1"/>
  <c r="F31" i="1"/>
  <c r="J31" i="1"/>
  <c r="F16" i="1"/>
  <c r="J16" i="1"/>
  <c r="G197" i="4"/>
  <c r="H197" i="4"/>
  <c r="F197" i="4"/>
  <c r="G182" i="4"/>
  <c r="H182" i="4"/>
  <c r="F182" i="4"/>
  <c r="G167" i="4"/>
  <c r="H167" i="4"/>
  <c r="F167" i="4"/>
  <c r="G152" i="4"/>
  <c r="H152" i="4"/>
  <c r="F152" i="4"/>
  <c r="G137" i="4"/>
  <c r="H137" i="4"/>
  <c r="F137" i="4"/>
  <c r="G122" i="4"/>
  <c r="H122" i="4"/>
  <c r="F122" i="4"/>
  <c r="G107" i="4"/>
  <c r="H107" i="4"/>
  <c r="F107" i="4"/>
  <c r="G92" i="4"/>
  <c r="H92" i="4"/>
  <c r="F92" i="4"/>
  <c r="G77" i="4"/>
  <c r="H77" i="4"/>
  <c r="F77" i="4"/>
  <c r="G62" i="4"/>
  <c r="H62" i="4"/>
  <c r="F62" i="4"/>
  <c r="G47" i="4"/>
  <c r="H47" i="4"/>
  <c r="F47" i="4"/>
  <c r="G32" i="4"/>
  <c r="H32" i="4"/>
  <c r="F32" i="4"/>
  <c r="G17" i="4"/>
  <c r="H17" i="4"/>
  <c r="F17" i="4"/>
  <c r="B197" i="4"/>
  <c r="B182" i="4"/>
  <c r="B167" i="4"/>
  <c r="B152" i="4"/>
  <c r="B137" i="4"/>
  <c r="B122" i="4"/>
  <c r="B107" i="4"/>
  <c r="B92" i="4"/>
  <c r="B77" i="4"/>
  <c r="B62" i="4"/>
  <c r="B47" i="4"/>
  <c r="B32" i="4"/>
  <c r="B17" i="4"/>
  <c r="G152" i="5"/>
  <c r="H152" i="5"/>
  <c r="B197" i="5"/>
  <c r="B167" i="5"/>
  <c r="B152" i="5"/>
  <c r="B137" i="5"/>
  <c r="B122" i="5"/>
  <c r="B107" i="5"/>
  <c r="B92" i="5"/>
  <c r="B77" i="5"/>
  <c r="B47" i="5"/>
  <c r="B32" i="5"/>
  <c r="B17" i="5"/>
  <c r="B182" i="5"/>
  <c r="F182" i="5"/>
  <c r="B62" i="5"/>
  <c r="G196" i="3"/>
  <c r="F196" i="3"/>
  <c r="G181" i="3"/>
  <c r="F181" i="3"/>
  <c r="F166" i="3"/>
  <c r="G151" i="3"/>
  <c r="F151" i="3"/>
  <c r="G136" i="3"/>
  <c r="F136" i="3"/>
  <c r="G121" i="3"/>
  <c r="F121" i="3"/>
  <c r="G106" i="3"/>
  <c r="F106" i="3"/>
  <c r="G91" i="3"/>
  <c r="F91" i="3"/>
  <c r="G76" i="3"/>
  <c r="F76" i="3"/>
  <c r="G61" i="3"/>
  <c r="F61" i="3"/>
  <c r="G46" i="3"/>
  <c r="F46" i="3"/>
  <c r="G31" i="3"/>
  <c r="F31" i="3"/>
  <c r="G16" i="3"/>
  <c r="F16" i="3"/>
  <c r="B196" i="3"/>
  <c r="B181" i="3"/>
  <c r="B166" i="3"/>
  <c r="B151" i="3"/>
  <c r="B136" i="3"/>
  <c r="B121" i="3"/>
  <c r="B106" i="3"/>
  <c r="B91" i="3"/>
  <c r="B76" i="3"/>
  <c r="B61" i="3"/>
  <c r="B46" i="3"/>
  <c r="B31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M196" i="1"/>
  <c r="I196" i="1"/>
  <c r="E196" i="1"/>
  <c r="M181" i="1"/>
  <c r="I181" i="1"/>
  <c r="E181" i="1"/>
  <c r="M166" i="1"/>
  <c r="I166" i="1"/>
  <c r="E166" i="1"/>
  <c r="M151" i="1"/>
  <c r="I151" i="1"/>
  <c r="E151" i="1"/>
  <c r="M136" i="1"/>
  <c r="I136" i="1"/>
  <c r="E136" i="1"/>
  <c r="M121" i="1"/>
  <c r="I121" i="1"/>
  <c r="E121" i="1"/>
  <c r="M106" i="1"/>
  <c r="I106" i="1"/>
  <c r="E106" i="1"/>
  <c r="M91" i="1"/>
  <c r="I91" i="1"/>
  <c r="E91" i="1"/>
  <c r="M76" i="1"/>
  <c r="I76" i="1"/>
  <c r="E76" i="1"/>
  <c r="M61" i="1"/>
  <c r="I61" i="1"/>
  <c r="E61" i="1"/>
  <c r="M46" i="1"/>
  <c r="I46" i="1"/>
  <c r="E46" i="1"/>
  <c r="M31" i="1"/>
  <c r="I31" i="1"/>
  <c r="E31" i="1"/>
  <c r="M16" i="1"/>
  <c r="I16" i="1"/>
  <c r="E16" i="1"/>
  <c r="B196" i="1"/>
  <c r="B181" i="1"/>
  <c r="B166" i="1"/>
  <c r="B151" i="1"/>
  <c r="B136" i="1"/>
  <c r="B121" i="1"/>
  <c r="B106" i="1"/>
  <c r="B91" i="1"/>
  <c r="B76" i="1"/>
  <c r="B61" i="1"/>
  <c r="B46" i="1"/>
  <c r="B31" i="1"/>
  <c r="B16" i="1"/>
  <c r="G195" i="1"/>
  <c r="F195" i="1"/>
  <c r="J195" i="1"/>
  <c r="G180" i="1"/>
  <c r="F180" i="1"/>
  <c r="J180" i="1"/>
  <c r="G165" i="1"/>
  <c r="H165" i="1"/>
  <c r="F165" i="1"/>
  <c r="J165" i="1"/>
  <c r="G150" i="1"/>
  <c r="G135" i="1"/>
  <c r="J134" i="1"/>
  <c r="F135" i="1"/>
  <c r="J135" i="1"/>
  <c r="G120" i="1"/>
  <c r="G105" i="1"/>
  <c r="F104" i="1"/>
  <c r="G90" i="1"/>
  <c r="F90" i="1"/>
  <c r="J90" i="1"/>
  <c r="G75" i="1"/>
  <c r="F75" i="1"/>
  <c r="J75" i="1"/>
  <c r="G60" i="1"/>
  <c r="G45" i="1"/>
  <c r="F44" i="1"/>
  <c r="J44" i="1"/>
  <c r="G30" i="1"/>
  <c r="F29" i="1"/>
  <c r="J29" i="1"/>
  <c r="F30" i="1"/>
  <c r="J30" i="1"/>
  <c r="G15" i="1"/>
  <c r="G196" i="4"/>
  <c r="H196" i="4"/>
  <c r="F196" i="4"/>
  <c r="G181" i="4"/>
  <c r="H181" i="4"/>
  <c r="F181" i="4"/>
  <c r="G166" i="4"/>
  <c r="H166" i="4"/>
  <c r="F166" i="4"/>
  <c r="G151" i="4"/>
  <c r="H151" i="4"/>
  <c r="F151" i="4"/>
  <c r="G136" i="4"/>
  <c r="H136" i="4"/>
  <c r="F136" i="4"/>
  <c r="G121" i="4"/>
  <c r="H121" i="4"/>
  <c r="F121" i="4"/>
  <c r="G106" i="4"/>
  <c r="H106" i="4"/>
  <c r="F106" i="4"/>
  <c r="G91" i="4"/>
  <c r="H91" i="4"/>
  <c r="F91" i="4"/>
  <c r="G76" i="4"/>
  <c r="H76" i="4"/>
  <c r="F76" i="4"/>
  <c r="G61" i="4"/>
  <c r="H61" i="4"/>
  <c r="F61" i="4"/>
  <c r="B196" i="4"/>
  <c r="B181" i="4"/>
  <c r="B166" i="4"/>
  <c r="B151" i="4"/>
  <c r="B136" i="4"/>
  <c r="B121" i="4"/>
  <c r="B106" i="4"/>
  <c r="B91" i="4"/>
  <c r="B76" i="4"/>
  <c r="B61" i="4"/>
  <c r="G46" i="4"/>
  <c r="H46" i="4"/>
  <c r="F46" i="4"/>
  <c r="B46" i="4"/>
  <c r="G31" i="4"/>
  <c r="H31" i="4"/>
  <c r="F31" i="4"/>
  <c r="B31" i="4"/>
  <c r="G16" i="4"/>
  <c r="H16" i="4"/>
  <c r="F16" i="4"/>
  <c r="B16" i="4"/>
  <c r="B196" i="5"/>
  <c r="F181" i="5"/>
  <c r="B181" i="5"/>
  <c r="B166" i="5"/>
  <c r="B151" i="5"/>
  <c r="B136" i="5"/>
  <c r="B121" i="5"/>
  <c r="B106" i="5"/>
  <c r="B91" i="5"/>
  <c r="B76" i="5"/>
  <c r="B61" i="5"/>
  <c r="B46" i="5"/>
  <c r="B31" i="5"/>
  <c r="B16" i="5"/>
  <c r="G195" i="3"/>
  <c r="F195" i="3"/>
  <c r="B195" i="3"/>
  <c r="G180" i="3"/>
  <c r="F180" i="3"/>
  <c r="B180" i="3"/>
  <c r="F165" i="3"/>
  <c r="B165" i="3"/>
  <c r="G150" i="3"/>
  <c r="F150" i="3"/>
  <c r="B150" i="3"/>
  <c r="G135" i="3"/>
  <c r="F135" i="3"/>
  <c r="B135" i="3"/>
  <c r="G120" i="3"/>
  <c r="F120" i="3"/>
  <c r="B120" i="3"/>
  <c r="G105" i="3"/>
  <c r="F105" i="3"/>
  <c r="B105" i="3"/>
  <c r="G90" i="3"/>
  <c r="F90" i="3"/>
  <c r="B90" i="3"/>
  <c r="G75" i="3"/>
  <c r="F75" i="3"/>
  <c r="G60" i="3"/>
  <c r="F60" i="3"/>
  <c r="B75" i="3"/>
  <c r="B60" i="3"/>
  <c r="G45" i="3"/>
  <c r="F45" i="3"/>
  <c r="G30" i="3"/>
  <c r="F30" i="3"/>
  <c r="B45" i="3"/>
  <c r="B30" i="3"/>
  <c r="G15" i="3"/>
  <c r="F15" i="3"/>
  <c r="B1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37" i="2"/>
  <c r="A16" i="2"/>
  <c r="M195" i="1"/>
  <c r="I195" i="1"/>
  <c r="E195" i="1"/>
  <c r="M180" i="1"/>
  <c r="I180" i="1"/>
  <c r="E180" i="1"/>
  <c r="M165" i="1"/>
  <c r="I165" i="1"/>
  <c r="E165" i="1"/>
  <c r="M150" i="1"/>
  <c r="I150" i="1"/>
  <c r="E150" i="1"/>
  <c r="M135" i="1"/>
  <c r="I135" i="1"/>
  <c r="E135" i="1"/>
  <c r="M120" i="1"/>
  <c r="I120" i="1"/>
  <c r="E120" i="1"/>
  <c r="M105" i="1"/>
  <c r="I105" i="1"/>
  <c r="E105" i="1"/>
  <c r="M90" i="1"/>
  <c r="I90" i="1"/>
  <c r="E90" i="1"/>
  <c r="M75" i="1"/>
  <c r="I75" i="1"/>
  <c r="E75" i="1"/>
  <c r="M60" i="1"/>
  <c r="I60" i="1"/>
  <c r="E60" i="1"/>
  <c r="M45" i="1"/>
  <c r="I45" i="1"/>
  <c r="E45" i="1"/>
  <c r="M30" i="1"/>
  <c r="I30" i="1"/>
  <c r="E30" i="1"/>
  <c r="M15" i="1"/>
  <c r="I15" i="1"/>
  <c r="E15" i="1"/>
  <c r="B195" i="1"/>
  <c r="B180" i="1"/>
  <c r="B165" i="1"/>
  <c r="B150" i="1"/>
  <c r="B135" i="1"/>
  <c r="B120" i="1"/>
  <c r="B105" i="1"/>
  <c r="B90" i="1"/>
  <c r="B75" i="1"/>
  <c r="B60" i="1"/>
  <c r="B45" i="1"/>
  <c r="B30" i="1"/>
  <c r="B15" i="1"/>
  <c r="F195" i="4"/>
  <c r="G195" i="4"/>
  <c r="H195" i="4"/>
  <c r="F180" i="4"/>
  <c r="G180" i="4"/>
  <c r="H180" i="4"/>
  <c r="F165" i="4"/>
  <c r="G165" i="4"/>
  <c r="H165" i="4"/>
  <c r="F150" i="4"/>
  <c r="G150" i="4"/>
  <c r="H150" i="4"/>
  <c r="F135" i="4"/>
  <c r="G135" i="4"/>
  <c r="H135" i="4"/>
  <c r="F120" i="4"/>
  <c r="G120" i="4"/>
  <c r="H120" i="4"/>
  <c r="F105" i="4"/>
  <c r="G105" i="4"/>
  <c r="H105" i="4"/>
  <c r="F90" i="4"/>
  <c r="G90" i="4"/>
  <c r="H90" i="4"/>
  <c r="F75" i="4"/>
  <c r="G75" i="4"/>
  <c r="H75" i="4"/>
  <c r="F60" i="4"/>
  <c r="G60" i="4"/>
  <c r="H60" i="4"/>
  <c r="F45" i="4"/>
  <c r="G45" i="4"/>
  <c r="H45" i="4"/>
  <c r="F30" i="4"/>
  <c r="G30" i="4"/>
  <c r="H30" i="4"/>
  <c r="F15" i="4"/>
  <c r="G15" i="4"/>
  <c r="H15" i="4"/>
  <c r="B195" i="4"/>
  <c r="B180" i="4"/>
  <c r="B165" i="4"/>
  <c r="B150" i="4"/>
  <c r="B135" i="4"/>
  <c r="B120" i="4"/>
  <c r="B105" i="4"/>
  <c r="B90" i="4"/>
  <c r="B75" i="4"/>
  <c r="B60" i="4"/>
  <c r="B45" i="4"/>
  <c r="B30" i="4"/>
  <c r="B15" i="4"/>
  <c r="F180" i="5"/>
  <c r="B195" i="5"/>
  <c r="B180" i="5"/>
  <c r="B165" i="5"/>
  <c r="B150" i="5"/>
  <c r="B135" i="5"/>
  <c r="B120" i="5"/>
  <c r="B105" i="5"/>
  <c r="B90" i="5"/>
  <c r="B75" i="5"/>
  <c r="B60" i="5"/>
  <c r="B45" i="5"/>
  <c r="B30" i="5"/>
  <c r="B15" i="5"/>
  <c r="F194" i="3"/>
  <c r="G194" i="3"/>
  <c r="F179" i="3"/>
  <c r="G179" i="3"/>
  <c r="F164" i="3"/>
  <c r="F149" i="3"/>
  <c r="G149" i="3"/>
  <c r="F134" i="3"/>
  <c r="G134" i="3"/>
  <c r="F119" i="3"/>
  <c r="G119" i="3"/>
  <c r="F104" i="3"/>
  <c r="G104" i="3"/>
  <c r="F89" i="3"/>
  <c r="G89" i="3"/>
  <c r="F74" i="3"/>
  <c r="G74" i="3"/>
  <c r="F59" i="3"/>
  <c r="G59" i="3"/>
  <c r="F44" i="3"/>
  <c r="G44" i="3"/>
  <c r="F29" i="3"/>
  <c r="G29" i="3"/>
  <c r="F14" i="3"/>
  <c r="G14" i="3"/>
  <c r="B194" i="3"/>
  <c r="B179" i="3"/>
  <c r="B164" i="3"/>
  <c r="B149" i="3"/>
  <c r="B134" i="3"/>
  <c r="B119" i="3"/>
  <c r="B104" i="3"/>
  <c r="B89" i="3"/>
  <c r="B74" i="3"/>
  <c r="B59" i="3"/>
  <c r="B44" i="3"/>
  <c r="B29" i="3"/>
  <c r="B14" i="3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F133" i="1"/>
  <c r="J133" i="1"/>
  <c r="F103" i="1"/>
  <c r="J103" i="1"/>
  <c r="F58" i="1"/>
  <c r="J58" i="1"/>
  <c r="M194" i="1"/>
  <c r="I194" i="1"/>
  <c r="G194" i="1"/>
  <c r="F194" i="1"/>
  <c r="E194" i="1"/>
  <c r="M179" i="1"/>
  <c r="I179" i="1"/>
  <c r="G179" i="1"/>
  <c r="E179" i="1"/>
  <c r="M164" i="1"/>
  <c r="I164" i="1"/>
  <c r="G164" i="1"/>
  <c r="F164" i="1"/>
  <c r="E164" i="1"/>
  <c r="M149" i="1"/>
  <c r="I149" i="1"/>
  <c r="G149" i="1"/>
  <c r="F149" i="1"/>
  <c r="J149" i="1"/>
  <c r="E149" i="1"/>
  <c r="M134" i="1"/>
  <c r="I134" i="1"/>
  <c r="G134" i="1"/>
  <c r="E134" i="1"/>
  <c r="M119" i="1"/>
  <c r="I119" i="1"/>
  <c r="G119" i="1"/>
  <c r="F119" i="1"/>
  <c r="J119" i="1"/>
  <c r="E119" i="1"/>
  <c r="M104" i="1"/>
  <c r="I104" i="1"/>
  <c r="G104" i="1"/>
  <c r="E104" i="1"/>
  <c r="M89" i="1"/>
  <c r="I89" i="1"/>
  <c r="G89" i="1"/>
  <c r="F89" i="1"/>
  <c r="J89" i="1"/>
  <c r="E89" i="1"/>
  <c r="M74" i="1"/>
  <c r="I74" i="1"/>
  <c r="G74" i="1"/>
  <c r="E74" i="1"/>
  <c r="M59" i="1"/>
  <c r="I59" i="1"/>
  <c r="G59" i="1"/>
  <c r="F59" i="1"/>
  <c r="J59" i="1"/>
  <c r="E59" i="1"/>
  <c r="M44" i="1"/>
  <c r="I44" i="1"/>
  <c r="G44" i="1"/>
  <c r="E44" i="1"/>
  <c r="M29" i="1"/>
  <c r="I29" i="1"/>
  <c r="G29" i="1"/>
  <c r="E29" i="1"/>
  <c r="M14" i="1"/>
  <c r="I14" i="1"/>
  <c r="G14" i="1"/>
  <c r="E14" i="1"/>
  <c r="B194" i="1"/>
  <c r="B179" i="1"/>
  <c r="B164" i="1"/>
  <c r="B149" i="1"/>
  <c r="B134" i="1"/>
  <c r="B119" i="1"/>
  <c r="B104" i="1"/>
  <c r="B89" i="1"/>
  <c r="B74" i="1"/>
  <c r="B59" i="1"/>
  <c r="B44" i="1"/>
  <c r="B29" i="1"/>
  <c r="B14" i="1"/>
  <c r="A35" i="2"/>
  <c r="A14" i="2"/>
  <c r="G193" i="1"/>
  <c r="G178" i="1"/>
  <c r="G163" i="1"/>
  <c r="G148" i="1"/>
  <c r="G133" i="1"/>
  <c r="G118" i="1"/>
  <c r="G103" i="1"/>
  <c r="G88" i="1"/>
  <c r="G73" i="1"/>
  <c r="G58" i="1"/>
  <c r="G43" i="1"/>
  <c r="G28" i="1"/>
  <c r="G13" i="1"/>
  <c r="F193" i="1"/>
  <c r="J193" i="1"/>
  <c r="F178" i="1"/>
  <c r="J178" i="1"/>
  <c r="F163" i="1"/>
  <c r="J163" i="1"/>
  <c r="F115" i="1"/>
  <c r="J115" i="1"/>
  <c r="F118" i="1"/>
  <c r="J118" i="1"/>
  <c r="F102" i="1"/>
  <c r="F88" i="1"/>
  <c r="J88" i="1"/>
  <c r="F73" i="1"/>
  <c r="J73" i="1"/>
  <c r="F13" i="1"/>
  <c r="G194" i="4"/>
  <c r="H194" i="4"/>
  <c r="F194" i="4"/>
  <c r="G179" i="4"/>
  <c r="H179" i="4"/>
  <c r="F179" i="4"/>
  <c r="G164" i="4"/>
  <c r="H164" i="4"/>
  <c r="F164" i="4"/>
  <c r="G149" i="4"/>
  <c r="H149" i="4"/>
  <c r="F149" i="4"/>
  <c r="G134" i="4"/>
  <c r="H134" i="4"/>
  <c r="F134" i="4"/>
  <c r="G119" i="4"/>
  <c r="H119" i="4"/>
  <c r="F119" i="4"/>
  <c r="G104" i="4"/>
  <c r="H104" i="4"/>
  <c r="F104" i="4"/>
  <c r="G89" i="4"/>
  <c r="H89" i="4"/>
  <c r="F89" i="4"/>
  <c r="G74" i="4"/>
  <c r="H74" i="4"/>
  <c r="F74" i="4"/>
  <c r="G59" i="4"/>
  <c r="H59" i="4"/>
  <c r="F59" i="4"/>
  <c r="G44" i="4"/>
  <c r="H44" i="4"/>
  <c r="F44" i="4"/>
  <c r="G29" i="4"/>
  <c r="H29" i="4"/>
  <c r="F29" i="4"/>
  <c r="G14" i="4"/>
  <c r="H14" i="4"/>
  <c r="F14" i="4"/>
  <c r="B194" i="4"/>
  <c r="B179" i="4"/>
  <c r="B164" i="4"/>
  <c r="B149" i="4"/>
  <c r="B134" i="4"/>
  <c r="B119" i="4"/>
  <c r="B104" i="4"/>
  <c r="B89" i="4"/>
  <c r="B74" i="4"/>
  <c r="B59" i="4"/>
  <c r="B44" i="4"/>
  <c r="B29" i="4"/>
  <c r="B14" i="4"/>
  <c r="G179" i="5"/>
  <c r="H179" i="5"/>
  <c r="F179" i="5"/>
  <c r="B194" i="5"/>
  <c r="B179" i="5"/>
  <c r="B164" i="5"/>
  <c r="B149" i="5"/>
  <c r="B134" i="5"/>
  <c r="B119" i="5"/>
  <c r="B104" i="5"/>
  <c r="B89" i="5"/>
  <c r="B74" i="5"/>
  <c r="B59" i="5"/>
  <c r="B44" i="5"/>
  <c r="B29" i="5"/>
  <c r="B14" i="5"/>
  <c r="G193" i="3"/>
  <c r="F193" i="3"/>
  <c r="G178" i="3"/>
  <c r="F178" i="3"/>
  <c r="G163" i="3"/>
  <c r="F163" i="3"/>
  <c r="G148" i="3"/>
  <c r="F148" i="3"/>
  <c r="G133" i="3"/>
  <c r="F133" i="3"/>
  <c r="G118" i="3"/>
  <c r="F118" i="3"/>
  <c r="G103" i="3"/>
  <c r="F103" i="3"/>
  <c r="G88" i="3"/>
  <c r="F88" i="3"/>
  <c r="G73" i="3"/>
  <c r="F73" i="3"/>
  <c r="G58" i="3"/>
  <c r="F58" i="3"/>
  <c r="G43" i="3"/>
  <c r="F43" i="3"/>
  <c r="G28" i="3"/>
  <c r="F28" i="3"/>
  <c r="G13" i="3"/>
  <c r="F13" i="3"/>
  <c r="B193" i="3"/>
  <c r="B178" i="3"/>
  <c r="B163" i="3"/>
  <c r="B148" i="3"/>
  <c r="B133" i="3"/>
  <c r="B118" i="3"/>
  <c r="B103" i="3"/>
  <c r="B88" i="3"/>
  <c r="B73" i="3"/>
  <c r="B58" i="3"/>
  <c r="B43" i="3"/>
  <c r="B28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M193" i="1"/>
  <c r="I193" i="1"/>
  <c r="E193" i="1"/>
  <c r="M178" i="1"/>
  <c r="I178" i="1"/>
  <c r="E178" i="1"/>
  <c r="M163" i="1"/>
  <c r="I163" i="1"/>
  <c r="E163" i="1"/>
  <c r="M148" i="1"/>
  <c r="I148" i="1"/>
  <c r="M133" i="1"/>
  <c r="I133" i="1"/>
  <c r="E133" i="1"/>
  <c r="M118" i="1"/>
  <c r="I118" i="1"/>
  <c r="E118" i="1"/>
  <c r="M103" i="1"/>
  <c r="I103" i="1"/>
  <c r="E103" i="1"/>
  <c r="M88" i="1"/>
  <c r="I88" i="1"/>
  <c r="E88" i="1"/>
  <c r="M73" i="1"/>
  <c r="I73" i="1"/>
  <c r="E73" i="1"/>
  <c r="M58" i="1"/>
  <c r="I58" i="1"/>
  <c r="E58" i="1"/>
  <c r="M43" i="1"/>
  <c r="I43" i="1"/>
  <c r="E43" i="1"/>
  <c r="M28" i="1"/>
  <c r="I28" i="1"/>
  <c r="E28" i="1"/>
  <c r="M13" i="1"/>
  <c r="I13" i="1"/>
  <c r="E13" i="1"/>
  <c r="B193" i="1"/>
  <c r="B178" i="1"/>
  <c r="B163" i="1"/>
  <c r="B148" i="1"/>
  <c r="B133" i="1"/>
  <c r="B118" i="1"/>
  <c r="B103" i="1"/>
  <c r="B88" i="1"/>
  <c r="B73" i="1"/>
  <c r="B58" i="1"/>
  <c r="B43" i="1"/>
  <c r="B28" i="1"/>
  <c r="B13" i="1"/>
  <c r="G102" i="1"/>
  <c r="G192" i="1"/>
  <c r="G177" i="1"/>
  <c r="H177" i="1"/>
  <c r="G162" i="1"/>
  <c r="G147" i="1"/>
  <c r="G132" i="1"/>
  <c r="G117" i="1"/>
  <c r="G87" i="1"/>
  <c r="G72" i="1"/>
  <c r="G57" i="1"/>
  <c r="G42" i="1"/>
  <c r="G27" i="1"/>
  <c r="G12" i="1"/>
  <c r="F192" i="1"/>
  <c r="F176" i="1"/>
  <c r="J176" i="1"/>
  <c r="F162" i="1"/>
  <c r="J162" i="1"/>
  <c r="F132" i="1"/>
  <c r="J132" i="1"/>
  <c r="F117" i="1"/>
  <c r="J117" i="1"/>
  <c r="F87" i="1"/>
  <c r="J87" i="1"/>
  <c r="F71" i="1"/>
  <c r="J71" i="1"/>
  <c r="F72" i="1"/>
  <c r="J72" i="1"/>
  <c r="F55" i="1"/>
  <c r="J55" i="1"/>
  <c r="F54" i="1"/>
  <c r="J54" i="1"/>
  <c r="F57" i="1"/>
  <c r="J57" i="1"/>
  <c r="F42" i="1"/>
  <c r="J42" i="1"/>
  <c r="F27" i="1"/>
  <c r="J27" i="1"/>
  <c r="G193" i="4"/>
  <c r="H193" i="4"/>
  <c r="F193" i="4"/>
  <c r="G178" i="4"/>
  <c r="H178" i="4"/>
  <c r="F178" i="4"/>
  <c r="G163" i="4"/>
  <c r="H163" i="4"/>
  <c r="F163" i="4"/>
  <c r="G148" i="4"/>
  <c r="H148" i="4"/>
  <c r="F148" i="4"/>
  <c r="G133" i="4"/>
  <c r="H133" i="4"/>
  <c r="F133" i="4"/>
  <c r="G118" i="4"/>
  <c r="H118" i="4"/>
  <c r="F118" i="4"/>
  <c r="G103" i="4"/>
  <c r="H103" i="4"/>
  <c r="F103" i="4"/>
  <c r="G88" i="4"/>
  <c r="H88" i="4"/>
  <c r="F88" i="4"/>
  <c r="G73" i="4"/>
  <c r="H73" i="4"/>
  <c r="F73" i="4"/>
  <c r="G58" i="4"/>
  <c r="H58" i="4"/>
  <c r="F58" i="4"/>
  <c r="G43" i="4"/>
  <c r="H43" i="4"/>
  <c r="F43" i="4"/>
  <c r="G28" i="4"/>
  <c r="H28" i="4"/>
  <c r="F28" i="4"/>
  <c r="G13" i="4"/>
  <c r="H13" i="4"/>
  <c r="F13" i="4"/>
  <c r="B193" i="4"/>
  <c r="B178" i="4"/>
  <c r="B163" i="4"/>
  <c r="B148" i="4"/>
  <c r="B133" i="4"/>
  <c r="B118" i="4"/>
  <c r="B103" i="4"/>
  <c r="B88" i="4"/>
  <c r="B73" i="4"/>
  <c r="B58" i="4"/>
  <c r="B43" i="4"/>
  <c r="B28" i="4"/>
  <c r="B13" i="4"/>
  <c r="G178" i="5"/>
  <c r="H178" i="5"/>
  <c r="F178" i="5"/>
  <c r="B193" i="5"/>
  <c r="B178" i="5"/>
  <c r="B163" i="5"/>
  <c r="B148" i="5"/>
  <c r="B133" i="5"/>
  <c r="B118" i="5"/>
  <c r="B103" i="5"/>
  <c r="B88" i="5"/>
  <c r="B73" i="5"/>
  <c r="B58" i="5"/>
  <c r="B43" i="5"/>
  <c r="B28" i="5"/>
  <c r="B13" i="5"/>
  <c r="G192" i="3"/>
  <c r="F192" i="3"/>
  <c r="G177" i="3"/>
  <c r="F177" i="3"/>
  <c r="G162" i="3"/>
  <c r="F162" i="3"/>
  <c r="G147" i="3"/>
  <c r="F147" i="3"/>
  <c r="G132" i="3"/>
  <c r="F132" i="3"/>
  <c r="G117" i="3"/>
  <c r="F117" i="3"/>
  <c r="G102" i="3"/>
  <c r="F102" i="3"/>
  <c r="G87" i="3"/>
  <c r="F87" i="3"/>
  <c r="G72" i="3"/>
  <c r="F72" i="3"/>
  <c r="G57" i="3"/>
  <c r="F57" i="3"/>
  <c r="G42" i="3"/>
  <c r="F42" i="3"/>
  <c r="G27" i="3"/>
  <c r="F27" i="3"/>
  <c r="B192" i="3"/>
  <c r="B177" i="3"/>
  <c r="B162" i="3"/>
  <c r="B147" i="3"/>
  <c r="B132" i="3"/>
  <c r="B117" i="3"/>
  <c r="B102" i="3"/>
  <c r="B87" i="3"/>
  <c r="B72" i="3"/>
  <c r="B57" i="3"/>
  <c r="B42" i="3"/>
  <c r="B27" i="3"/>
  <c r="G12" i="3"/>
  <c r="F12" i="3"/>
  <c r="B12" i="3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92" i="1"/>
  <c r="I192" i="1"/>
  <c r="E192" i="1"/>
  <c r="M177" i="1"/>
  <c r="I177" i="1"/>
  <c r="E177" i="1"/>
  <c r="M162" i="1"/>
  <c r="I162" i="1"/>
  <c r="E162" i="1"/>
  <c r="M147" i="1"/>
  <c r="I147" i="1"/>
  <c r="E147" i="1"/>
  <c r="M132" i="1"/>
  <c r="I132" i="1"/>
  <c r="E132" i="1"/>
  <c r="M117" i="1"/>
  <c r="I117" i="1"/>
  <c r="E117" i="1"/>
  <c r="M102" i="1"/>
  <c r="I102" i="1"/>
  <c r="E102" i="1"/>
  <c r="M87" i="1"/>
  <c r="I87" i="1"/>
  <c r="E87" i="1"/>
  <c r="M72" i="1"/>
  <c r="I72" i="1"/>
  <c r="E72" i="1"/>
  <c r="M57" i="1"/>
  <c r="I57" i="1"/>
  <c r="E57" i="1"/>
  <c r="M42" i="1"/>
  <c r="I42" i="1"/>
  <c r="E42" i="1"/>
  <c r="M27" i="1"/>
  <c r="I27" i="1"/>
  <c r="E27" i="1"/>
  <c r="M12" i="1"/>
  <c r="I12" i="1"/>
  <c r="E12" i="1"/>
  <c r="B192" i="1"/>
  <c r="B177" i="1"/>
  <c r="B162" i="1"/>
  <c r="B147" i="1"/>
  <c r="B132" i="1"/>
  <c r="B117" i="1"/>
  <c r="B102" i="1"/>
  <c r="B87" i="1"/>
  <c r="B72" i="1"/>
  <c r="B57" i="1"/>
  <c r="B42" i="1"/>
  <c r="B27" i="1"/>
  <c r="B12" i="1"/>
  <c r="F101" i="1"/>
  <c r="G191" i="1"/>
  <c r="G176" i="1"/>
  <c r="G161" i="1"/>
  <c r="G146" i="1"/>
  <c r="G131" i="1"/>
  <c r="G116" i="1"/>
  <c r="G101" i="1"/>
  <c r="G86" i="1"/>
  <c r="G71" i="1"/>
  <c r="G56" i="1"/>
  <c r="G41" i="1"/>
  <c r="G26" i="1"/>
  <c r="G11" i="1"/>
  <c r="F191" i="1"/>
  <c r="J191" i="1"/>
  <c r="F161" i="1"/>
  <c r="F146" i="1"/>
  <c r="J146" i="1"/>
  <c r="F131" i="1"/>
  <c r="F116" i="1"/>
  <c r="J116" i="1"/>
  <c r="F86" i="1"/>
  <c r="J86" i="1"/>
  <c r="F56" i="1"/>
  <c r="F41" i="1"/>
  <c r="J41" i="1"/>
  <c r="F26" i="1"/>
  <c r="J26" i="1"/>
  <c r="G192" i="4"/>
  <c r="H192" i="4"/>
  <c r="F192" i="4"/>
  <c r="G177" i="4"/>
  <c r="H177" i="4"/>
  <c r="F177" i="4"/>
  <c r="G162" i="4"/>
  <c r="H162" i="4"/>
  <c r="F162" i="4"/>
  <c r="G147" i="4"/>
  <c r="H147" i="4"/>
  <c r="F147" i="4"/>
  <c r="G132" i="4"/>
  <c r="H132" i="4"/>
  <c r="F132" i="4"/>
  <c r="G117" i="4"/>
  <c r="H117" i="4"/>
  <c r="F117" i="4"/>
  <c r="G102" i="4"/>
  <c r="H102" i="4"/>
  <c r="F102" i="4"/>
  <c r="G87" i="4"/>
  <c r="H87" i="4"/>
  <c r="F87" i="4"/>
  <c r="G72" i="4"/>
  <c r="H72" i="4"/>
  <c r="F72" i="4"/>
  <c r="G57" i="4"/>
  <c r="H57" i="4"/>
  <c r="F57" i="4"/>
  <c r="G42" i="4"/>
  <c r="H42" i="4"/>
  <c r="F42" i="4"/>
  <c r="G27" i="4"/>
  <c r="H27" i="4"/>
  <c r="F27" i="4"/>
  <c r="G12" i="4"/>
  <c r="H12" i="4"/>
  <c r="F12" i="4"/>
  <c r="B192" i="4"/>
  <c r="B177" i="4"/>
  <c r="B162" i="4"/>
  <c r="B147" i="4"/>
  <c r="B132" i="4"/>
  <c r="B117" i="4"/>
  <c r="B102" i="4"/>
  <c r="B87" i="4"/>
  <c r="B72" i="4"/>
  <c r="B57" i="4"/>
  <c r="B42" i="4"/>
  <c r="B27" i="4"/>
  <c r="B12" i="4"/>
  <c r="G177" i="5"/>
  <c r="H177" i="5"/>
  <c r="F177" i="5"/>
  <c r="B192" i="5"/>
  <c r="B177" i="5"/>
  <c r="B162" i="5"/>
  <c r="B147" i="5"/>
  <c r="B132" i="5"/>
  <c r="B117" i="5"/>
  <c r="B102" i="5"/>
  <c r="B87" i="5"/>
  <c r="B72" i="5"/>
  <c r="B57" i="5"/>
  <c r="B42" i="5"/>
  <c r="B27" i="5"/>
  <c r="B12" i="5"/>
  <c r="G191" i="3"/>
  <c r="F191" i="3"/>
  <c r="G176" i="3"/>
  <c r="F176" i="3"/>
  <c r="G161" i="3"/>
  <c r="F161" i="3"/>
  <c r="G146" i="3"/>
  <c r="F146" i="3"/>
  <c r="G131" i="3"/>
  <c r="F131" i="3"/>
  <c r="G116" i="3"/>
  <c r="F116" i="3"/>
  <c r="G101" i="3"/>
  <c r="F101" i="3"/>
  <c r="G86" i="3"/>
  <c r="F86" i="3"/>
  <c r="G71" i="3"/>
  <c r="F71" i="3"/>
  <c r="G56" i="3"/>
  <c r="F56" i="3"/>
  <c r="G41" i="3"/>
  <c r="F41" i="3"/>
  <c r="G26" i="3"/>
  <c r="F26" i="3"/>
  <c r="B191" i="3"/>
  <c r="B176" i="3"/>
  <c r="B161" i="3"/>
  <c r="B146" i="3"/>
  <c r="B131" i="3"/>
  <c r="B116" i="3"/>
  <c r="B101" i="3"/>
  <c r="B86" i="3"/>
  <c r="B71" i="3"/>
  <c r="B56" i="3"/>
  <c r="B41" i="3"/>
  <c r="B26" i="3"/>
  <c r="G11" i="3"/>
  <c r="F11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91" i="1"/>
  <c r="I191" i="1"/>
  <c r="E191" i="1"/>
  <c r="M176" i="1"/>
  <c r="I176" i="1"/>
  <c r="E176" i="1"/>
  <c r="M161" i="1"/>
  <c r="I161" i="1"/>
  <c r="E161" i="1"/>
  <c r="M146" i="1"/>
  <c r="I146" i="1"/>
  <c r="E146" i="1"/>
  <c r="M131" i="1"/>
  <c r="I131" i="1"/>
  <c r="E131" i="1"/>
  <c r="M116" i="1"/>
  <c r="I116" i="1"/>
  <c r="E116" i="1"/>
  <c r="M101" i="1"/>
  <c r="I101" i="1"/>
  <c r="E101" i="1"/>
  <c r="M86" i="1"/>
  <c r="I86" i="1"/>
  <c r="E86" i="1"/>
  <c r="M71" i="1"/>
  <c r="I71" i="1"/>
  <c r="E71" i="1"/>
  <c r="M56" i="1"/>
  <c r="I56" i="1"/>
  <c r="E56" i="1"/>
  <c r="M41" i="1"/>
  <c r="I41" i="1"/>
  <c r="E41" i="1"/>
  <c r="M26" i="1"/>
  <c r="I26" i="1"/>
  <c r="E26" i="1"/>
  <c r="M11" i="1"/>
  <c r="I11" i="1"/>
  <c r="E11" i="1"/>
  <c r="B191" i="1"/>
  <c r="B176" i="1"/>
  <c r="B161" i="1"/>
  <c r="B146" i="1"/>
  <c r="B131" i="1"/>
  <c r="B116" i="1"/>
  <c r="B101" i="1"/>
  <c r="B86" i="1"/>
  <c r="B71" i="1"/>
  <c r="B56" i="1"/>
  <c r="B41" i="1"/>
  <c r="B26" i="1"/>
  <c r="B11" i="1"/>
  <c r="G191" i="4"/>
  <c r="H191" i="4"/>
  <c r="F191" i="4"/>
  <c r="G176" i="4"/>
  <c r="H176" i="4"/>
  <c r="F176" i="4"/>
  <c r="G161" i="4"/>
  <c r="H161" i="4"/>
  <c r="F161" i="4"/>
  <c r="G146" i="4"/>
  <c r="H146" i="4"/>
  <c r="F146" i="4"/>
  <c r="G131" i="4"/>
  <c r="H131" i="4"/>
  <c r="F131" i="4"/>
  <c r="G116" i="4"/>
  <c r="H116" i="4"/>
  <c r="F116" i="4"/>
  <c r="G101" i="4"/>
  <c r="H101" i="4"/>
  <c r="F101" i="4"/>
  <c r="G86" i="4"/>
  <c r="H86" i="4"/>
  <c r="F86" i="4"/>
  <c r="G71" i="4"/>
  <c r="H71" i="4"/>
  <c r="F71" i="4"/>
  <c r="G56" i="4"/>
  <c r="H56" i="4"/>
  <c r="F56" i="4"/>
  <c r="G41" i="4"/>
  <c r="H41" i="4"/>
  <c r="F41" i="4"/>
  <c r="G26" i="4"/>
  <c r="H26" i="4"/>
  <c r="F26" i="4"/>
  <c r="G11" i="4"/>
  <c r="H11" i="4"/>
  <c r="F11" i="4"/>
  <c r="B191" i="4"/>
  <c r="B176" i="4"/>
  <c r="B161" i="4"/>
  <c r="B146" i="4"/>
  <c r="B131" i="4"/>
  <c r="B116" i="4"/>
  <c r="B101" i="4"/>
  <c r="B86" i="4"/>
  <c r="B71" i="4"/>
  <c r="B56" i="4"/>
  <c r="B41" i="4"/>
  <c r="B26" i="4"/>
  <c r="B11" i="4"/>
  <c r="G176" i="5"/>
  <c r="H176" i="5"/>
  <c r="F176" i="5"/>
  <c r="B191" i="5"/>
  <c r="B176" i="5"/>
  <c r="B161" i="5"/>
  <c r="B146" i="5"/>
  <c r="B131" i="5"/>
  <c r="B116" i="5"/>
  <c r="B101" i="5"/>
  <c r="B86" i="5"/>
  <c r="B71" i="5"/>
  <c r="B56" i="5"/>
  <c r="B41" i="5"/>
  <c r="B26" i="5"/>
  <c r="B11" i="5"/>
  <c r="G190" i="3"/>
  <c r="F190" i="3"/>
  <c r="G175" i="3"/>
  <c r="F175" i="3"/>
  <c r="G160" i="3"/>
  <c r="F160" i="3"/>
  <c r="G145" i="3"/>
  <c r="F145" i="3"/>
  <c r="G130" i="3"/>
  <c r="F130" i="3"/>
  <c r="G115" i="3"/>
  <c r="F115" i="3"/>
  <c r="G100" i="3"/>
  <c r="F100" i="3"/>
  <c r="G85" i="3"/>
  <c r="F85" i="3"/>
  <c r="G70" i="3"/>
  <c r="F70" i="3"/>
  <c r="G55" i="3"/>
  <c r="F55" i="3"/>
  <c r="G40" i="3"/>
  <c r="F40" i="3"/>
  <c r="G25" i="3"/>
  <c r="F25" i="3"/>
  <c r="G10" i="3"/>
  <c r="F10" i="3"/>
  <c r="B190" i="3"/>
  <c r="B175" i="3"/>
  <c r="B160" i="3"/>
  <c r="B145" i="3"/>
  <c r="B130" i="3"/>
  <c r="B115" i="3"/>
  <c r="B100" i="3"/>
  <c r="B85" i="3"/>
  <c r="B70" i="3"/>
  <c r="B55" i="3"/>
  <c r="B40" i="3"/>
  <c r="B25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G114" i="1"/>
  <c r="M190" i="1"/>
  <c r="I190" i="1"/>
  <c r="E190" i="1"/>
  <c r="G190" i="1"/>
  <c r="F190" i="1"/>
  <c r="J190" i="1"/>
  <c r="M175" i="1"/>
  <c r="I175" i="1"/>
  <c r="E175" i="1"/>
  <c r="G175" i="1"/>
  <c r="F175" i="1"/>
  <c r="J175" i="1"/>
  <c r="M160" i="1"/>
  <c r="I160" i="1"/>
  <c r="E160" i="1"/>
  <c r="G160" i="1"/>
  <c r="F160" i="1"/>
  <c r="J160" i="1"/>
  <c r="M145" i="1"/>
  <c r="I145" i="1"/>
  <c r="E145" i="1"/>
  <c r="G145" i="1"/>
  <c r="F145" i="1"/>
  <c r="J145" i="1"/>
  <c r="M130" i="1"/>
  <c r="I130" i="1"/>
  <c r="E130" i="1"/>
  <c r="G130" i="1"/>
  <c r="F130" i="1"/>
  <c r="J130" i="1"/>
  <c r="M115" i="1"/>
  <c r="I115" i="1"/>
  <c r="E115" i="1"/>
  <c r="M100" i="1"/>
  <c r="I100" i="1"/>
  <c r="E100" i="1"/>
  <c r="G100" i="1"/>
  <c r="F100" i="1"/>
  <c r="J100" i="1"/>
  <c r="M85" i="1"/>
  <c r="I85" i="1"/>
  <c r="E85" i="1"/>
  <c r="G85" i="1"/>
  <c r="F85" i="1"/>
  <c r="M70" i="1"/>
  <c r="I70" i="1"/>
  <c r="E70" i="1"/>
  <c r="G70" i="1"/>
  <c r="F70" i="1"/>
  <c r="J70" i="1"/>
  <c r="M55" i="1"/>
  <c r="I55" i="1"/>
  <c r="E55" i="1"/>
  <c r="G55" i="1"/>
  <c r="M40" i="1"/>
  <c r="I40" i="1"/>
  <c r="E40" i="1"/>
  <c r="G40" i="1"/>
  <c r="F40" i="1"/>
  <c r="J40" i="1"/>
  <c r="M25" i="1"/>
  <c r="I25" i="1"/>
  <c r="E25" i="1"/>
  <c r="G25" i="1"/>
  <c r="F25" i="1"/>
  <c r="J25" i="1"/>
  <c r="M10" i="1"/>
  <c r="I10" i="1"/>
  <c r="E10" i="1"/>
  <c r="G10" i="1"/>
  <c r="H10" i="1"/>
  <c r="F10" i="1"/>
  <c r="J10" i="1"/>
  <c r="B190" i="1"/>
  <c r="B175" i="1"/>
  <c r="B160" i="1"/>
  <c r="B145" i="1"/>
  <c r="B130" i="1"/>
  <c r="B115" i="1"/>
  <c r="B100" i="1"/>
  <c r="B85" i="1"/>
  <c r="B70" i="1"/>
  <c r="B55" i="1"/>
  <c r="B40" i="1"/>
  <c r="B25" i="1"/>
  <c r="B10" i="1"/>
  <c r="B190" i="4"/>
  <c r="B175" i="4"/>
  <c r="B160" i="4"/>
  <c r="B145" i="4"/>
  <c r="B130" i="4"/>
  <c r="B115" i="4"/>
  <c r="B100" i="4"/>
  <c r="B85" i="4"/>
  <c r="B70" i="4"/>
  <c r="B55" i="4"/>
  <c r="B40" i="4"/>
  <c r="B25" i="4"/>
  <c r="B10" i="4"/>
  <c r="B190" i="5"/>
  <c r="B175" i="5"/>
  <c r="B160" i="5"/>
  <c r="B145" i="5"/>
  <c r="B130" i="5"/>
  <c r="B115" i="5"/>
  <c r="B100" i="5"/>
  <c r="B85" i="5"/>
  <c r="B70" i="5"/>
  <c r="B55" i="5"/>
  <c r="B40" i="5"/>
  <c r="B25" i="5"/>
  <c r="B10" i="5"/>
  <c r="B189" i="3"/>
  <c r="B174" i="3"/>
  <c r="B159" i="3"/>
  <c r="B144" i="3"/>
  <c r="B129" i="3"/>
  <c r="B114" i="3"/>
  <c r="B99" i="3"/>
  <c r="B84" i="3"/>
  <c r="B69" i="3"/>
  <c r="B54" i="3"/>
  <c r="B39" i="3"/>
  <c r="B24" i="3"/>
  <c r="B9" i="3"/>
  <c r="A31" i="2"/>
  <c r="A10" i="2"/>
  <c r="G189" i="1"/>
  <c r="F189" i="1"/>
  <c r="G174" i="1"/>
  <c r="F174" i="1"/>
  <c r="J174" i="1"/>
  <c r="G159" i="1"/>
  <c r="F159" i="1"/>
  <c r="G144" i="1"/>
  <c r="F144" i="1"/>
  <c r="J144" i="1"/>
  <c r="G129" i="1"/>
  <c r="F129" i="1"/>
  <c r="J129" i="1"/>
  <c r="F114" i="1"/>
  <c r="G99" i="1"/>
  <c r="F99" i="1"/>
  <c r="G84" i="1"/>
  <c r="F84" i="1"/>
  <c r="J84" i="1"/>
  <c r="G69" i="1"/>
  <c r="F69" i="1"/>
  <c r="G54" i="1"/>
  <c r="G39" i="1"/>
  <c r="F39" i="1"/>
  <c r="J39" i="1"/>
  <c r="G24" i="1"/>
  <c r="F24" i="1"/>
  <c r="J24" i="1"/>
  <c r="G9" i="1"/>
  <c r="F9" i="1"/>
  <c r="J9" i="1"/>
  <c r="B189" i="1"/>
  <c r="B174" i="1"/>
  <c r="B159" i="1"/>
  <c r="B144" i="1"/>
  <c r="B129" i="1"/>
  <c r="B114" i="1"/>
  <c r="B99" i="1"/>
  <c r="B84" i="1"/>
  <c r="B69" i="1"/>
  <c r="B54" i="1"/>
  <c r="B39" i="1"/>
  <c r="B24" i="1"/>
  <c r="B9" i="1"/>
  <c r="F175" i="5"/>
  <c r="G175" i="5"/>
  <c r="H175" i="5"/>
  <c r="B10" i="2"/>
  <c r="E203" i="5"/>
  <c r="D203" i="5"/>
  <c r="C203" i="5"/>
  <c r="E188" i="5"/>
  <c r="D188" i="5"/>
  <c r="C188" i="5"/>
  <c r="E173" i="5"/>
  <c r="D173" i="5"/>
  <c r="C173" i="5"/>
  <c r="E158" i="5"/>
  <c r="D158" i="5"/>
  <c r="C158" i="5"/>
  <c r="E143" i="5"/>
  <c r="D143" i="5"/>
  <c r="C143" i="5"/>
  <c r="E128" i="5"/>
  <c r="D128" i="5"/>
  <c r="C128" i="5"/>
  <c r="E113" i="5"/>
  <c r="D113" i="5"/>
  <c r="C113" i="5"/>
  <c r="E98" i="5"/>
  <c r="D98" i="5"/>
  <c r="C98" i="5"/>
  <c r="E83" i="5"/>
  <c r="D83" i="5"/>
  <c r="C83" i="5"/>
  <c r="E68" i="5"/>
  <c r="D68" i="5"/>
  <c r="C68" i="5"/>
  <c r="E53" i="5"/>
  <c r="D53" i="5"/>
  <c r="C53" i="5"/>
  <c r="E38" i="5"/>
  <c r="D38" i="5"/>
  <c r="C38" i="5"/>
  <c r="E23" i="5"/>
  <c r="D23" i="5"/>
  <c r="C23" i="5"/>
  <c r="L67" i="1"/>
  <c r="F85" i="4"/>
  <c r="F84" i="3"/>
  <c r="M84" i="1"/>
  <c r="E84" i="1"/>
  <c r="F190" i="4"/>
  <c r="F189" i="3"/>
  <c r="G31" i="2"/>
  <c r="G10" i="2"/>
  <c r="M189" i="1"/>
  <c r="E189" i="1"/>
  <c r="E98" i="4"/>
  <c r="D98" i="4"/>
  <c r="C98" i="4"/>
  <c r="G85" i="4"/>
  <c r="H85" i="4"/>
  <c r="E97" i="3"/>
  <c r="D97" i="3"/>
  <c r="C97" i="3"/>
  <c r="G84" i="3"/>
  <c r="L97" i="1"/>
  <c r="D97" i="1"/>
  <c r="C97" i="1"/>
  <c r="I84" i="1"/>
  <c r="G190" i="4"/>
  <c r="H190" i="4"/>
  <c r="G189" i="3"/>
  <c r="I189" i="1"/>
  <c r="D22" i="1"/>
  <c r="D37" i="1"/>
  <c r="D52" i="1"/>
  <c r="D67" i="1"/>
  <c r="D82" i="1"/>
  <c r="D112" i="1"/>
  <c r="D127" i="1"/>
  <c r="D142" i="1"/>
  <c r="D157" i="1"/>
  <c r="D172" i="1"/>
  <c r="D187" i="1"/>
  <c r="D202" i="1"/>
  <c r="C202" i="1"/>
  <c r="C203" i="4"/>
  <c r="D203" i="4"/>
  <c r="C202" i="3"/>
  <c r="D202" i="3"/>
  <c r="E23" i="4"/>
  <c r="E38" i="4"/>
  <c r="E53" i="4"/>
  <c r="E68" i="4"/>
  <c r="E83" i="4"/>
  <c r="E113" i="4"/>
  <c r="E128" i="4"/>
  <c r="E143" i="4"/>
  <c r="E158" i="4"/>
  <c r="E173" i="4"/>
  <c r="E188" i="4"/>
  <c r="E203" i="4"/>
  <c r="D23" i="4"/>
  <c r="D38" i="4"/>
  <c r="D53" i="4"/>
  <c r="D68" i="4"/>
  <c r="D83" i="4"/>
  <c r="D113" i="4"/>
  <c r="D128" i="4"/>
  <c r="D143" i="4"/>
  <c r="D158" i="4"/>
  <c r="D173" i="4"/>
  <c r="D188" i="4"/>
  <c r="C23" i="4"/>
  <c r="G23" i="4"/>
  <c r="H23" i="4"/>
  <c r="C38" i="4"/>
  <c r="C53" i="4"/>
  <c r="C68" i="4"/>
  <c r="C83" i="4"/>
  <c r="C113" i="4"/>
  <c r="C128" i="4"/>
  <c r="C143" i="4"/>
  <c r="C158" i="4"/>
  <c r="C173" i="4"/>
  <c r="C188" i="4"/>
  <c r="F145" i="4"/>
  <c r="E22" i="3"/>
  <c r="E37" i="3"/>
  <c r="E52" i="3"/>
  <c r="E67" i="3"/>
  <c r="E82" i="3"/>
  <c r="E112" i="3"/>
  <c r="E127" i="3"/>
  <c r="E142" i="3"/>
  <c r="E157" i="3"/>
  <c r="E172" i="3"/>
  <c r="E187" i="3"/>
  <c r="E202" i="3"/>
  <c r="D22" i="3"/>
  <c r="D37" i="3"/>
  <c r="D52" i="3"/>
  <c r="D67" i="3"/>
  <c r="D82" i="3"/>
  <c r="D112" i="3"/>
  <c r="D127" i="3"/>
  <c r="D142" i="3"/>
  <c r="D157" i="3"/>
  <c r="D172" i="3"/>
  <c r="D187" i="3"/>
  <c r="C22" i="3"/>
  <c r="C37" i="3"/>
  <c r="C52" i="3"/>
  <c r="G52" i="3"/>
  <c r="C67" i="3"/>
  <c r="C82" i="3"/>
  <c r="C112" i="3"/>
  <c r="G112" i="3"/>
  <c r="C127" i="3"/>
  <c r="C142" i="3"/>
  <c r="C157" i="3"/>
  <c r="C172" i="3"/>
  <c r="C187" i="3"/>
  <c r="F144" i="3"/>
  <c r="M144" i="1"/>
  <c r="E144" i="1"/>
  <c r="L22" i="1"/>
  <c r="L37" i="1"/>
  <c r="L52" i="1"/>
  <c r="L82" i="1"/>
  <c r="L112" i="1"/>
  <c r="L127" i="1"/>
  <c r="L157" i="1"/>
  <c r="L172" i="1"/>
  <c r="L187" i="1"/>
  <c r="K22" i="1"/>
  <c r="K37" i="1"/>
  <c r="C22" i="1"/>
  <c r="C37" i="1"/>
  <c r="C52" i="1"/>
  <c r="C67" i="1"/>
  <c r="C82" i="1"/>
  <c r="C112" i="1"/>
  <c r="C127" i="1"/>
  <c r="C142" i="1"/>
  <c r="C157" i="1"/>
  <c r="C172" i="1"/>
  <c r="C187" i="1"/>
  <c r="E159" i="1"/>
  <c r="I159" i="1"/>
  <c r="M159" i="1"/>
  <c r="K157" i="1"/>
  <c r="F175" i="4"/>
  <c r="K31" i="2"/>
  <c r="K10" i="2"/>
  <c r="K67" i="1"/>
  <c r="K82" i="1"/>
  <c r="K112" i="1"/>
  <c r="K127" i="1"/>
  <c r="K142" i="1"/>
  <c r="K187" i="1"/>
  <c r="I144" i="1"/>
  <c r="G145" i="4"/>
  <c r="H145" i="4"/>
  <c r="G144" i="3"/>
  <c r="F115" i="4"/>
  <c r="F114" i="3"/>
  <c r="N31" i="2"/>
  <c r="M31" i="2"/>
  <c r="L31" i="2"/>
  <c r="J31" i="2"/>
  <c r="I31" i="2"/>
  <c r="H31" i="2"/>
  <c r="F31" i="2"/>
  <c r="E31" i="2"/>
  <c r="C31" i="2"/>
  <c r="B31" i="2"/>
  <c r="M114" i="1"/>
  <c r="E114" i="1"/>
  <c r="I10" i="2"/>
  <c r="G115" i="4"/>
  <c r="H115" i="4"/>
  <c r="G130" i="4"/>
  <c r="H130" i="4"/>
  <c r="F130" i="4"/>
  <c r="G114" i="3"/>
  <c r="I114" i="1"/>
  <c r="F10" i="4"/>
  <c r="G10" i="4"/>
  <c r="H10" i="4"/>
  <c r="I9" i="1"/>
  <c r="I24" i="1"/>
  <c r="I54" i="1"/>
  <c r="I69" i="1"/>
  <c r="I99" i="1"/>
  <c r="I129" i="1"/>
  <c r="I174" i="1"/>
  <c r="E9" i="1"/>
  <c r="M9" i="1"/>
  <c r="E24" i="1"/>
  <c r="M24" i="1"/>
  <c r="E39" i="1"/>
  <c r="E54" i="1"/>
  <c r="M54" i="1"/>
  <c r="E69" i="1"/>
  <c r="M69" i="1"/>
  <c r="E99" i="1"/>
  <c r="M99" i="1"/>
  <c r="E129" i="1"/>
  <c r="M129" i="1"/>
  <c r="E174" i="1"/>
  <c r="M174" i="1"/>
  <c r="F25" i="4"/>
  <c r="G25" i="4"/>
  <c r="H25" i="4"/>
  <c r="F40" i="4"/>
  <c r="G40" i="4"/>
  <c r="H40" i="4"/>
  <c r="F55" i="4"/>
  <c r="G55" i="4"/>
  <c r="H55" i="4"/>
  <c r="F70" i="4"/>
  <c r="G70" i="4"/>
  <c r="H70" i="4"/>
  <c r="F100" i="4"/>
  <c r="G100" i="4"/>
  <c r="H100" i="4"/>
  <c r="F160" i="4"/>
  <c r="G160" i="4"/>
  <c r="H160" i="4"/>
  <c r="G175" i="4"/>
  <c r="H175" i="4"/>
  <c r="F9" i="3"/>
  <c r="F24" i="3"/>
  <c r="G24" i="3"/>
  <c r="F39" i="3"/>
  <c r="G39" i="3"/>
  <c r="F54" i="3"/>
  <c r="G54" i="3"/>
  <c r="F69" i="3"/>
  <c r="G69" i="3"/>
  <c r="F99" i="3"/>
  <c r="G99" i="3"/>
  <c r="F129" i="3"/>
  <c r="G129" i="3"/>
  <c r="F159" i="3"/>
  <c r="G159" i="3"/>
  <c r="F174" i="3"/>
  <c r="G174" i="3"/>
  <c r="G9" i="3"/>
  <c r="C10" i="2"/>
  <c r="D10" i="2"/>
  <c r="E10" i="2"/>
  <c r="F10" i="2"/>
  <c r="H10" i="2"/>
  <c r="J10" i="2"/>
  <c r="L10" i="2"/>
  <c r="M10" i="2"/>
  <c r="N10" i="2"/>
  <c r="I39" i="1"/>
  <c r="M39" i="1"/>
  <c r="K52" i="1"/>
  <c r="D31" i="2"/>
  <c r="L202" i="1"/>
  <c r="K202" i="1"/>
  <c r="I202" i="1"/>
  <c r="K97" i="1"/>
  <c r="K172" i="1"/>
  <c r="L142" i="1"/>
  <c r="M206" i="1"/>
  <c r="J13" i="1"/>
  <c r="J104" i="1"/>
  <c r="J101" i="1"/>
  <c r="J189" i="1"/>
  <c r="H123" i="1"/>
  <c r="G203" i="4"/>
  <c r="H203" i="4"/>
  <c r="G158" i="4"/>
  <c r="H158" i="4"/>
  <c r="F143" i="4"/>
  <c r="G68" i="4"/>
  <c r="H68" i="4"/>
  <c r="F23" i="4"/>
  <c r="F207" i="4"/>
  <c r="F83" i="4"/>
  <c r="F158" i="4"/>
  <c r="G98" i="4"/>
  <c r="H98" i="4"/>
  <c r="F98" i="4"/>
  <c r="F173" i="4"/>
  <c r="F38" i="4"/>
  <c r="G113" i="4"/>
  <c r="H113" i="4"/>
  <c r="F68" i="4"/>
  <c r="G188" i="4"/>
  <c r="H188" i="4"/>
  <c r="G53" i="4"/>
  <c r="H53" i="4"/>
  <c r="G173" i="4"/>
  <c r="H173" i="4"/>
  <c r="F113" i="4"/>
  <c r="F128" i="4"/>
  <c r="F188" i="4"/>
  <c r="F53" i="4"/>
  <c r="G207" i="4"/>
  <c r="H207" i="4"/>
  <c r="C205" i="4"/>
  <c r="F203" i="4"/>
  <c r="G38" i="4"/>
  <c r="H38" i="4"/>
  <c r="E205" i="4"/>
  <c r="G83" i="4"/>
  <c r="H83" i="4"/>
  <c r="D205" i="4"/>
  <c r="G128" i="4"/>
  <c r="H128" i="4"/>
  <c r="G143" i="4"/>
  <c r="H143" i="4"/>
  <c r="F207" i="5"/>
  <c r="G188" i="5"/>
  <c r="H188" i="5"/>
  <c r="G158" i="5"/>
  <c r="H158" i="5"/>
  <c r="F23" i="5"/>
  <c r="F68" i="5"/>
  <c r="C205" i="5"/>
  <c r="E205" i="5"/>
  <c r="F188" i="5"/>
  <c r="D205" i="5"/>
  <c r="G187" i="3"/>
  <c r="G157" i="3"/>
  <c r="F67" i="3"/>
  <c r="G67" i="3"/>
  <c r="F22" i="3"/>
  <c r="G172" i="3"/>
  <c r="G82" i="3"/>
  <c r="F52" i="3"/>
  <c r="F97" i="3"/>
  <c r="F157" i="3"/>
  <c r="G206" i="3"/>
  <c r="F172" i="3"/>
  <c r="G37" i="3"/>
  <c r="F112" i="3"/>
  <c r="F82" i="3"/>
  <c r="G127" i="3"/>
  <c r="G97" i="3"/>
  <c r="F37" i="3"/>
  <c r="F187" i="3"/>
  <c r="F202" i="3"/>
  <c r="G22" i="3"/>
  <c r="D204" i="3"/>
  <c r="G202" i="3"/>
  <c r="F127" i="3"/>
  <c r="E204" i="3"/>
  <c r="G142" i="3"/>
  <c r="F142" i="3"/>
  <c r="C204" i="3"/>
  <c r="O42" i="2"/>
  <c r="O21" i="2"/>
  <c r="I172" i="1"/>
  <c r="J92" i="1"/>
  <c r="H78" i="1"/>
  <c r="H189" i="1"/>
  <c r="H147" i="1"/>
  <c r="H19" i="1"/>
  <c r="H108" i="1"/>
  <c r="I37" i="1"/>
  <c r="H14" i="1"/>
  <c r="H148" i="1"/>
  <c r="H29" i="1"/>
  <c r="H105" i="1"/>
  <c r="H122" i="1"/>
  <c r="H60" i="1"/>
  <c r="H49" i="1"/>
  <c r="H99" i="1"/>
  <c r="H94" i="1"/>
  <c r="H130" i="1"/>
  <c r="H180" i="1"/>
  <c r="H32" i="1"/>
  <c r="E206" i="1"/>
  <c r="H44" i="1"/>
  <c r="H144" i="1"/>
  <c r="M172" i="1"/>
  <c r="H119" i="1"/>
  <c r="I82" i="1"/>
  <c r="J99" i="1"/>
  <c r="I206" i="1"/>
  <c r="I52" i="1"/>
  <c r="M112" i="1"/>
  <c r="H146" i="1"/>
  <c r="H149" i="1"/>
  <c r="H106" i="1"/>
  <c r="H182" i="1"/>
  <c r="M187" i="1"/>
  <c r="M22" i="1"/>
  <c r="F127" i="1"/>
  <c r="J127" i="1"/>
  <c r="H74" i="1"/>
  <c r="H131" i="1"/>
  <c r="H136" i="1"/>
  <c r="E127" i="1"/>
  <c r="H160" i="1"/>
  <c r="H63" i="1"/>
  <c r="H77" i="1"/>
  <c r="H192" i="1"/>
  <c r="H132" i="1"/>
  <c r="H193" i="1"/>
  <c r="H86" i="1"/>
  <c r="H163" i="1"/>
  <c r="H61" i="1"/>
  <c r="H181" i="1"/>
  <c r="H79" i="1"/>
  <c r="H91" i="1"/>
  <c r="H56" i="1"/>
  <c r="H191" i="1"/>
  <c r="H116" i="1"/>
  <c r="H89" i="1"/>
  <c r="H124" i="1"/>
  <c r="H183" i="1"/>
  <c r="H90" i="1"/>
  <c r="J44" i="2"/>
  <c r="E172" i="1"/>
  <c r="E37" i="1"/>
  <c r="H102" i="1"/>
  <c r="H11" i="1"/>
  <c r="I67" i="1"/>
  <c r="H197" i="1"/>
  <c r="J56" i="1"/>
  <c r="H62" i="1"/>
  <c r="O15" i="2"/>
  <c r="J23" i="2"/>
  <c r="E67" i="1"/>
  <c r="O32" i="2"/>
  <c r="K44" i="2"/>
  <c r="O12" i="2"/>
  <c r="O33" i="2"/>
  <c r="H196" i="1"/>
  <c r="H107" i="1"/>
  <c r="H72" i="1"/>
  <c r="C44" i="2"/>
  <c r="E112" i="1"/>
  <c r="E97" i="1"/>
  <c r="H9" i="1"/>
  <c r="O38" i="2"/>
  <c r="H58" i="1"/>
  <c r="H190" i="1"/>
  <c r="H13" i="1"/>
  <c r="K23" i="2"/>
  <c r="H59" i="1"/>
  <c r="F82" i="1"/>
  <c r="J82" i="1"/>
  <c r="G37" i="1"/>
  <c r="H47" i="1"/>
  <c r="M67" i="1"/>
  <c r="I22" i="1"/>
  <c r="H162" i="1"/>
  <c r="J131" i="1"/>
  <c r="H23" i="2"/>
  <c r="O34" i="2"/>
  <c r="H104" i="1"/>
  <c r="H121" i="1"/>
  <c r="F22" i="1"/>
  <c r="H138" i="1"/>
  <c r="J182" i="1"/>
  <c r="O40" i="2"/>
  <c r="H64" i="1"/>
  <c r="H154" i="1"/>
  <c r="O20" i="2"/>
  <c r="O41" i="2"/>
  <c r="O16" i="2"/>
  <c r="H75" i="1"/>
  <c r="E157" i="1"/>
  <c r="H159" i="1"/>
  <c r="G157" i="1"/>
  <c r="C23" i="2"/>
  <c r="H135" i="1"/>
  <c r="M23" i="2"/>
  <c r="F44" i="2"/>
  <c r="H139" i="1"/>
  <c r="I23" i="2"/>
  <c r="O13" i="2"/>
  <c r="F52" i="1"/>
  <c r="J52" i="1"/>
  <c r="O36" i="2"/>
  <c r="H76" i="1"/>
  <c r="H15" i="1"/>
  <c r="H55" i="1"/>
  <c r="B44" i="2"/>
  <c r="M37" i="1"/>
  <c r="E82" i="1"/>
  <c r="B23" i="2"/>
  <c r="G67" i="1"/>
  <c r="J114" i="1"/>
  <c r="H101" i="1"/>
  <c r="H194" i="1"/>
  <c r="H150" i="1"/>
  <c r="H39" i="1"/>
  <c r="H175" i="1"/>
  <c r="H153" i="1"/>
  <c r="H33" i="1"/>
  <c r="H40" i="1"/>
  <c r="E52" i="1"/>
  <c r="H129" i="1"/>
  <c r="H117" i="1"/>
  <c r="H103" i="1"/>
  <c r="H16" i="1"/>
  <c r="H46" i="1"/>
  <c r="H42" i="1"/>
  <c r="H45" i="1"/>
  <c r="I127" i="1"/>
  <c r="H85" i="1"/>
  <c r="H118" i="1"/>
  <c r="O18" i="2"/>
  <c r="J79" i="1"/>
  <c r="J94" i="1"/>
  <c r="O31" i="2"/>
  <c r="E202" i="1"/>
  <c r="D44" i="2"/>
  <c r="G172" i="1"/>
  <c r="H69" i="1"/>
  <c r="G187" i="1"/>
  <c r="J11" i="1"/>
  <c r="M52" i="1"/>
  <c r="G142" i="1"/>
  <c r="F202" i="1"/>
  <c r="J202" i="1"/>
  <c r="O39" i="2"/>
  <c r="O37" i="2"/>
  <c r="G44" i="2"/>
  <c r="H25" i="1"/>
  <c r="F142" i="1"/>
  <c r="H178" i="1"/>
  <c r="H100" i="1"/>
  <c r="H48" i="1"/>
  <c r="H174" i="1"/>
  <c r="H166" i="1"/>
  <c r="H27" i="1"/>
  <c r="E23" i="2"/>
  <c r="H44" i="2"/>
  <c r="K204" i="1"/>
  <c r="L204" i="1"/>
  <c r="D204" i="1"/>
  <c r="E22" i="1"/>
  <c r="H24" i="1"/>
  <c r="H84" i="1"/>
  <c r="H161" i="1"/>
  <c r="G97" i="1"/>
  <c r="L23" i="2"/>
  <c r="H179" i="1"/>
  <c r="H184" i="1"/>
  <c r="O35" i="2"/>
  <c r="H176" i="1"/>
  <c r="M202" i="1"/>
  <c r="H70" i="1"/>
  <c r="O17" i="2"/>
  <c r="H54" i="1"/>
  <c r="H31" i="1"/>
  <c r="G127" i="1"/>
  <c r="F67" i="1"/>
  <c r="J67" i="1"/>
  <c r="H114" i="1"/>
  <c r="G112" i="1"/>
  <c r="H26" i="1"/>
  <c r="H134" i="1"/>
  <c r="D23" i="2"/>
  <c r="I44" i="2"/>
  <c r="C204" i="1"/>
  <c r="M127" i="1"/>
  <c r="E142" i="1"/>
  <c r="F23" i="2"/>
  <c r="N23" i="2"/>
  <c r="E44" i="2"/>
  <c r="M44" i="2"/>
  <c r="G202" i="1"/>
  <c r="O14" i="2"/>
  <c r="H120" i="1"/>
  <c r="O19" i="2"/>
  <c r="N44" i="2"/>
  <c r="O11" i="2"/>
  <c r="G23" i="2"/>
  <c r="G52" i="1"/>
  <c r="H195" i="1"/>
  <c r="H12" i="1"/>
  <c r="H145" i="1"/>
  <c r="H73" i="1"/>
  <c r="J138" i="1"/>
  <c r="J69" i="1"/>
  <c r="H93" i="1"/>
  <c r="H88" i="1"/>
  <c r="J46" i="1"/>
  <c r="J121" i="1"/>
  <c r="J192" i="1"/>
  <c r="J194" i="1"/>
  <c r="I112" i="1"/>
  <c r="H152" i="1"/>
  <c r="H71" i="1"/>
  <c r="F157" i="1"/>
  <c r="F97" i="1"/>
  <c r="J97" i="1"/>
  <c r="H133" i="1"/>
  <c r="H18" i="1"/>
  <c r="I97" i="1"/>
  <c r="O10" i="2"/>
  <c r="L44" i="2"/>
  <c r="F172" i="1"/>
  <c r="J172" i="1"/>
  <c r="H164" i="1"/>
  <c r="H151" i="1"/>
  <c r="H28" i="1"/>
  <c r="J19" i="1"/>
  <c r="H109" i="1"/>
  <c r="H169" i="1"/>
  <c r="J28" i="1"/>
  <c r="G22" i="1"/>
  <c r="I187" i="1"/>
  <c r="F37" i="1"/>
  <c r="H168" i="1"/>
  <c r="H41" i="1"/>
  <c r="H87" i="1"/>
  <c r="H43" i="1"/>
  <c r="J159" i="1"/>
  <c r="J85" i="1"/>
  <c r="J102" i="1"/>
  <c r="J164" i="1"/>
  <c r="J12" i="1"/>
  <c r="J120" i="1"/>
  <c r="H199" i="1"/>
  <c r="J139" i="1"/>
  <c r="H34" i="1"/>
  <c r="E187" i="1"/>
  <c r="H137" i="1"/>
  <c r="F187" i="1"/>
  <c r="H17" i="1"/>
  <c r="I157" i="1"/>
  <c r="M82" i="1"/>
  <c r="H115" i="1"/>
  <c r="M157" i="1"/>
  <c r="F112" i="1"/>
  <c r="H57" i="1"/>
  <c r="J49" i="1"/>
  <c r="J109" i="1"/>
  <c r="J124" i="1"/>
  <c r="I142" i="1"/>
  <c r="M142" i="1"/>
  <c r="H167" i="1"/>
  <c r="H30" i="1"/>
  <c r="J161" i="1"/>
  <c r="J64" i="1"/>
  <c r="M97" i="1"/>
  <c r="G82" i="1"/>
  <c r="F205" i="4"/>
  <c r="G205" i="4"/>
  <c r="H205" i="4"/>
  <c r="G205" i="5"/>
  <c r="H205" i="5"/>
  <c r="F205" i="5"/>
  <c r="G204" i="3"/>
  <c r="F204" i="3"/>
  <c r="M204" i="1"/>
  <c r="H127" i="1"/>
  <c r="O44" i="2"/>
  <c r="H82" i="1"/>
  <c r="H22" i="1"/>
  <c r="H206" i="1"/>
  <c r="H157" i="1"/>
  <c r="H52" i="1"/>
  <c r="I204" i="1"/>
  <c r="J206" i="1"/>
  <c r="J22" i="1"/>
  <c r="H67" i="1"/>
  <c r="O23" i="2"/>
  <c r="H97" i="1"/>
  <c r="E204" i="1"/>
  <c r="H142" i="1"/>
  <c r="H172" i="1"/>
  <c r="J142" i="1"/>
  <c r="F204" i="1"/>
  <c r="J204" i="1"/>
  <c r="H202" i="1"/>
  <c r="J157" i="1"/>
  <c r="H37" i="1"/>
  <c r="J37" i="1"/>
  <c r="H112" i="1"/>
  <c r="J112" i="1"/>
  <c r="G204" i="1"/>
  <c r="H187" i="1"/>
  <c r="J187" i="1"/>
  <c r="H204" i="1"/>
</calcChain>
</file>

<file path=xl/sharedStrings.xml><?xml version="1.0" encoding="utf-8"?>
<sst xmlns="http://schemas.openxmlformats.org/spreadsheetml/2006/main" count="241" uniqueCount="78">
  <si>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</si>
  <si>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</si>
  <si>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</si>
  <si>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</si>
  <si>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</si>
  <si>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</si>
  <si>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</si>
  <si>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</si>
  <si>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</si>
  <si>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</si>
  <si>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</si>
  <si>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</si>
  <si>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</si>
  <si>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</si>
  <si>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</si>
  <si>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</si>
  <si>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</si>
  <si>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</si>
  <si>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</si>
  <si>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</si>
  <si>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</si>
  <si>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</si>
  <si>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</si>
  <si>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</si>
  <si>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</si>
  <si>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</si>
  <si>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</si>
  <si>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</si>
  <si>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</si>
  <si>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</si>
  <si>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</si>
  <si>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</si>
  <si>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</si>
  <si>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</si>
  <si>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</si>
  <si>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</si>
  <si>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</si>
  <si>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</si>
  <si>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</si>
  <si>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</si>
  <si>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</si>
  <si>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</si>
  <si>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</si>
  <si>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</si>
  <si>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</si>
  <si>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</si>
  <si>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</si>
  <si>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</si>
  <si>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</si>
  <si>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</si>
  <si>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</si>
  <si>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</si>
  <si>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</si>
  <si>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</si>
  <si>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</si>
  <si>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</si>
  <si>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</si>
  <si>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</si>
  <si>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</si>
  <si>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</si>
  <si>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</si>
  <si>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</si>
  <si>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</si>
  <si>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</si>
  <si>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</si>
  <si>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</si>
  <si>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</si>
  <si>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</si>
  <si>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</si>
  <si>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</si>
  <si>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</si>
  <si>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</si>
  <si>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JUNE 30, 2024</t>
  </si>
  <si>
    <t>(as reported on the tax remittal database dtd 7/9/24)</t>
  </si>
  <si>
    <t>FOR THE MONTH ENDED:  JUNE 30, 2024</t>
  </si>
  <si>
    <t>THRU MONTH ENDED:   JUNE 30, 2024</t>
  </si>
  <si>
    <t>(as reported on the tax remittal database as of 7/9/24)</t>
  </si>
  <si>
    <t>THRU MONTH ENDED:    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</si>
</sst>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8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7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7" fontId="2" fillId="0" borderId="5" xfId="1" applyNumberFormat="1" applyFont="1" applyFill="1" applyBorder="1" applyAlignment="1">
      <alignment horizontal="center"/>
    </xf>
    <xf numFmtId="3" fontId="17" fillId="0" borderId="5" xfId="1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/>
    <xf numFmtId="3" fontId="2" fillId="0" borderId="5" xfId="1" applyNumberFormat="1" applyFont="1" applyFill="1" applyBorder="1" applyAlignment="1">
      <alignment horizontal="center"/>
    </xf>
    <xf numFmtId="0" fontId="6" fillId="0" borderId="4" xfId="1" applyNumberFormat="1" applyFont="1" applyFill="1" applyBorder="1" applyAlignment="1"/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78"/>
  <sheetViews>
    <sheetView tabSelected="1" showOutlineSymbols="0" topLeftCell="A19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 t="shared" ref="E9:E20" si="0">(+C9-D9)/D9</f>
        <v>-8.7050283789798247E-2</v>
      </c>
      <c r="F9" s="21">
        <f>+C9-94713</f>
        <v>104258</v>
      </c>
      <c r="G9" s="21">
        <f>+D9-101378</f>
        <v>116565</v>
      </c>
      <c r="H9" s="23">
        <f t="shared" ref="H9:H14" si="1">(+F9-G9)/G9</f>
        <v>-0.1055805773602711</v>
      </c>
      <c r="I9" s="24">
        <f t="shared" ref="I9:I14" si="2">K9/C9</f>
        <v>75.297311065431643</v>
      </c>
      <c r="J9" s="24">
        <f t="shared" ref="J9:J14" si="3">K9/F9</f>
        <v>143.7010232308312</v>
      </c>
      <c r="K9" s="21">
        <v>14981981.279999999</v>
      </c>
      <c r="L9" s="21">
        <v>15995475.4</v>
      </c>
      <c r="M9" s="25">
        <f t="shared" ref="M9:M20" si="4">(+K9-L9)/L9</f>
        <v>-6.3361300283704042E-2</v>
      </c>
      <c r="N9" s="10"/>
      <c r="R9" s="2"/>
    </row>
    <row r="10" spans="1:18" ht="15.75" x14ac:dyDescent="0.25">
      <c r="A10" s="19"/>
      <c r="B10" s="20">
        <f>DATE(2023,8,1)</f>
        <v>45139</v>
      </c>
      <c r="C10" s="21">
        <v>185586</v>
      </c>
      <c r="D10" s="22">
        <v>199444</v>
      </c>
      <c r="E10" s="23">
        <f t="shared" si="0"/>
        <v>-6.9483163193678421E-2</v>
      </c>
      <c r="F10" s="21">
        <f>+C10-87146</f>
        <v>98440</v>
      </c>
      <c r="G10" s="21">
        <f>+D10-93160</f>
        <v>106284</v>
      </c>
      <c r="H10" s="23">
        <f t="shared" si="1"/>
        <v>-7.3802265627940233E-2</v>
      </c>
      <c r="I10" s="24">
        <f t="shared" si="2"/>
        <v>76.121730733999328</v>
      </c>
      <c r="J10" s="24">
        <f t="shared" si="3"/>
        <v>143.51003169443317</v>
      </c>
      <c r="K10" s="21">
        <v>14127127.52</v>
      </c>
      <c r="L10" s="21">
        <v>15184238.189999999</v>
      </c>
      <c r="M10" s="25">
        <f t="shared" si="4"/>
        <v>-6.9618946750729285E-2</v>
      </c>
      <c r="N10" s="10"/>
      <c r="R10" s="2"/>
    </row>
    <row r="11" spans="1:18" ht="15.75" x14ac:dyDescent="0.25">
      <c r="A11" s="19"/>
      <c r="B11" s="20">
        <f>DATE(2023,9,1)</f>
        <v>45170</v>
      </c>
      <c r="C11" s="21">
        <v>185491</v>
      </c>
      <c r="D11" s="22">
        <v>190853</v>
      </c>
      <c r="E11" s="23">
        <f t="shared" si="0"/>
        <v>-2.8094921222092395E-2</v>
      </c>
      <c r="F11" s="21">
        <f>+C11-86562</f>
        <v>98929</v>
      </c>
      <c r="G11" s="21">
        <f>+D11-90801</f>
        <v>100052</v>
      </c>
      <c r="H11" s="23">
        <f t="shared" si="1"/>
        <v>-1.1224163435013793E-2</v>
      </c>
      <c r="I11" s="24">
        <f t="shared" si="2"/>
        <v>68.920352901218919</v>
      </c>
      <c r="J11" s="24">
        <f t="shared" si="3"/>
        <v>129.22505210807751</v>
      </c>
      <c r="K11" s="21">
        <v>12784105.18</v>
      </c>
      <c r="L11" s="21">
        <v>13875166.15</v>
      </c>
      <c r="M11" s="25">
        <f t="shared" si="4"/>
        <v>-7.8634083239428498E-2</v>
      </c>
      <c r="N11" s="10"/>
      <c r="R11" s="2"/>
    </row>
    <row r="12" spans="1:18" ht="15.75" x14ac:dyDescent="0.25">
      <c r="A12" s="19"/>
      <c r="B12" s="20">
        <f>DATE(2023,10,1)</f>
        <v>45200</v>
      </c>
      <c r="C12" s="21">
        <v>169150</v>
      </c>
      <c r="D12" s="22">
        <v>191998</v>
      </c>
      <c r="E12" s="23">
        <f t="shared" si="0"/>
        <v>-0.1190012395962458</v>
      </c>
      <c r="F12" s="21">
        <f>+C12-77860</f>
        <v>91290</v>
      </c>
      <c r="G12" s="21">
        <f>+D12-90818</f>
        <v>101180</v>
      </c>
      <c r="H12" s="23">
        <f t="shared" si="1"/>
        <v>-9.7746590235224348E-2</v>
      </c>
      <c r="I12" s="24">
        <f t="shared" si="2"/>
        <v>76.039374933490976</v>
      </c>
      <c r="J12" s="24">
        <f t="shared" si="3"/>
        <v>140.89232413188739</v>
      </c>
      <c r="K12" s="21">
        <v>12862060.27</v>
      </c>
      <c r="L12" s="21">
        <v>14645832.02</v>
      </c>
      <c r="M12" s="25">
        <f t="shared" si="4"/>
        <v>-0.1217938146200314</v>
      </c>
      <c r="N12" s="10"/>
      <c r="R12" s="2"/>
    </row>
    <row r="13" spans="1:18" ht="15.75" x14ac:dyDescent="0.25">
      <c r="A13" s="19"/>
      <c r="B13" s="20">
        <f>DATE(2023,11,1)</f>
        <v>45231</v>
      </c>
      <c r="C13" s="21">
        <v>176075</v>
      </c>
      <c r="D13" s="22">
        <v>181329</v>
      </c>
      <c r="E13" s="23">
        <f t="shared" si="0"/>
        <v>-2.8974957122137109E-2</v>
      </c>
      <c r="F13" s="21">
        <f>+C13-85210</f>
        <v>90865</v>
      </c>
      <c r="G13" s="21">
        <f>+D13-85776</f>
        <v>95553</v>
      </c>
      <c r="H13" s="23">
        <f t="shared" si="1"/>
        <v>-4.9061777233577179E-2</v>
      </c>
      <c r="I13" s="24">
        <f t="shared" si="2"/>
        <v>71.677413318188272</v>
      </c>
      <c r="J13" s="24">
        <f t="shared" si="3"/>
        <v>138.89396962526826</v>
      </c>
      <c r="K13" s="21">
        <v>12620600.550000001</v>
      </c>
      <c r="L13" s="21">
        <v>13547746.890000001</v>
      </c>
      <c r="M13" s="25">
        <f t="shared" si="4"/>
        <v>-6.8435463662548532E-2</v>
      </c>
      <c r="N13" s="10"/>
      <c r="R13" s="2"/>
    </row>
    <row r="14" spans="1:18" ht="15.75" x14ac:dyDescent="0.25">
      <c r="A14" s="19"/>
      <c r="B14" s="20">
        <f>DATE(2023,12,1)</f>
        <v>45261</v>
      </c>
      <c r="C14" s="21">
        <v>204695</v>
      </c>
      <c r="D14" s="22">
        <v>198171</v>
      </c>
      <c r="E14" s="23">
        <f t="shared" si="0"/>
        <v>3.2921063122253007E-2</v>
      </c>
      <c r="F14" s="21">
        <f>+C14-98458</f>
        <v>106237</v>
      </c>
      <c r="G14" s="21">
        <f>+D14-94881</f>
        <v>103290</v>
      </c>
      <c r="H14" s="23">
        <f t="shared" si="1"/>
        <v>2.8531319585632684E-2</v>
      </c>
      <c r="I14" s="24">
        <f t="shared" si="2"/>
        <v>67.405271208383212</v>
      </c>
      <c r="J14" s="24">
        <f t="shared" si="3"/>
        <v>129.87492107269597</v>
      </c>
      <c r="K14" s="21">
        <v>13797521.99</v>
      </c>
      <c r="L14" s="21">
        <v>13219110.720000001</v>
      </c>
      <c r="M14" s="25">
        <f t="shared" si="4"/>
        <v>4.3755686918098488E-2</v>
      </c>
      <c r="N14" s="10"/>
      <c r="R14" s="2"/>
    </row>
    <row r="15" spans="1:18" ht="15.75" x14ac:dyDescent="0.25">
      <c r="A15" s="19"/>
      <c r="B15" s="20">
        <f>DATE(2024,1,1)</f>
        <v>45292</v>
      </c>
      <c r="C15" s="21">
        <v>158813</v>
      </c>
      <c r="D15" s="22">
        <v>197003</v>
      </c>
      <c r="E15" s="23">
        <f t="shared" si="0"/>
        <v>-0.19385491591498608</v>
      </c>
      <c r="F15" s="21">
        <f>+C15-76406</f>
        <v>82407</v>
      </c>
      <c r="G15" s="21">
        <f>D15-95273</f>
        <v>101730</v>
      </c>
      <c r="H15" s="23">
        <f t="shared" ref="H15:H20" si="5">(+F15-G15)/G15</f>
        <v>-0.18994396933058094</v>
      </c>
      <c r="I15" s="24">
        <f t="shared" ref="I15:I20" si="6">K15/C15</f>
        <v>78.017464691177665</v>
      </c>
      <c r="J15" s="24">
        <f t="shared" ref="J15:J20" si="7">K15/F15</f>
        <v>150.35358185591028</v>
      </c>
      <c r="K15" s="21">
        <v>12390187.619999999</v>
      </c>
      <c r="L15" s="21">
        <v>14485066.34</v>
      </c>
      <c r="M15" s="25">
        <f t="shared" si="4"/>
        <v>-0.14462334316102282</v>
      </c>
      <c r="N15" s="10"/>
      <c r="R15" s="2"/>
    </row>
    <row r="16" spans="1:18" ht="15.75" x14ac:dyDescent="0.25">
      <c r="A16" s="19"/>
      <c r="B16" s="20">
        <f>DATE(2024,2,1)</f>
        <v>45323</v>
      </c>
      <c r="C16" s="21">
        <v>185703</v>
      </c>
      <c r="D16" s="22">
        <v>191288</v>
      </c>
      <c r="E16" s="23">
        <f t="shared" si="0"/>
        <v>-2.9196813182217389E-2</v>
      </c>
      <c r="F16" s="21">
        <f>+C16-89848</f>
        <v>95855</v>
      </c>
      <c r="G16" s="21">
        <f>+D16-92919</f>
        <v>98369</v>
      </c>
      <c r="H16" s="23">
        <f t="shared" si="5"/>
        <v>-2.5556831928758045E-2</v>
      </c>
      <c r="I16" s="24">
        <f t="shared" si="6"/>
        <v>73.70802227212269</v>
      </c>
      <c r="J16" s="24">
        <f t="shared" si="7"/>
        <v>142.79694183923635</v>
      </c>
      <c r="K16" s="21">
        <v>13687800.859999999</v>
      </c>
      <c r="L16" s="21">
        <v>13954232.720000001</v>
      </c>
      <c r="M16" s="25">
        <f t="shared" si="4"/>
        <v>-1.909326477106376E-2</v>
      </c>
      <c r="N16" s="10"/>
      <c r="R16" s="2"/>
    </row>
    <row r="17" spans="1:18" ht="15.75" x14ac:dyDescent="0.25">
      <c r="A17" s="19"/>
      <c r="B17" s="20">
        <f>DATE(2024,3,1)</f>
        <v>45352</v>
      </c>
      <c r="C17" s="21">
        <v>209559</v>
      </c>
      <c r="D17" s="22">
        <v>217797</v>
      </c>
      <c r="E17" s="23">
        <f t="shared" si="0"/>
        <v>-3.782421245471701E-2</v>
      </c>
      <c r="F17" s="21">
        <f>+C17-100610</f>
        <v>108949</v>
      </c>
      <c r="G17" s="21">
        <f>+D17-105615</f>
        <v>112182</v>
      </c>
      <c r="H17" s="23">
        <f t="shared" si="5"/>
        <v>-2.8819240163306056E-2</v>
      </c>
      <c r="I17" s="24">
        <f t="shared" si="6"/>
        <v>78.06301576167094</v>
      </c>
      <c r="J17" s="24">
        <f t="shared" si="7"/>
        <v>150.15105710011105</v>
      </c>
      <c r="K17" s="21">
        <v>16358807.52</v>
      </c>
      <c r="L17" s="21">
        <v>15680989.529999999</v>
      </c>
      <c r="M17" s="25">
        <f t="shared" si="4"/>
        <v>4.3225460274891228E-2</v>
      </c>
      <c r="N17" s="10"/>
      <c r="R17" s="2"/>
    </row>
    <row r="18" spans="1:18" ht="15.75" x14ac:dyDescent="0.25">
      <c r="A18" s="19"/>
      <c r="B18" s="20">
        <f>DATE(2024,4,1)</f>
        <v>45383</v>
      </c>
      <c r="C18" s="21">
        <v>177813</v>
      </c>
      <c r="D18" s="22">
        <v>198066</v>
      </c>
      <c r="E18" s="23">
        <f t="shared" si="0"/>
        <v>-0.10225379418981552</v>
      </c>
      <c r="F18" s="21">
        <f>+C18-86394</f>
        <v>91419</v>
      </c>
      <c r="G18" s="21">
        <f>+D18-94196</f>
        <v>103870</v>
      </c>
      <c r="H18" s="23">
        <f t="shared" si="5"/>
        <v>-0.11987099258688745</v>
      </c>
      <c r="I18" s="24">
        <f t="shared" si="6"/>
        <v>78.183904045261031</v>
      </c>
      <c r="J18" s="24">
        <f t="shared" si="7"/>
        <v>152.07029753114779</v>
      </c>
      <c r="K18" s="21">
        <v>13902114.529999999</v>
      </c>
      <c r="L18" s="21">
        <v>14821726.869999999</v>
      </c>
      <c r="M18" s="25">
        <f t="shared" si="4"/>
        <v>-6.2044885057310456E-2</v>
      </c>
      <c r="N18" s="10"/>
      <c r="R18" s="2"/>
    </row>
    <row r="19" spans="1:18" ht="15.75" x14ac:dyDescent="0.25">
      <c r="A19" s="19"/>
      <c r="B19" s="20">
        <f>DATE(2024,5,1)</f>
        <v>45413</v>
      </c>
      <c r="C19" s="21">
        <v>191811</v>
      </c>
      <c r="D19" s="22">
        <v>189140</v>
      </c>
      <c r="E19" s="23">
        <f t="shared" si="0"/>
        <v>1.4121814528920376E-2</v>
      </c>
      <c r="F19" s="21">
        <f>+C19-91974</f>
        <v>99837</v>
      </c>
      <c r="G19" s="21">
        <f>+D19-89554</f>
        <v>99586</v>
      </c>
      <c r="H19" s="23">
        <f t="shared" si="5"/>
        <v>2.5204345992408572E-3</v>
      </c>
      <c r="I19" s="24">
        <f t="shared" si="6"/>
        <v>77.782589267560255</v>
      </c>
      <c r="J19" s="24">
        <f t="shared" si="7"/>
        <v>149.43914811142162</v>
      </c>
      <c r="K19" s="21">
        <v>14919556.23</v>
      </c>
      <c r="L19" s="21">
        <v>14344482.800000001</v>
      </c>
      <c r="M19" s="25">
        <f t="shared" si="4"/>
        <v>4.0090217125151401E-2</v>
      </c>
      <c r="N19" s="10"/>
      <c r="R19" s="2"/>
    </row>
    <row r="20" spans="1:18" ht="15.75" x14ac:dyDescent="0.25">
      <c r="A20" s="19"/>
      <c r="B20" s="20">
        <f>DATE(2024,6,1)</f>
        <v>45444</v>
      </c>
      <c r="C20" s="21">
        <v>183685</v>
      </c>
      <c r="D20" s="22">
        <v>185282</v>
      </c>
      <c r="E20" s="23">
        <f t="shared" si="0"/>
        <v>-8.6192938331840115E-3</v>
      </c>
      <c r="F20" s="21">
        <f>+C20-86012</f>
        <v>97673</v>
      </c>
      <c r="G20" s="21">
        <f>+D20-87523</f>
        <v>97759</v>
      </c>
      <c r="H20" s="23">
        <f t="shared" si="5"/>
        <v>-8.7971439969721454E-4</v>
      </c>
      <c r="I20" s="24">
        <f t="shared" si="6"/>
        <v>77.008269047554236</v>
      </c>
      <c r="J20" s="24">
        <f t="shared" si="7"/>
        <v>144.82266235295322</v>
      </c>
      <c r="K20" s="21">
        <v>14145263.9</v>
      </c>
      <c r="L20" s="21">
        <v>13495390.84</v>
      </c>
      <c r="M20" s="25">
        <f t="shared" si="4"/>
        <v>4.8155186293218945E-2</v>
      </c>
      <c r="N20" s="10"/>
      <c r="R20" s="2"/>
    </row>
    <row r="21" spans="1:18" ht="15.75" customHeight="1" thickBot="1" x14ac:dyDescent="0.3">
      <c r="A21" s="19"/>
      <c r="B21" s="20"/>
      <c r="C21" s="21"/>
      <c r="D21" s="21"/>
      <c r="E21" s="23"/>
      <c r="F21" s="21"/>
      <c r="G21" s="21"/>
      <c r="H21" s="23"/>
      <c r="I21" s="24"/>
      <c r="J21" s="24"/>
      <c r="K21" s="21"/>
      <c r="L21" s="21"/>
      <c r="M21" s="25"/>
      <c r="N21" s="10"/>
      <c r="R21" s="2"/>
    </row>
    <row r="22" spans="1:18" ht="17.25" thickTop="1" thickBot="1" x14ac:dyDescent="0.3">
      <c r="A22" s="26" t="s">
        <v>14</v>
      </c>
      <c r="B22" s="27"/>
      <c r="C22" s="28">
        <f>SUM(C9:C21)</f>
        <v>2227352</v>
      </c>
      <c r="D22" s="28">
        <f>SUM(D9:D21)</f>
        <v>2358314</v>
      </c>
      <c r="E22" s="279">
        <f>(+C22-D22)/D22</f>
        <v>-5.5532045351043162E-2</v>
      </c>
      <c r="F22" s="28">
        <f>SUM(F9:F21)</f>
        <v>1166159</v>
      </c>
      <c r="G22" s="28">
        <f>SUM(G9:G21)</f>
        <v>1236420</v>
      </c>
      <c r="H22" s="30">
        <f>(+F22-G22)/G22</f>
        <v>-5.6826159395674612E-2</v>
      </c>
      <c r="I22" s="31">
        <f>K22/C22</f>
        <v>74.787068882691187</v>
      </c>
      <c r="J22" s="31">
        <f>K22/F22</f>
        <v>142.84255187328657</v>
      </c>
      <c r="K22" s="28">
        <f>SUM(K9:K21)</f>
        <v>166577127.44999999</v>
      </c>
      <c r="L22" s="28">
        <f>SUM(L9:L21)</f>
        <v>173249458.47000003</v>
      </c>
      <c r="M22" s="32">
        <f>(+K22-L22)/L22</f>
        <v>-3.8512853540349883E-2</v>
      </c>
      <c r="N22" s="10"/>
      <c r="R22" s="2"/>
    </row>
    <row r="23" spans="1:18" ht="15.75" customHeight="1" thickTop="1" x14ac:dyDescent="0.25">
      <c r="A23" s="15"/>
      <c r="B23" s="16"/>
      <c r="C23" s="16"/>
      <c r="D23" s="16"/>
      <c r="E23" s="17"/>
      <c r="F23" s="16"/>
      <c r="G23" s="16"/>
      <c r="H23" s="17"/>
      <c r="I23" s="16"/>
      <c r="J23" s="16"/>
      <c r="K23" s="195"/>
      <c r="L23" s="195"/>
      <c r="M23" s="18"/>
      <c r="N23" s="10"/>
      <c r="R23" s="2"/>
    </row>
    <row r="24" spans="1:18" ht="15.75" x14ac:dyDescent="0.25">
      <c r="A24" s="19" t="s">
        <v>15</v>
      </c>
      <c r="B24" s="20">
        <f>DATE(2023,7,1)</f>
        <v>45108</v>
      </c>
      <c r="C24" s="21">
        <v>114764</v>
      </c>
      <c r="D24" s="21">
        <v>114715</v>
      </c>
      <c r="E24" s="23">
        <f t="shared" ref="E24:E35" si="8">(+C24-D24)/D24</f>
        <v>4.2714553458571243E-4</v>
      </c>
      <c r="F24" s="21">
        <f>+C24-56037</f>
        <v>58727</v>
      </c>
      <c r="G24" s="21">
        <f>+D24-55568</f>
        <v>59147</v>
      </c>
      <c r="H24" s="23">
        <f t="shared" ref="H24:H29" si="9">(+F24-G24)/G24</f>
        <v>-7.1009518656905673E-3</v>
      </c>
      <c r="I24" s="24">
        <f t="shared" ref="I24:I29" si="10">K24/C24</f>
        <v>71.3647338886759</v>
      </c>
      <c r="J24" s="24">
        <f t="shared" ref="J24:J29" si="11">K24/F24</f>
        <v>139.46059427520561</v>
      </c>
      <c r="K24" s="21">
        <v>8190102.3200000003</v>
      </c>
      <c r="L24" s="21">
        <v>8395754.2100000009</v>
      </c>
      <c r="M24" s="25">
        <f t="shared" ref="M24:M35" si="12">(+K24-L24)/L24</f>
        <v>-2.4494748757062597E-2</v>
      </c>
      <c r="N24" s="10"/>
      <c r="R24" s="2"/>
    </row>
    <row r="25" spans="1:18" ht="15.75" x14ac:dyDescent="0.25">
      <c r="A25" s="19"/>
      <c r="B25" s="20">
        <f>DATE(2023,8,1)</f>
        <v>45139</v>
      </c>
      <c r="C25" s="21">
        <v>103488</v>
      </c>
      <c r="D25" s="21">
        <v>103784</v>
      </c>
      <c r="E25" s="23">
        <f t="shared" si="8"/>
        <v>-2.8520773915054346E-3</v>
      </c>
      <c r="F25" s="21">
        <f>+C25-50126</f>
        <v>53362</v>
      </c>
      <c r="G25" s="21">
        <f>+D25-49858</f>
        <v>53926</v>
      </c>
      <c r="H25" s="23">
        <f t="shared" si="9"/>
        <v>-1.0458776842339501E-2</v>
      </c>
      <c r="I25" s="24">
        <f t="shared" si="10"/>
        <v>72.262649099412499</v>
      </c>
      <c r="J25" s="24">
        <f t="shared" si="11"/>
        <v>140.14311738690455</v>
      </c>
      <c r="K25" s="21">
        <v>7478317.0300000003</v>
      </c>
      <c r="L25" s="21">
        <v>7565961.5300000003</v>
      </c>
      <c r="M25" s="25">
        <f t="shared" si="12"/>
        <v>-1.1584053084657965E-2</v>
      </c>
      <c r="N25" s="10"/>
      <c r="R25" s="2"/>
    </row>
    <row r="26" spans="1:18" ht="15.75" x14ac:dyDescent="0.25">
      <c r="A26" s="19"/>
      <c r="B26" s="20">
        <f>DATE(2023,9,1)</f>
        <v>45170</v>
      </c>
      <c r="C26" s="21">
        <v>100304</v>
      </c>
      <c r="D26" s="21">
        <v>107511</v>
      </c>
      <c r="E26" s="23">
        <f t="shared" si="8"/>
        <v>-6.7035001069657985E-2</v>
      </c>
      <c r="F26" s="21">
        <f>+C26-48762</f>
        <v>51542</v>
      </c>
      <c r="G26" s="21">
        <f>+D26-51983</f>
        <v>55528</v>
      </c>
      <c r="H26" s="23">
        <f t="shared" si="9"/>
        <v>-7.1783604667915279E-2</v>
      </c>
      <c r="I26" s="24">
        <f t="shared" si="10"/>
        <v>71.829193551603126</v>
      </c>
      <c r="J26" s="24">
        <f t="shared" si="11"/>
        <v>139.78416495285398</v>
      </c>
      <c r="K26" s="21">
        <v>7204755.4299999997</v>
      </c>
      <c r="L26" s="21">
        <v>7793918.54</v>
      </c>
      <c r="M26" s="25">
        <f t="shared" si="12"/>
        <v>-7.559266971758731E-2</v>
      </c>
      <c r="N26" s="10"/>
      <c r="R26" s="2"/>
    </row>
    <row r="27" spans="1:18" ht="15.75" x14ac:dyDescent="0.25">
      <c r="A27" s="19"/>
      <c r="B27" s="20">
        <f>DATE(2023,10,1)</f>
        <v>45200</v>
      </c>
      <c r="C27" s="21">
        <v>93178</v>
      </c>
      <c r="D27" s="21">
        <v>104490</v>
      </c>
      <c r="E27" s="23">
        <f t="shared" si="8"/>
        <v>-0.10825916355632118</v>
      </c>
      <c r="F27" s="21">
        <f>+C27-45141</f>
        <v>48037</v>
      </c>
      <c r="G27" s="21">
        <f>+D27-49825</f>
        <v>54665</v>
      </c>
      <c r="H27" s="23">
        <f t="shared" si="9"/>
        <v>-0.121247599012165</v>
      </c>
      <c r="I27" s="24">
        <f t="shared" si="10"/>
        <v>70.092507136877799</v>
      </c>
      <c r="J27" s="24">
        <f t="shared" si="11"/>
        <v>135.95935695401462</v>
      </c>
      <c r="K27" s="21">
        <v>6531079.6299999999</v>
      </c>
      <c r="L27" s="21">
        <v>7661616.3399999999</v>
      </c>
      <c r="M27" s="25">
        <f t="shared" si="12"/>
        <v>-0.14755851243785981</v>
      </c>
      <c r="N27" s="10"/>
      <c r="R27" s="2"/>
    </row>
    <row r="28" spans="1:18" ht="15.75" x14ac:dyDescent="0.25">
      <c r="A28" s="19"/>
      <c r="B28" s="20">
        <f>DATE(2023,11,1)</f>
        <v>45231</v>
      </c>
      <c r="C28" s="21">
        <v>89320</v>
      </c>
      <c r="D28" s="21">
        <v>93678</v>
      </c>
      <c r="E28" s="23">
        <f t="shared" si="8"/>
        <v>-4.6521061508571916E-2</v>
      </c>
      <c r="F28" s="21">
        <f>+C28-43671</f>
        <v>45649</v>
      </c>
      <c r="G28" s="21">
        <f>+D28-44918</f>
        <v>48760</v>
      </c>
      <c r="H28" s="23">
        <f t="shared" si="9"/>
        <v>-6.3802296964725183E-2</v>
      </c>
      <c r="I28" s="24">
        <f t="shared" si="10"/>
        <v>76.058776197939991</v>
      </c>
      <c r="J28" s="24">
        <f t="shared" si="11"/>
        <v>148.82187758767989</v>
      </c>
      <c r="K28" s="21">
        <v>6793569.8899999997</v>
      </c>
      <c r="L28" s="21">
        <v>7032076.0599999996</v>
      </c>
      <c r="M28" s="25">
        <f t="shared" si="12"/>
        <v>-3.3916892815860689E-2</v>
      </c>
      <c r="N28" s="10"/>
      <c r="R28" s="2"/>
    </row>
    <row r="29" spans="1:18" ht="15.75" x14ac:dyDescent="0.25">
      <c r="A29" s="19"/>
      <c r="B29" s="20">
        <f>DATE(2023,12,1)</f>
        <v>45261</v>
      </c>
      <c r="C29" s="21">
        <v>103282</v>
      </c>
      <c r="D29" s="21">
        <v>102036</v>
      </c>
      <c r="E29" s="23">
        <f t="shared" si="8"/>
        <v>1.2211376376964993E-2</v>
      </c>
      <c r="F29" s="21">
        <f>+C29-51256</f>
        <v>52026</v>
      </c>
      <c r="G29" s="21">
        <f>+D29-49071</f>
        <v>52965</v>
      </c>
      <c r="H29" s="23">
        <f t="shared" si="9"/>
        <v>-1.7728688756726139E-2</v>
      </c>
      <c r="I29" s="24">
        <f t="shared" si="10"/>
        <v>75.579002343099475</v>
      </c>
      <c r="J29" s="24">
        <f t="shared" si="11"/>
        <v>150.03941337023795</v>
      </c>
      <c r="K29" s="21">
        <v>7805950.5199999996</v>
      </c>
      <c r="L29" s="21">
        <v>7398968.5199999996</v>
      </c>
      <c r="M29" s="25">
        <f t="shared" si="12"/>
        <v>5.500523470263393E-2</v>
      </c>
      <c r="N29" s="10"/>
      <c r="R29" s="2"/>
    </row>
    <row r="30" spans="1:18" ht="15.75" x14ac:dyDescent="0.25">
      <c r="A30" s="19"/>
      <c r="B30" s="20">
        <f>DATE(2024,1,1)</f>
        <v>45292</v>
      </c>
      <c r="C30" s="21">
        <v>79391</v>
      </c>
      <c r="D30" s="21">
        <v>98251</v>
      </c>
      <c r="E30" s="23">
        <f t="shared" si="8"/>
        <v>-0.19195733376759525</v>
      </c>
      <c r="F30" s="21">
        <f>C30-39096</f>
        <v>40295</v>
      </c>
      <c r="G30" s="21">
        <f>D30-47583</f>
        <v>50668</v>
      </c>
      <c r="H30" s="23">
        <f t="shared" ref="H30:H35" si="13">(+F30-G30)/G30</f>
        <v>-0.20472487566116682</v>
      </c>
      <c r="I30" s="24">
        <f t="shared" ref="I30:I35" si="14">K30/C30</f>
        <v>75.650664307037317</v>
      </c>
      <c r="J30" s="24">
        <f t="shared" ref="J30:J35" si="15">K30/F30</f>
        <v>149.05030127807419</v>
      </c>
      <c r="K30" s="21">
        <v>6005981.8899999997</v>
      </c>
      <c r="L30" s="21">
        <v>7202856.0199999996</v>
      </c>
      <c r="M30" s="25">
        <f t="shared" si="12"/>
        <v>-0.16616660484072815</v>
      </c>
      <c r="N30" s="10"/>
      <c r="R30" s="2"/>
    </row>
    <row r="31" spans="1:18" ht="15.75" x14ac:dyDescent="0.25">
      <c r="A31" s="19"/>
      <c r="B31" s="20">
        <f>DATE(2024,2,1)</f>
        <v>45323</v>
      </c>
      <c r="C31" s="21">
        <v>98851</v>
      </c>
      <c r="D31" s="21">
        <v>104260</v>
      </c>
      <c r="E31" s="23">
        <f t="shared" si="8"/>
        <v>-5.1879915595626318E-2</v>
      </c>
      <c r="F31" s="21">
        <f>+C31-48603</f>
        <v>50248</v>
      </c>
      <c r="G31" s="21">
        <f>+D31-49646</f>
        <v>54614</v>
      </c>
      <c r="H31" s="23">
        <f t="shared" si="13"/>
        <v>-7.9942871791115824E-2</v>
      </c>
      <c r="I31" s="24">
        <f t="shared" si="14"/>
        <v>71.685818049387464</v>
      </c>
      <c r="J31" s="24">
        <f t="shared" si="15"/>
        <v>141.02481292787772</v>
      </c>
      <c r="K31" s="21">
        <v>7086214.7999999998</v>
      </c>
      <c r="L31" s="21">
        <v>7650534.7699999996</v>
      </c>
      <c r="M31" s="25">
        <f t="shared" si="12"/>
        <v>-7.3762160027409401E-2</v>
      </c>
      <c r="N31" s="10"/>
      <c r="R31" s="2"/>
    </row>
    <row r="32" spans="1:18" ht="15.75" x14ac:dyDescent="0.25">
      <c r="A32" s="19"/>
      <c r="B32" s="20">
        <f>DATE(2024,3,1)</f>
        <v>45352</v>
      </c>
      <c r="C32" s="21">
        <v>107559</v>
      </c>
      <c r="D32" s="21">
        <v>109210</v>
      </c>
      <c r="E32" s="23">
        <f t="shared" si="8"/>
        <v>-1.5117663217654061E-2</v>
      </c>
      <c r="F32" s="21">
        <f>+C32-53561</f>
        <v>53998</v>
      </c>
      <c r="G32" s="21">
        <f>+D32-53257</f>
        <v>55953</v>
      </c>
      <c r="H32" s="23">
        <f t="shared" si="13"/>
        <v>-3.4940038961271069E-2</v>
      </c>
      <c r="I32" s="24">
        <f t="shared" si="14"/>
        <v>74.227960189291451</v>
      </c>
      <c r="J32" s="24">
        <f t="shared" si="15"/>
        <v>147.85520148894403</v>
      </c>
      <c r="K32" s="21">
        <v>7983885.1699999999</v>
      </c>
      <c r="L32" s="21">
        <v>8584562.1699999999</v>
      </c>
      <c r="M32" s="25">
        <f t="shared" si="12"/>
        <v>-6.9971768868906686E-2</v>
      </c>
      <c r="N32" s="10"/>
      <c r="R32" s="2"/>
    </row>
    <row r="33" spans="1:18" ht="15.75" x14ac:dyDescent="0.25">
      <c r="A33" s="19"/>
      <c r="B33" s="20">
        <f>DATE(2024,4,1)</f>
        <v>45383</v>
      </c>
      <c r="C33" s="21">
        <v>90967</v>
      </c>
      <c r="D33" s="21">
        <v>104455</v>
      </c>
      <c r="E33" s="23">
        <f t="shared" si="8"/>
        <v>-0.12912737542482408</v>
      </c>
      <c r="F33" s="21">
        <f>+C33-44575</f>
        <v>46392</v>
      </c>
      <c r="G33" s="21">
        <f>+D33-51429</f>
        <v>53026</v>
      </c>
      <c r="H33" s="23">
        <f t="shared" si="13"/>
        <v>-0.12510843737034663</v>
      </c>
      <c r="I33" s="24">
        <f t="shared" si="14"/>
        <v>80.711216924818885</v>
      </c>
      <c r="J33" s="24">
        <f t="shared" si="15"/>
        <v>158.26127931539921</v>
      </c>
      <c r="K33" s="21">
        <v>7342057.2699999996</v>
      </c>
      <c r="L33" s="21">
        <v>8124473.2699999996</v>
      </c>
      <c r="M33" s="25">
        <f t="shared" si="12"/>
        <v>-9.6303597045374986E-2</v>
      </c>
      <c r="N33" s="10"/>
      <c r="R33" s="2"/>
    </row>
    <row r="34" spans="1:18" ht="15.75" x14ac:dyDescent="0.25">
      <c r="A34" s="19"/>
      <c r="B34" s="20">
        <f>DATE(2024,5,1)</f>
        <v>45413</v>
      </c>
      <c r="C34" s="21">
        <v>96213</v>
      </c>
      <c r="D34" s="21">
        <v>100182</v>
      </c>
      <c r="E34" s="23">
        <f t="shared" si="8"/>
        <v>-3.9617895430316824E-2</v>
      </c>
      <c r="F34" s="21">
        <f>+C34-46576</f>
        <v>49637</v>
      </c>
      <c r="G34" s="21">
        <f>+D34-48386</f>
        <v>51796</v>
      </c>
      <c r="H34" s="23">
        <f t="shared" si="13"/>
        <v>-4.168275542512935E-2</v>
      </c>
      <c r="I34" s="24">
        <f t="shared" si="14"/>
        <v>78.967871077712999</v>
      </c>
      <c r="J34" s="24">
        <f t="shared" si="15"/>
        <v>153.06597457541753</v>
      </c>
      <c r="K34" s="21">
        <v>7597735.7800000003</v>
      </c>
      <c r="L34" s="21">
        <v>7661914.1100000003</v>
      </c>
      <c r="M34" s="25">
        <f t="shared" si="12"/>
        <v>-8.3762789661446721E-3</v>
      </c>
      <c r="N34" s="10"/>
      <c r="R34" s="2"/>
    </row>
    <row r="35" spans="1:18" ht="15.75" x14ac:dyDescent="0.25">
      <c r="A35" s="19"/>
      <c r="B35" s="20">
        <f>DATE(2024,6,1)</f>
        <v>45444</v>
      </c>
      <c r="C35" s="21">
        <v>87340</v>
      </c>
      <c r="D35" s="21">
        <v>99314</v>
      </c>
      <c r="E35" s="23">
        <f t="shared" si="8"/>
        <v>-0.12056709023903982</v>
      </c>
      <c r="F35" s="21">
        <f>+C35-41024</f>
        <v>46316</v>
      </c>
      <c r="G35" s="21">
        <f>+D35-47758</f>
        <v>51556</v>
      </c>
      <c r="H35" s="23">
        <f t="shared" si="13"/>
        <v>-0.1016370548529754</v>
      </c>
      <c r="I35" s="24">
        <f t="shared" si="14"/>
        <v>73.806048660407598</v>
      </c>
      <c r="J35" s="24">
        <f t="shared" si="15"/>
        <v>139.17912362898352</v>
      </c>
      <c r="K35" s="21">
        <v>6446220.29</v>
      </c>
      <c r="L35" s="21">
        <v>7209243.3600000003</v>
      </c>
      <c r="M35" s="25">
        <f t="shared" si="12"/>
        <v>-0.10583954957514435</v>
      </c>
      <c r="N35" s="10"/>
      <c r="R35" s="2"/>
    </row>
    <row r="36" spans="1:18" ht="15.75" customHeight="1" thickBot="1" x14ac:dyDescent="0.3">
      <c r="A36" s="19"/>
      <c r="B36" s="20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7.25" customHeight="1" thickTop="1" thickBot="1" x14ac:dyDescent="0.3">
      <c r="A37" s="26" t="s">
        <v>14</v>
      </c>
      <c r="B37" s="27"/>
      <c r="C37" s="28">
        <f>SUM(C24:C36)</f>
        <v>1164657</v>
      </c>
      <c r="D37" s="28">
        <f>SUM(D24:D36)</f>
        <v>1241886</v>
      </c>
      <c r="E37" s="279">
        <f>(+C37-D37)/D37</f>
        <v>-6.21868673936255E-2</v>
      </c>
      <c r="F37" s="28">
        <f>SUM(F24:F36)</f>
        <v>596229</v>
      </c>
      <c r="G37" s="28">
        <f>SUM(G24:G36)</f>
        <v>642604</v>
      </c>
      <c r="H37" s="30">
        <f>(+F37-G37)/G37</f>
        <v>-7.2167306770577214E-2</v>
      </c>
      <c r="I37" s="31">
        <f>K37/C37</f>
        <v>74.241489142296828</v>
      </c>
      <c r="J37" s="31">
        <f>K37/F37</f>
        <v>145.02124187183111</v>
      </c>
      <c r="K37" s="28">
        <f>SUM(K24:K36)</f>
        <v>86465870.019999996</v>
      </c>
      <c r="L37" s="28">
        <f>SUM(L24:L36)</f>
        <v>92281878.899999991</v>
      </c>
      <c r="M37" s="32">
        <f>(+K37-L37)/L37</f>
        <v>-6.3024387337219628E-2</v>
      </c>
      <c r="N37" s="10"/>
      <c r="R37" s="2"/>
    </row>
    <row r="38" spans="1:18" ht="15.75" customHeight="1" thickTop="1" x14ac:dyDescent="0.25">
      <c r="A38" s="33"/>
      <c r="B38" s="34"/>
      <c r="C38" s="35"/>
      <c r="D38" s="35"/>
      <c r="E38" s="29"/>
      <c r="F38" s="35"/>
      <c r="G38" s="35"/>
      <c r="H38" s="29"/>
      <c r="I38" s="36"/>
      <c r="J38" s="36"/>
      <c r="K38" s="35"/>
      <c r="L38" s="35"/>
      <c r="M38" s="37"/>
      <c r="N38" s="10"/>
      <c r="R38" s="2"/>
    </row>
    <row r="39" spans="1:18" ht="15.75" customHeight="1" x14ac:dyDescent="0.25">
      <c r="A39" s="19" t="s">
        <v>62</v>
      </c>
      <c r="B39" s="20">
        <f>DATE(2023,7,1)</f>
        <v>45108</v>
      </c>
      <c r="C39" s="21">
        <v>62207</v>
      </c>
      <c r="D39" s="21">
        <v>56544</v>
      </c>
      <c r="E39" s="23">
        <f t="shared" ref="E39:E50" si="16">(+C39-D39)/D39</f>
        <v>0.10015209394453876</v>
      </c>
      <c r="F39" s="21">
        <f>+C39-32355</f>
        <v>29852</v>
      </c>
      <c r="G39" s="21">
        <f>+D39-31773</f>
        <v>24771</v>
      </c>
      <c r="H39" s="23">
        <f t="shared" ref="H39:H44" si="17">(+F39-G39)/G39</f>
        <v>0.20511888902345485</v>
      </c>
      <c r="I39" s="24">
        <f t="shared" ref="I39:I44" si="18">K39/C39</f>
        <v>62.61233446396708</v>
      </c>
      <c r="J39" s="24">
        <f t="shared" ref="J39:J44" si="19">K39/F39</f>
        <v>130.47452398499263</v>
      </c>
      <c r="K39" s="21">
        <v>3894925.49</v>
      </c>
      <c r="L39" s="21">
        <v>3786512.7</v>
      </c>
      <c r="M39" s="25">
        <f t="shared" ref="M39:M50" si="20">(+K39-L39)/L39</f>
        <v>2.8631302359028145E-2</v>
      </c>
      <c r="N39" s="10"/>
      <c r="R39" s="2"/>
    </row>
    <row r="40" spans="1:18" ht="15.75" customHeight="1" x14ac:dyDescent="0.25">
      <c r="A40" s="19"/>
      <c r="B40" s="20">
        <f>DATE(2023,8,1)</f>
        <v>45139</v>
      </c>
      <c r="C40" s="21">
        <v>55791</v>
      </c>
      <c r="D40" s="21">
        <v>49669</v>
      </c>
      <c r="E40" s="23">
        <f t="shared" si="16"/>
        <v>0.12325595441824881</v>
      </c>
      <c r="F40" s="21">
        <f>+C40-28978</f>
        <v>26813</v>
      </c>
      <c r="G40" s="21">
        <f>+D40-27651</f>
        <v>22018</v>
      </c>
      <c r="H40" s="23">
        <f t="shared" si="17"/>
        <v>0.21777636479244256</v>
      </c>
      <c r="I40" s="24">
        <f t="shared" si="18"/>
        <v>67.347290960907671</v>
      </c>
      <c r="J40" s="24">
        <f t="shared" si="19"/>
        <v>140.13249953380821</v>
      </c>
      <c r="K40" s="21">
        <v>3757372.71</v>
      </c>
      <c r="L40" s="21">
        <v>3497013.51</v>
      </c>
      <c r="M40" s="25">
        <f t="shared" si="20"/>
        <v>7.4451871362658878E-2</v>
      </c>
      <c r="N40" s="10"/>
      <c r="R40" s="2"/>
    </row>
    <row r="41" spans="1:18" ht="15.75" customHeight="1" x14ac:dyDescent="0.25">
      <c r="A41" s="19"/>
      <c r="B41" s="20">
        <f>DATE(2023,9,1)</f>
        <v>45170</v>
      </c>
      <c r="C41" s="21">
        <v>56687</v>
      </c>
      <c r="D41" s="21">
        <v>50523</v>
      </c>
      <c r="E41" s="23">
        <f t="shared" si="16"/>
        <v>0.12200383983532252</v>
      </c>
      <c r="F41" s="21">
        <f>+C41-29799</f>
        <v>26888</v>
      </c>
      <c r="G41" s="21">
        <f>+D41-27954</f>
        <v>22569</v>
      </c>
      <c r="H41" s="23">
        <f t="shared" si="17"/>
        <v>0.19136869156808012</v>
      </c>
      <c r="I41" s="24">
        <f t="shared" si="18"/>
        <v>70.977173955227826</v>
      </c>
      <c r="J41" s="24">
        <f t="shared" si="19"/>
        <v>149.63861425171081</v>
      </c>
      <c r="K41" s="21">
        <v>4023483.06</v>
      </c>
      <c r="L41" s="21">
        <v>3596804.25</v>
      </c>
      <c r="M41" s="25">
        <f t="shared" si="20"/>
        <v>0.11862719801890804</v>
      </c>
      <c r="N41" s="10"/>
      <c r="R41" s="2"/>
    </row>
    <row r="42" spans="1:18" ht="15.75" customHeight="1" x14ac:dyDescent="0.25">
      <c r="A42" s="19"/>
      <c r="B42" s="20">
        <f>DATE(2023,10,1)</f>
        <v>45200</v>
      </c>
      <c r="C42" s="21">
        <v>50318</v>
      </c>
      <c r="D42" s="21">
        <v>47473</v>
      </c>
      <c r="E42" s="23">
        <f t="shared" si="16"/>
        <v>5.9928801634613359E-2</v>
      </c>
      <c r="F42" s="21">
        <f>+C42-26291</f>
        <v>24027</v>
      </c>
      <c r="G42" s="21">
        <f>+D42-26103</f>
        <v>21370</v>
      </c>
      <c r="H42" s="23">
        <f t="shared" si="17"/>
        <v>0.12433317735142724</v>
      </c>
      <c r="I42" s="24">
        <f t="shared" si="18"/>
        <v>73.565421916610362</v>
      </c>
      <c r="J42" s="24">
        <f t="shared" si="19"/>
        <v>154.06271694343863</v>
      </c>
      <c r="K42" s="21">
        <v>3701664.9</v>
      </c>
      <c r="L42" s="21">
        <v>3359585.24</v>
      </c>
      <c r="M42" s="25">
        <f t="shared" si="20"/>
        <v>0.1018219915741741</v>
      </c>
      <c r="N42" s="10"/>
      <c r="R42" s="2"/>
    </row>
    <row r="43" spans="1:18" ht="15.75" customHeight="1" x14ac:dyDescent="0.25">
      <c r="A43" s="19"/>
      <c r="B43" s="20">
        <f>DATE(2023,11,1)</f>
        <v>45231</v>
      </c>
      <c r="C43" s="21">
        <v>50263</v>
      </c>
      <c r="D43" s="21">
        <v>39425</v>
      </c>
      <c r="E43" s="23">
        <f t="shared" si="16"/>
        <v>0.2749017121116043</v>
      </c>
      <c r="F43" s="21">
        <f>+C43-26764</f>
        <v>23499</v>
      </c>
      <c r="G43" s="21">
        <f>+D43-21931</f>
        <v>17494</v>
      </c>
      <c r="H43" s="23">
        <f t="shared" si="17"/>
        <v>0.34326054647307647</v>
      </c>
      <c r="I43" s="24">
        <f t="shared" si="18"/>
        <v>71.264276903487655</v>
      </c>
      <c r="J43" s="24">
        <f t="shared" si="19"/>
        <v>152.43016085790885</v>
      </c>
      <c r="K43" s="21">
        <v>3581956.35</v>
      </c>
      <c r="L43" s="21">
        <v>3098197.39</v>
      </c>
      <c r="M43" s="25">
        <f t="shared" si="20"/>
        <v>0.15614207201949776</v>
      </c>
      <c r="N43" s="10"/>
      <c r="R43" s="2"/>
    </row>
    <row r="44" spans="1:18" ht="15.75" customHeight="1" x14ac:dyDescent="0.25">
      <c r="A44" s="19"/>
      <c r="B44" s="20">
        <f>DATE(2023,12,1)</f>
        <v>45261</v>
      </c>
      <c r="C44" s="21">
        <v>56340</v>
      </c>
      <c r="D44" s="21">
        <v>43315</v>
      </c>
      <c r="E44" s="23">
        <f t="shared" si="16"/>
        <v>0.30070414406094886</v>
      </c>
      <c r="F44" s="21">
        <f>+C44-30403</f>
        <v>25937</v>
      </c>
      <c r="G44" s="21">
        <f>+D44-23779</f>
        <v>19536</v>
      </c>
      <c r="H44" s="23">
        <f t="shared" si="17"/>
        <v>0.32765151515151514</v>
      </c>
      <c r="I44" s="24">
        <f t="shared" si="18"/>
        <v>72.165827476038345</v>
      </c>
      <c r="J44" s="24">
        <f t="shared" si="19"/>
        <v>156.75763272545015</v>
      </c>
      <c r="K44" s="21">
        <v>4065822.7200000002</v>
      </c>
      <c r="L44" s="21">
        <v>3140293.54</v>
      </c>
      <c r="M44" s="25">
        <f t="shared" si="20"/>
        <v>0.29472696364557061</v>
      </c>
      <c r="N44" s="10"/>
      <c r="R44" s="2"/>
    </row>
    <row r="45" spans="1:18" ht="15.75" customHeight="1" x14ac:dyDescent="0.25">
      <c r="A45" s="19"/>
      <c r="B45" s="20">
        <f>DATE(2024,1,1)</f>
        <v>45292</v>
      </c>
      <c r="C45" s="21">
        <v>44640</v>
      </c>
      <c r="D45" s="21">
        <v>50499</v>
      </c>
      <c r="E45" s="23">
        <f t="shared" si="16"/>
        <v>-0.11602209944751381</v>
      </c>
      <c r="F45" s="21">
        <f>C45-24389</f>
        <v>20251</v>
      </c>
      <c r="G45" s="21">
        <f>D45-27910</f>
        <v>22589</v>
      </c>
      <c r="H45" s="23">
        <f t="shared" ref="H45:H50" si="21">(+F45-G45)/G45</f>
        <v>-0.10350170436938333</v>
      </c>
      <c r="I45" s="24">
        <f t="shared" ref="I45:I50" si="22">K45/C45</f>
        <v>75.626118727598566</v>
      </c>
      <c r="J45" s="24">
        <f t="shared" ref="J45:J50" si="23">K45/F45</f>
        <v>166.70534492123846</v>
      </c>
      <c r="K45" s="21">
        <v>3375949.94</v>
      </c>
      <c r="L45" s="21">
        <v>3631909.7</v>
      </c>
      <c r="M45" s="25">
        <f t="shared" si="20"/>
        <v>-7.0475254382012922E-2</v>
      </c>
      <c r="N45" s="10"/>
      <c r="R45" s="2"/>
    </row>
    <row r="46" spans="1:18" ht="15.75" customHeight="1" x14ac:dyDescent="0.25">
      <c r="A46" s="19"/>
      <c r="B46" s="20">
        <f>DATE(2024,2,1)</f>
        <v>45323</v>
      </c>
      <c r="C46" s="21">
        <v>57143</v>
      </c>
      <c r="D46" s="21">
        <v>57307</v>
      </c>
      <c r="E46" s="23">
        <f t="shared" si="16"/>
        <v>-2.8617795382763012E-3</v>
      </c>
      <c r="F46" s="21">
        <f>+C46-30917</f>
        <v>26226</v>
      </c>
      <c r="G46" s="21">
        <f>+D46-31374</f>
        <v>25933</v>
      </c>
      <c r="H46" s="23">
        <f t="shared" si="21"/>
        <v>1.1298345737091736E-2</v>
      </c>
      <c r="I46" s="24">
        <f t="shared" si="22"/>
        <v>71.083744815637971</v>
      </c>
      <c r="J46" s="24">
        <f t="shared" si="23"/>
        <v>154.88211812704949</v>
      </c>
      <c r="K46" s="21">
        <v>4061938.43</v>
      </c>
      <c r="L46" s="21">
        <v>3904673.42</v>
      </c>
      <c r="M46" s="25">
        <f t="shared" si="20"/>
        <v>4.0276098173659874E-2</v>
      </c>
      <c r="N46" s="10"/>
      <c r="R46" s="2"/>
    </row>
    <row r="47" spans="1:18" ht="15.75" customHeight="1" x14ac:dyDescent="0.25">
      <c r="A47" s="19"/>
      <c r="B47" s="20">
        <f>DATE(2024,3,1)</f>
        <v>45352</v>
      </c>
      <c r="C47" s="21">
        <v>64058</v>
      </c>
      <c r="D47" s="21">
        <v>62514</v>
      </c>
      <c r="E47" s="23">
        <f t="shared" si="16"/>
        <v>2.4698467543270309E-2</v>
      </c>
      <c r="F47" s="21">
        <f>+C47-34165</f>
        <v>29893</v>
      </c>
      <c r="G47" s="21">
        <f>+D47-33809</f>
        <v>28705</v>
      </c>
      <c r="H47" s="23">
        <f t="shared" si="21"/>
        <v>4.1386518028218078E-2</v>
      </c>
      <c r="I47" s="24">
        <f t="shared" si="22"/>
        <v>73.359963782821808</v>
      </c>
      <c r="J47" s="24">
        <f t="shared" si="23"/>
        <v>157.20377881109289</v>
      </c>
      <c r="K47" s="21">
        <v>4699292.5599999996</v>
      </c>
      <c r="L47" s="21">
        <v>4507918.3899999997</v>
      </c>
      <c r="M47" s="25">
        <f t="shared" si="20"/>
        <v>4.2452891433112198E-2</v>
      </c>
      <c r="N47" s="10"/>
      <c r="R47" s="2"/>
    </row>
    <row r="48" spans="1:18" ht="15.75" customHeight="1" x14ac:dyDescent="0.25">
      <c r="A48" s="19"/>
      <c r="B48" s="20">
        <f>DATE(2024,4,1)</f>
        <v>45383</v>
      </c>
      <c r="C48" s="21">
        <v>55099</v>
      </c>
      <c r="D48" s="21">
        <v>57888</v>
      </c>
      <c r="E48" s="23">
        <f t="shared" si="16"/>
        <v>-4.8179242675511331E-2</v>
      </c>
      <c r="F48" s="21">
        <f>+C48-28631</f>
        <v>26468</v>
      </c>
      <c r="G48" s="21">
        <f>+D48-31142</f>
        <v>26746</v>
      </c>
      <c r="H48" s="23">
        <f t="shared" si="21"/>
        <v>-1.0394077619083227E-2</v>
      </c>
      <c r="I48" s="24">
        <f t="shared" si="22"/>
        <v>72.928731011452115</v>
      </c>
      <c r="J48" s="24">
        <f t="shared" si="23"/>
        <v>151.81729446879251</v>
      </c>
      <c r="K48" s="21">
        <v>4018300.15</v>
      </c>
      <c r="L48" s="21">
        <v>4077091.21</v>
      </c>
      <c r="M48" s="25">
        <f t="shared" si="20"/>
        <v>-1.4419854001745537E-2</v>
      </c>
      <c r="N48" s="10"/>
      <c r="R48" s="2"/>
    </row>
    <row r="49" spans="1:18" ht="15.75" customHeight="1" x14ac:dyDescent="0.25">
      <c r="A49" s="19"/>
      <c r="B49" s="20">
        <f>DATE(2024,5,1)</f>
        <v>45413</v>
      </c>
      <c r="C49" s="21">
        <v>56567</v>
      </c>
      <c r="D49" s="21">
        <v>55706</v>
      </c>
      <c r="E49" s="23">
        <f t="shared" si="16"/>
        <v>1.5456144759989947E-2</v>
      </c>
      <c r="F49" s="21">
        <f>+C49-29432</f>
        <v>27135</v>
      </c>
      <c r="G49" s="21">
        <f>+D49-29309</f>
        <v>26397</v>
      </c>
      <c r="H49" s="23">
        <f t="shared" si="21"/>
        <v>2.7957722468462325E-2</v>
      </c>
      <c r="I49" s="24">
        <f t="shared" si="22"/>
        <v>72.816736082875181</v>
      </c>
      <c r="J49" s="24">
        <f t="shared" si="23"/>
        <v>151.79746858301087</v>
      </c>
      <c r="K49" s="21">
        <v>4119024.31</v>
      </c>
      <c r="L49" s="21">
        <v>3909638.1</v>
      </c>
      <c r="M49" s="25">
        <f t="shared" si="20"/>
        <v>5.3556417408557572E-2</v>
      </c>
      <c r="N49" s="10"/>
      <c r="R49" s="2"/>
    </row>
    <row r="50" spans="1:18" ht="15.75" customHeight="1" x14ac:dyDescent="0.25">
      <c r="A50" s="19"/>
      <c r="B50" s="20">
        <f>DATE(2024,6,1)</f>
        <v>45444</v>
      </c>
      <c r="C50" s="21">
        <v>53966</v>
      </c>
      <c r="D50" s="21">
        <v>54715</v>
      </c>
      <c r="E50" s="23">
        <f t="shared" si="16"/>
        <v>-1.368911633007402E-2</v>
      </c>
      <c r="F50" s="21">
        <f>+C50-27884</f>
        <v>26082</v>
      </c>
      <c r="G50" s="21">
        <f>+D50-28325</f>
        <v>26390</v>
      </c>
      <c r="H50" s="23">
        <f t="shared" si="21"/>
        <v>-1.1671087533156498E-2</v>
      </c>
      <c r="I50" s="24">
        <f t="shared" si="22"/>
        <v>71.244410369491902</v>
      </c>
      <c r="J50" s="24">
        <f t="shared" si="23"/>
        <v>147.41108235564758</v>
      </c>
      <c r="K50" s="21">
        <v>3844775.85</v>
      </c>
      <c r="L50" s="21">
        <v>3641902.59</v>
      </c>
      <c r="M50" s="25">
        <f t="shared" si="20"/>
        <v>5.5705295511487105E-2</v>
      </c>
      <c r="N50" s="10"/>
      <c r="R50" s="2"/>
    </row>
    <row r="51" spans="1:18" ht="15.75" customHeight="1" thickBot="1" x14ac:dyDescent="0.25">
      <c r="A51" s="38"/>
      <c r="B51" s="20"/>
      <c r="C51" s="21"/>
      <c r="D51" s="21"/>
      <c r="E51" s="23"/>
      <c r="F51" s="21"/>
      <c r="G51" s="21"/>
      <c r="H51" s="23"/>
      <c r="I51" s="24"/>
      <c r="J51" s="24"/>
      <c r="K51" s="21"/>
      <c r="L51" s="21"/>
      <c r="M51" s="25"/>
      <c r="N51" s="10"/>
      <c r="R51" s="2"/>
    </row>
    <row r="52" spans="1:18" ht="17.25" customHeight="1" thickTop="1" thickBot="1" x14ac:dyDescent="0.3">
      <c r="A52" s="39" t="s">
        <v>14</v>
      </c>
      <c r="B52" s="40"/>
      <c r="C52" s="41">
        <f>SUM(C39:C51)</f>
        <v>663079</v>
      </c>
      <c r="D52" s="41">
        <f>SUM(D39:D51)</f>
        <v>625578</v>
      </c>
      <c r="E52" s="280">
        <f>(+C52-D52)/D52</f>
        <v>5.9946161789576999E-2</v>
      </c>
      <c r="F52" s="41">
        <f>SUM(F39:F51)</f>
        <v>313071</v>
      </c>
      <c r="G52" s="41">
        <f>SUM(G39:G51)</f>
        <v>284518</v>
      </c>
      <c r="H52" s="42">
        <f>(+F52-G52)/G52</f>
        <v>0.10035568927097759</v>
      </c>
      <c r="I52" s="43">
        <f>K52/C52</f>
        <v>71.099381023980555</v>
      </c>
      <c r="J52" s="43">
        <f>K52/F52</f>
        <v>150.5872676485526</v>
      </c>
      <c r="K52" s="41">
        <f>SUM(K39:K51)</f>
        <v>47144506.470000006</v>
      </c>
      <c r="L52" s="41">
        <f>SUM(L39:L51)</f>
        <v>44151540.040000007</v>
      </c>
      <c r="M52" s="44">
        <f>(+K52-L52)/L52</f>
        <v>6.7788494518842599E-2</v>
      </c>
      <c r="N52" s="10"/>
      <c r="R52" s="2"/>
    </row>
    <row r="53" spans="1:18" ht="15.75" customHeight="1" thickTop="1" x14ac:dyDescent="0.2">
      <c r="A53" s="38"/>
      <c r="B53" s="45"/>
      <c r="C53" s="21"/>
      <c r="D53" s="21"/>
      <c r="E53" s="23"/>
      <c r="F53" s="21"/>
      <c r="G53" s="21"/>
      <c r="H53" s="23"/>
      <c r="I53" s="24"/>
      <c r="J53" s="24"/>
      <c r="K53" s="21"/>
      <c r="L53" s="21"/>
      <c r="M53" s="25"/>
      <c r="N53" s="10"/>
      <c r="R53" s="2"/>
    </row>
    <row r="54" spans="1:18" ht="15.75" customHeight="1" x14ac:dyDescent="0.25">
      <c r="A54" s="177" t="s">
        <v>58</v>
      </c>
      <c r="B54" s="20">
        <f>DATE(2023,7,1)</f>
        <v>45108</v>
      </c>
      <c r="C54" s="21">
        <v>351840</v>
      </c>
      <c r="D54" s="21">
        <v>327697</v>
      </c>
      <c r="E54" s="23">
        <f t="shared" ref="E54:E65" si="24">(+C54-D54)/D54</f>
        <v>7.3674766628928551E-2</v>
      </c>
      <c r="F54" s="21">
        <f>+C54-174244</f>
        <v>177596</v>
      </c>
      <c r="G54" s="21">
        <f>+D54-165744</f>
        <v>161953</v>
      </c>
      <c r="H54" s="23">
        <f t="shared" ref="H54:H59" si="25">(+F54-G54)/G54</f>
        <v>9.658975134761319E-2</v>
      </c>
      <c r="I54" s="24">
        <f t="shared" ref="I54:I59" si="26">K54/C54</f>
        <v>63.266514836289218</v>
      </c>
      <c r="J54" s="24">
        <f t="shared" ref="J54:J59" si="27">K54/F54</f>
        <v>125.33891855672424</v>
      </c>
      <c r="K54" s="21">
        <v>22259690.579999998</v>
      </c>
      <c r="L54" s="21">
        <v>21404058.239999998</v>
      </c>
      <c r="M54" s="25">
        <f t="shared" ref="M54:M65" si="28">(+K54-L54)/L54</f>
        <v>3.9975238826485265E-2</v>
      </c>
      <c r="N54" s="10"/>
      <c r="R54" s="2"/>
    </row>
    <row r="55" spans="1:18" ht="15.75" customHeight="1" x14ac:dyDescent="0.25">
      <c r="A55" s="177"/>
      <c r="B55" s="20">
        <f>DATE(2023,8,1)</f>
        <v>45139</v>
      </c>
      <c r="C55" s="21">
        <v>330822</v>
      </c>
      <c r="D55" s="21">
        <v>302775</v>
      </c>
      <c r="E55" s="23">
        <f t="shared" si="24"/>
        <v>9.2633143423334161E-2</v>
      </c>
      <c r="F55" s="21">
        <f>+C55-166752</f>
        <v>164070</v>
      </c>
      <c r="G55" s="21">
        <f>+D55-150422</f>
        <v>152353</v>
      </c>
      <c r="H55" s="23">
        <f t="shared" si="25"/>
        <v>7.6906920113158264E-2</v>
      </c>
      <c r="I55" s="24">
        <f t="shared" si="26"/>
        <v>60.320833197308524</v>
      </c>
      <c r="J55" s="24">
        <f t="shared" si="27"/>
        <v>121.62771183031633</v>
      </c>
      <c r="K55" s="21">
        <v>19955458.68</v>
      </c>
      <c r="L55" s="21">
        <v>19341318.82</v>
      </c>
      <c r="M55" s="25">
        <f t="shared" si="28"/>
        <v>3.1752739599377508E-2</v>
      </c>
      <c r="N55" s="10"/>
      <c r="R55" s="2"/>
    </row>
    <row r="56" spans="1:18" ht="15.75" customHeight="1" x14ac:dyDescent="0.25">
      <c r="A56" s="177"/>
      <c r="B56" s="20">
        <f>DATE(2023,9,1)</f>
        <v>45170</v>
      </c>
      <c r="C56" s="21">
        <v>316962</v>
      </c>
      <c r="D56" s="21">
        <v>299586</v>
      </c>
      <c r="E56" s="23">
        <f t="shared" si="24"/>
        <v>5.8000040055276279E-2</v>
      </c>
      <c r="F56" s="21">
        <f>+C56-158185</f>
        <v>158777</v>
      </c>
      <c r="G56" s="21">
        <f>+D56-150974</f>
        <v>148612</v>
      </c>
      <c r="H56" s="23">
        <f t="shared" si="25"/>
        <v>6.8399590880951738E-2</v>
      </c>
      <c r="I56" s="24">
        <f t="shared" si="26"/>
        <v>64.654702235599217</v>
      </c>
      <c r="J56" s="24">
        <f t="shared" si="27"/>
        <v>129.06833943203361</v>
      </c>
      <c r="K56" s="21">
        <v>20493083.73</v>
      </c>
      <c r="L56" s="21">
        <v>21154344.73</v>
      </c>
      <c r="M56" s="25">
        <f t="shared" si="28"/>
        <v>-3.1258874166980637E-2</v>
      </c>
      <c r="N56" s="10"/>
      <c r="R56" s="2"/>
    </row>
    <row r="57" spans="1:18" ht="15.75" customHeight="1" x14ac:dyDescent="0.25">
      <c r="A57" s="177"/>
      <c r="B57" s="20">
        <f>DATE(2023,10,1)</f>
        <v>45200</v>
      </c>
      <c r="C57" s="21">
        <v>288802</v>
      </c>
      <c r="D57" s="21">
        <v>280901</v>
      </c>
      <c r="E57" s="23">
        <f t="shared" si="24"/>
        <v>2.812734735725398E-2</v>
      </c>
      <c r="F57" s="21">
        <f>+C57-147350</f>
        <v>141452</v>
      </c>
      <c r="G57" s="21">
        <f>+D57-143073</f>
        <v>137828</v>
      </c>
      <c r="H57" s="23">
        <f t="shared" si="25"/>
        <v>2.6293641350088517E-2</v>
      </c>
      <c r="I57" s="24">
        <f t="shared" si="26"/>
        <v>66.984689787466849</v>
      </c>
      <c r="J57" s="24">
        <f t="shared" si="27"/>
        <v>136.76238144388202</v>
      </c>
      <c r="K57" s="21">
        <v>19345312.379999999</v>
      </c>
      <c r="L57" s="21">
        <v>19256450</v>
      </c>
      <c r="M57" s="25">
        <f t="shared" si="28"/>
        <v>4.614681314572466E-3</v>
      </c>
      <c r="N57" s="10"/>
      <c r="R57" s="2"/>
    </row>
    <row r="58" spans="1:18" ht="15.75" customHeight="1" x14ac:dyDescent="0.25">
      <c r="A58" s="177"/>
      <c r="B58" s="20">
        <f>DATE(2023,11,1)</f>
        <v>45231</v>
      </c>
      <c r="C58" s="21">
        <v>288915</v>
      </c>
      <c r="D58" s="21">
        <v>277702</v>
      </c>
      <c r="E58" s="23">
        <f t="shared" si="24"/>
        <v>4.0377815067950538E-2</v>
      </c>
      <c r="F58" s="21">
        <f>+C58-147815</f>
        <v>141100</v>
      </c>
      <c r="G58" s="21">
        <f>+D58-138977</f>
        <v>138725</v>
      </c>
      <c r="H58" s="23">
        <f t="shared" si="25"/>
        <v>1.7120201838169039E-2</v>
      </c>
      <c r="I58" s="24">
        <f t="shared" si="26"/>
        <v>68.224359309831613</v>
      </c>
      <c r="J58" s="24">
        <f t="shared" si="27"/>
        <v>139.6955405386251</v>
      </c>
      <c r="K58" s="21">
        <v>19711040.77</v>
      </c>
      <c r="L58" s="21">
        <v>17923650.210000001</v>
      </c>
      <c r="M58" s="25">
        <f t="shared" si="28"/>
        <v>9.9722463842927142E-2</v>
      </c>
      <c r="N58" s="10"/>
      <c r="R58" s="2"/>
    </row>
    <row r="59" spans="1:18" ht="15.75" customHeight="1" x14ac:dyDescent="0.25">
      <c r="A59" s="177"/>
      <c r="B59" s="20">
        <f>DATE(2023,12,1)</f>
        <v>45261</v>
      </c>
      <c r="C59" s="21">
        <v>314743</v>
      </c>
      <c r="D59" s="21">
        <v>302510</v>
      </c>
      <c r="E59" s="23">
        <f t="shared" si="24"/>
        <v>4.043833261710357E-2</v>
      </c>
      <c r="F59" s="21">
        <f>+C59-159932</f>
        <v>154811</v>
      </c>
      <c r="G59" s="21">
        <f>+D59-154252</f>
        <v>148258</v>
      </c>
      <c r="H59" s="23">
        <f t="shared" si="25"/>
        <v>4.4199975718005102E-2</v>
      </c>
      <c r="I59" s="24">
        <f t="shared" si="26"/>
        <v>67.908941453821058</v>
      </c>
      <c r="J59" s="24">
        <f t="shared" si="27"/>
        <v>138.06424582232529</v>
      </c>
      <c r="K59" s="21">
        <v>21373863.960000001</v>
      </c>
      <c r="L59" s="21">
        <v>20223315.530000001</v>
      </c>
      <c r="M59" s="25">
        <f t="shared" si="28"/>
        <v>5.689217617621771E-2</v>
      </c>
      <c r="N59" s="10"/>
      <c r="R59" s="2"/>
    </row>
    <row r="60" spans="1:18" ht="15.75" customHeight="1" x14ac:dyDescent="0.25">
      <c r="A60" s="177"/>
      <c r="B60" s="20">
        <f>DATE(2024,1,1)</f>
        <v>45292</v>
      </c>
      <c r="C60" s="21">
        <v>259823</v>
      </c>
      <c r="D60" s="21">
        <v>303832</v>
      </c>
      <c r="E60" s="23">
        <f t="shared" si="24"/>
        <v>-0.14484649411516892</v>
      </c>
      <c r="F60" s="21">
        <f>+C60-132099</f>
        <v>127724</v>
      </c>
      <c r="G60" s="21">
        <f>D60-157346</f>
        <v>146486</v>
      </c>
      <c r="H60" s="23">
        <f t="shared" ref="H60:H65" si="29">(+F60-G60)/G60</f>
        <v>-0.12808049916032932</v>
      </c>
      <c r="I60" s="24">
        <f t="shared" ref="I60:I65" si="30">K60/C60</f>
        <v>69.317519003321479</v>
      </c>
      <c r="J60" s="24">
        <f t="shared" ref="J60:J65" si="31">K60/F60</f>
        <v>141.00940888165104</v>
      </c>
      <c r="K60" s="21">
        <v>18010285.739999998</v>
      </c>
      <c r="L60" s="21">
        <v>18911652.34</v>
      </c>
      <c r="M60" s="25">
        <f t="shared" si="28"/>
        <v>-4.7661969657380107E-2</v>
      </c>
      <c r="N60" s="10"/>
      <c r="R60" s="2"/>
    </row>
    <row r="61" spans="1:18" ht="15.75" customHeight="1" x14ac:dyDescent="0.25">
      <c r="A61" s="177"/>
      <c r="B61" s="20">
        <f>DATE(2024,2,1)</f>
        <v>45323</v>
      </c>
      <c r="C61" s="21">
        <v>307468</v>
      </c>
      <c r="D61" s="21">
        <v>310506</v>
      </c>
      <c r="E61" s="23">
        <f t="shared" si="24"/>
        <v>-9.7840299382298563E-3</v>
      </c>
      <c r="F61" s="21">
        <f>+C61-157418</f>
        <v>150050</v>
      </c>
      <c r="G61" s="21">
        <f>+D61-160719</f>
        <v>149787</v>
      </c>
      <c r="H61" s="23">
        <f t="shared" si="29"/>
        <v>1.7558266071154372E-3</v>
      </c>
      <c r="I61" s="24">
        <f t="shared" si="30"/>
        <v>67.201687232492489</v>
      </c>
      <c r="J61" s="24">
        <f t="shared" si="31"/>
        <v>137.70322139286904</v>
      </c>
      <c r="K61" s="21">
        <v>20662368.370000001</v>
      </c>
      <c r="L61" s="21">
        <v>19337969.649999999</v>
      </c>
      <c r="M61" s="25">
        <f t="shared" si="28"/>
        <v>6.8486958246932739E-2</v>
      </c>
      <c r="N61" s="10"/>
      <c r="R61" s="2"/>
    </row>
    <row r="62" spans="1:18" ht="15.75" customHeight="1" x14ac:dyDescent="0.25">
      <c r="A62" s="177"/>
      <c r="B62" s="20">
        <f>DATE(2024,3,1)</f>
        <v>45352</v>
      </c>
      <c r="C62" s="21">
        <v>325224</v>
      </c>
      <c r="D62" s="21">
        <v>350533</v>
      </c>
      <c r="E62" s="23">
        <f t="shared" si="24"/>
        <v>-7.220147603791939E-2</v>
      </c>
      <c r="F62" s="21">
        <f>+C62-169317</f>
        <v>155907</v>
      </c>
      <c r="G62" s="21">
        <f>+D62-179914</f>
        <v>170619</v>
      </c>
      <c r="H62" s="23">
        <f t="shared" si="29"/>
        <v>-8.6227207989731505E-2</v>
      </c>
      <c r="I62" s="24">
        <f t="shared" si="30"/>
        <v>66.520949407177824</v>
      </c>
      <c r="J62" s="24">
        <f t="shared" si="31"/>
        <v>138.76355295143901</v>
      </c>
      <c r="K62" s="21">
        <v>21634209.25</v>
      </c>
      <c r="L62" s="21">
        <v>22478514.140000001</v>
      </c>
      <c r="M62" s="25">
        <f t="shared" si="28"/>
        <v>-3.7560529345557564E-2</v>
      </c>
      <c r="N62" s="10"/>
      <c r="R62" s="2"/>
    </row>
    <row r="63" spans="1:18" ht="15.75" customHeight="1" x14ac:dyDescent="0.25">
      <c r="A63" s="177"/>
      <c r="B63" s="20">
        <f>DATE(2024,4,1)</f>
        <v>45383</v>
      </c>
      <c r="C63" s="21">
        <v>281983</v>
      </c>
      <c r="D63" s="21">
        <v>316028</v>
      </c>
      <c r="E63" s="23">
        <f t="shared" si="24"/>
        <v>-0.10772779627121648</v>
      </c>
      <c r="F63" s="21">
        <f>+C63-144693</f>
        <v>137290</v>
      </c>
      <c r="G63" s="21">
        <f>+D63-163969</f>
        <v>152059</v>
      </c>
      <c r="H63" s="23">
        <f t="shared" si="29"/>
        <v>-9.7126773160417998E-2</v>
      </c>
      <c r="I63" s="24">
        <f t="shared" si="30"/>
        <v>70.105533241365606</v>
      </c>
      <c r="J63" s="24">
        <f t="shared" si="31"/>
        <v>143.99132187340663</v>
      </c>
      <c r="K63" s="21">
        <v>19768568.579999998</v>
      </c>
      <c r="L63" s="21">
        <v>21209844.18</v>
      </c>
      <c r="M63" s="25">
        <f t="shared" si="28"/>
        <v>-6.7953144198912338E-2</v>
      </c>
      <c r="N63" s="10"/>
      <c r="R63" s="2"/>
    </row>
    <row r="64" spans="1:18" ht="15.75" customHeight="1" x14ac:dyDescent="0.25">
      <c r="A64" s="177"/>
      <c r="B64" s="20">
        <f>DATE(2024,5,1)</f>
        <v>45413</v>
      </c>
      <c r="C64" s="21">
        <v>311323</v>
      </c>
      <c r="D64" s="21">
        <v>316736</v>
      </c>
      <c r="E64" s="23">
        <f t="shared" si="24"/>
        <v>-1.7089942412608607E-2</v>
      </c>
      <c r="F64" s="21">
        <f>+C64-156798</f>
        <v>154525</v>
      </c>
      <c r="G64" s="21">
        <f>+D64-158563</f>
        <v>158173</v>
      </c>
      <c r="H64" s="23">
        <f t="shared" si="29"/>
        <v>-2.3063354681266714E-2</v>
      </c>
      <c r="I64" s="24">
        <f t="shared" si="30"/>
        <v>68.293997006324631</v>
      </c>
      <c r="J64" s="24">
        <f t="shared" si="31"/>
        <v>137.59257097557031</v>
      </c>
      <c r="K64" s="21">
        <v>21261492.030000001</v>
      </c>
      <c r="L64" s="21">
        <v>21997181.82</v>
      </c>
      <c r="M64" s="25">
        <f t="shared" si="28"/>
        <v>-3.3444729239411226E-2</v>
      </c>
      <c r="N64" s="10"/>
      <c r="R64" s="2"/>
    </row>
    <row r="65" spans="1:18" ht="15.75" customHeight="1" x14ac:dyDescent="0.25">
      <c r="A65" s="177"/>
      <c r="B65" s="20">
        <f>DATE(2024,6,1)</f>
        <v>45444</v>
      </c>
      <c r="C65" s="21">
        <v>309278</v>
      </c>
      <c r="D65" s="21">
        <v>312941</v>
      </c>
      <c r="E65" s="23">
        <f t="shared" si="24"/>
        <v>-1.1705081788579956E-2</v>
      </c>
      <c r="F65" s="21">
        <f>+C65-152500</f>
        <v>156778</v>
      </c>
      <c r="G65" s="21">
        <f>+D65-155987</f>
        <v>156954</v>
      </c>
      <c r="H65" s="23">
        <f t="shared" si="29"/>
        <v>-1.1213476560011214E-3</v>
      </c>
      <c r="I65" s="24">
        <f t="shared" si="30"/>
        <v>66.785148798168635</v>
      </c>
      <c r="J65" s="24">
        <f t="shared" si="31"/>
        <v>131.74793178889894</v>
      </c>
      <c r="K65" s="21">
        <v>20655177.25</v>
      </c>
      <c r="L65" s="21">
        <v>20360703.030000001</v>
      </c>
      <c r="M65" s="25">
        <f t="shared" si="28"/>
        <v>1.446287093162317E-2</v>
      </c>
      <c r="N65" s="10"/>
      <c r="R65" s="2"/>
    </row>
    <row r="66" spans="1:18" ht="15.75" thickBot="1" x14ac:dyDescent="0.25">
      <c r="A66" s="38"/>
      <c r="B66" s="45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SUM(C54:C66)</f>
        <v>3687183</v>
      </c>
      <c r="D67" s="41">
        <f>SUM(D54:D66)</f>
        <v>3701747</v>
      </c>
      <c r="E67" s="280">
        <f>(+C67-D67)/D67</f>
        <v>-3.9343585609713464E-3</v>
      </c>
      <c r="F67" s="41">
        <f>SUM(F54:F66)</f>
        <v>1820080</v>
      </c>
      <c r="G67" s="41">
        <f>SUM(G54:G66)</f>
        <v>1821807</v>
      </c>
      <c r="H67" s="42">
        <f>(+F67-G67)/G67</f>
        <v>-9.4795991013318091E-4</v>
      </c>
      <c r="I67" s="43">
        <f>K67/C67</f>
        <v>66.481796894811026</v>
      </c>
      <c r="J67" s="43">
        <f>K67/F67</f>
        <v>134.68119605731619</v>
      </c>
      <c r="K67" s="41">
        <f>SUM(K54:K66)</f>
        <v>245130551.32000002</v>
      </c>
      <c r="L67" s="41">
        <f>SUM(L54:L66)</f>
        <v>243599002.69000003</v>
      </c>
      <c r="M67" s="44">
        <f>(+K67-L67)/L67</f>
        <v>6.2871711833279468E-3</v>
      </c>
      <c r="N67" s="10"/>
      <c r="R67" s="2"/>
    </row>
    <row r="68" spans="1:18" ht="15.75" thickTop="1" x14ac:dyDescent="0.2">
      <c r="A68" s="38"/>
      <c r="B68" s="45"/>
      <c r="C68" s="21"/>
      <c r="D68" s="21"/>
      <c r="E68" s="23"/>
      <c r="F68" s="21"/>
      <c r="G68" s="21"/>
      <c r="H68" s="23"/>
      <c r="I68" s="24"/>
      <c r="J68" s="24"/>
      <c r="K68" s="21"/>
      <c r="L68" s="21"/>
      <c r="M68" s="25"/>
      <c r="N68" s="10"/>
      <c r="R68" s="2"/>
    </row>
    <row r="69" spans="1:18" ht="15.75" x14ac:dyDescent="0.25">
      <c r="A69" s="19" t="s">
        <v>60</v>
      </c>
      <c r="B69" s="20">
        <f>DATE(2023,7,1)</f>
        <v>45108</v>
      </c>
      <c r="C69" s="21">
        <v>199698</v>
      </c>
      <c r="D69" s="21">
        <v>219130</v>
      </c>
      <c r="E69" s="23">
        <f t="shared" ref="E69:E80" si="32">(+C69-D69)/D69</f>
        <v>-8.8677953726098657E-2</v>
      </c>
      <c r="F69" s="21">
        <f>+C69-94634</f>
        <v>105064</v>
      </c>
      <c r="G69" s="21">
        <f>+D69-103416</f>
        <v>115714</v>
      </c>
      <c r="H69" s="23">
        <f t="shared" ref="H69:H74" si="33">(+F69-G69)/G69</f>
        <v>-9.2037264289541454E-2</v>
      </c>
      <c r="I69" s="24">
        <f t="shared" ref="I69:I74" si="34">K69/C69</f>
        <v>76.994882722911598</v>
      </c>
      <c r="J69" s="24">
        <f t="shared" ref="J69:J74" si="35">K69/F69</f>
        <v>146.34626599025356</v>
      </c>
      <c r="K69" s="21">
        <v>15375724.09</v>
      </c>
      <c r="L69" s="21">
        <v>15073309.060000001</v>
      </c>
      <c r="M69" s="25">
        <f t="shared" ref="M69:M80" si="36">(+K69-L69)/L69</f>
        <v>2.0062948938167617E-2</v>
      </c>
      <c r="N69" s="10"/>
      <c r="R69" s="2"/>
    </row>
    <row r="70" spans="1:18" ht="15.75" x14ac:dyDescent="0.25">
      <c r="A70" s="19"/>
      <c r="B70" s="20">
        <f>DATE(2023,8,1)</f>
        <v>45139</v>
      </c>
      <c r="C70" s="21">
        <v>185862</v>
      </c>
      <c r="D70" s="21">
        <v>204381</v>
      </c>
      <c r="E70" s="23">
        <f t="shared" si="32"/>
        <v>-9.0610183921205983E-2</v>
      </c>
      <c r="F70" s="21">
        <f>+C70-90658</f>
        <v>95204</v>
      </c>
      <c r="G70" s="21">
        <f>+D70-97907</f>
        <v>106474</v>
      </c>
      <c r="H70" s="23">
        <f t="shared" si="33"/>
        <v>-0.10584743693296016</v>
      </c>
      <c r="I70" s="24">
        <f t="shared" si="34"/>
        <v>75.718013848984725</v>
      </c>
      <c r="J70" s="24">
        <f t="shared" si="35"/>
        <v>147.8204853787656</v>
      </c>
      <c r="K70" s="21">
        <v>14073101.49</v>
      </c>
      <c r="L70" s="21">
        <v>15308950.33</v>
      </c>
      <c r="M70" s="25">
        <f t="shared" si="36"/>
        <v>-8.0727209466359265E-2</v>
      </c>
      <c r="N70" s="10"/>
      <c r="R70" s="2"/>
    </row>
    <row r="71" spans="1:18" ht="15.75" x14ac:dyDescent="0.25">
      <c r="A71" s="19"/>
      <c r="B71" s="20">
        <f>DATE(2023,9,1)</f>
        <v>45170</v>
      </c>
      <c r="C71" s="21">
        <v>187631</v>
      </c>
      <c r="D71" s="21">
        <v>195879</v>
      </c>
      <c r="E71" s="23">
        <f t="shared" si="32"/>
        <v>-4.2107627668101229E-2</v>
      </c>
      <c r="F71" s="21">
        <f>+C71-91547</f>
        <v>96084</v>
      </c>
      <c r="G71" s="21">
        <f>+D71-93599</f>
        <v>102280</v>
      </c>
      <c r="H71" s="23">
        <f t="shared" si="33"/>
        <v>-6.0578803285099729E-2</v>
      </c>
      <c r="I71" s="24">
        <f t="shared" si="34"/>
        <v>73.725347463905223</v>
      </c>
      <c r="J71" s="24">
        <f t="shared" si="35"/>
        <v>143.96945037675368</v>
      </c>
      <c r="K71" s="21">
        <v>13833160.67</v>
      </c>
      <c r="L71" s="21">
        <v>13847415.310000001</v>
      </c>
      <c r="M71" s="25">
        <f t="shared" si="36"/>
        <v>-1.0294079928191736E-3</v>
      </c>
      <c r="N71" s="10"/>
      <c r="R71" s="2"/>
    </row>
    <row r="72" spans="1:18" ht="15.75" x14ac:dyDescent="0.25">
      <c r="A72" s="19"/>
      <c r="B72" s="20">
        <f>DATE(2023,10,1)</f>
        <v>45200</v>
      </c>
      <c r="C72" s="21">
        <v>183725</v>
      </c>
      <c r="D72" s="21">
        <v>197679</v>
      </c>
      <c r="E72" s="23">
        <f t="shared" si="32"/>
        <v>-7.058918752118333E-2</v>
      </c>
      <c r="F72" s="21">
        <f>+C72-90840</f>
        <v>92885</v>
      </c>
      <c r="G72" s="21">
        <f>+D72-94885</f>
        <v>102794</v>
      </c>
      <c r="H72" s="23">
        <f t="shared" si="33"/>
        <v>-9.6396676848843316E-2</v>
      </c>
      <c r="I72" s="24">
        <f t="shared" si="34"/>
        <v>72.951255517757517</v>
      </c>
      <c r="J72" s="24">
        <f t="shared" si="35"/>
        <v>144.29638176239436</v>
      </c>
      <c r="K72" s="21">
        <v>13402969.42</v>
      </c>
      <c r="L72" s="21">
        <v>11929810.6</v>
      </c>
      <c r="M72" s="25">
        <f t="shared" si="36"/>
        <v>0.12348551619084383</v>
      </c>
      <c r="N72" s="10"/>
      <c r="R72" s="2"/>
    </row>
    <row r="73" spans="1:18" ht="15.75" x14ac:dyDescent="0.25">
      <c r="A73" s="19"/>
      <c r="B73" s="20">
        <f>DATE(2023,11,1)</f>
        <v>45231</v>
      </c>
      <c r="C73" s="21">
        <v>168217</v>
      </c>
      <c r="D73" s="21">
        <v>191974</v>
      </c>
      <c r="E73" s="23">
        <f t="shared" si="32"/>
        <v>-0.12375113296592247</v>
      </c>
      <c r="F73" s="21">
        <f>+C73-79459</f>
        <v>88758</v>
      </c>
      <c r="G73" s="21">
        <f>+D73-91566</f>
        <v>100408</v>
      </c>
      <c r="H73" s="23">
        <f t="shared" si="33"/>
        <v>-0.11602661142538444</v>
      </c>
      <c r="I73" s="24">
        <f t="shared" si="34"/>
        <v>75.426880576873927</v>
      </c>
      <c r="J73" s="24">
        <f t="shared" si="35"/>
        <v>142.95143615223418</v>
      </c>
      <c r="K73" s="21">
        <v>12688083.57</v>
      </c>
      <c r="L73" s="21">
        <v>14099198.119999999</v>
      </c>
      <c r="M73" s="25">
        <f t="shared" si="36"/>
        <v>-0.10008473801061808</v>
      </c>
      <c r="N73" s="10"/>
      <c r="R73" s="2"/>
    </row>
    <row r="74" spans="1:18" ht="15.75" x14ac:dyDescent="0.25">
      <c r="A74" s="19"/>
      <c r="B74" s="20">
        <f>DATE(2023,12,1)</f>
        <v>45261</v>
      </c>
      <c r="C74" s="21">
        <v>202224</v>
      </c>
      <c r="D74" s="21">
        <v>193245</v>
      </c>
      <c r="E74" s="23">
        <f t="shared" si="32"/>
        <v>4.6464332841729412E-2</v>
      </c>
      <c r="F74" s="21">
        <f>+C74-96249</f>
        <v>105975</v>
      </c>
      <c r="G74" s="21">
        <f>+D74-93799</f>
        <v>99446</v>
      </c>
      <c r="H74" s="23">
        <f t="shared" si="33"/>
        <v>6.5653721617762409E-2</v>
      </c>
      <c r="I74" s="24">
        <f t="shared" si="34"/>
        <v>77.001105704565234</v>
      </c>
      <c r="J74" s="24">
        <f t="shared" si="35"/>
        <v>146.93533003066761</v>
      </c>
      <c r="K74" s="21">
        <v>15571471.6</v>
      </c>
      <c r="L74" s="21">
        <v>14757470.5</v>
      </c>
      <c r="M74" s="25">
        <f t="shared" si="36"/>
        <v>5.5158578836393378E-2</v>
      </c>
      <c r="N74" s="10"/>
      <c r="R74" s="2"/>
    </row>
    <row r="75" spans="1:18" ht="15.75" x14ac:dyDescent="0.25">
      <c r="A75" s="19"/>
      <c r="B75" s="20">
        <f>DATE(2024,1,1)</f>
        <v>45292</v>
      </c>
      <c r="C75" s="21">
        <v>146133</v>
      </c>
      <c r="D75" s="21">
        <v>186881</v>
      </c>
      <c r="E75" s="23">
        <f t="shared" si="32"/>
        <v>-0.21804249763218306</v>
      </c>
      <c r="F75" s="21">
        <f>C75-67849</f>
        <v>78284</v>
      </c>
      <c r="G75" s="21">
        <f>D75-92185</f>
        <v>94696</v>
      </c>
      <c r="H75" s="23">
        <f t="shared" ref="H75:H80" si="37">(+F75-G75)/G75</f>
        <v>-0.17331249471994592</v>
      </c>
      <c r="I75" s="24">
        <f t="shared" ref="I75:I80" si="38">K75/C75</f>
        <v>77.318423285637053</v>
      </c>
      <c r="J75" s="24">
        <f t="shared" ref="J75:J80" si="39">K75/F75</f>
        <v>144.33055477492209</v>
      </c>
      <c r="K75" s="21">
        <v>11298773.15</v>
      </c>
      <c r="L75" s="21">
        <v>14118368.050000001</v>
      </c>
      <c r="M75" s="25">
        <f t="shared" si="36"/>
        <v>-0.19971110612887019</v>
      </c>
      <c r="N75" s="10"/>
      <c r="R75" s="2"/>
    </row>
    <row r="76" spans="1:18" ht="15.75" x14ac:dyDescent="0.25">
      <c r="A76" s="19"/>
      <c r="B76" s="20">
        <f>DATE(2024,2,1)</f>
        <v>45323</v>
      </c>
      <c r="C76" s="21">
        <v>177030</v>
      </c>
      <c r="D76" s="21">
        <v>182698</v>
      </c>
      <c r="E76" s="23">
        <f t="shared" si="32"/>
        <v>-3.102387546661704E-2</v>
      </c>
      <c r="F76" s="21">
        <f>+C76-81601</f>
        <v>95429</v>
      </c>
      <c r="G76" s="21">
        <f>+D76-88434</f>
        <v>94264</v>
      </c>
      <c r="H76" s="23">
        <f t="shared" si="37"/>
        <v>1.2358906899770856E-2</v>
      </c>
      <c r="I76" s="24">
        <f t="shared" si="38"/>
        <v>76.834729989267359</v>
      </c>
      <c r="J76" s="24">
        <f t="shared" si="39"/>
        <v>142.53583554265475</v>
      </c>
      <c r="K76" s="21">
        <v>13602052.25</v>
      </c>
      <c r="L76" s="21">
        <v>13691424.119999999</v>
      </c>
      <c r="M76" s="25">
        <f t="shared" si="36"/>
        <v>-6.5275802733659807E-3</v>
      </c>
      <c r="N76" s="10"/>
      <c r="R76" s="2"/>
    </row>
    <row r="77" spans="1:18" ht="15.75" x14ac:dyDescent="0.25">
      <c r="A77" s="19"/>
      <c r="B77" s="20">
        <f>DATE(2024,3,1)</f>
        <v>45352</v>
      </c>
      <c r="C77" s="21">
        <v>205988</v>
      </c>
      <c r="D77" s="21">
        <v>212491</v>
      </c>
      <c r="E77" s="23">
        <f t="shared" si="32"/>
        <v>-3.0603649095726406E-2</v>
      </c>
      <c r="F77" s="21">
        <f>+C77-99517</f>
        <v>106471</v>
      </c>
      <c r="G77" s="21">
        <f>+D77-103370</f>
        <v>109121</v>
      </c>
      <c r="H77" s="23">
        <f t="shared" si="37"/>
        <v>-2.4284968062975962E-2</v>
      </c>
      <c r="I77" s="24">
        <f t="shared" si="38"/>
        <v>74.615982387323541</v>
      </c>
      <c r="J77" s="24">
        <f t="shared" si="39"/>
        <v>144.35852936480356</v>
      </c>
      <c r="K77" s="21">
        <v>15369996.98</v>
      </c>
      <c r="L77" s="21">
        <v>16344588.82</v>
      </c>
      <c r="M77" s="25">
        <f t="shared" si="36"/>
        <v>-5.962779796622622E-2</v>
      </c>
      <c r="N77" s="10"/>
      <c r="R77" s="2"/>
    </row>
    <row r="78" spans="1:18" ht="15.75" x14ac:dyDescent="0.25">
      <c r="A78" s="19"/>
      <c r="B78" s="20">
        <f>DATE(2024,4,1)</f>
        <v>45383</v>
      </c>
      <c r="C78" s="21">
        <v>164837</v>
      </c>
      <c r="D78" s="21">
        <v>192775</v>
      </c>
      <c r="E78" s="23">
        <f t="shared" si="32"/>
        <v>-0.14492543120217871</v>
      </c>
      <c r="F78" s="21">
        <f>+C78-76076</f>
        <v>88761</v>
      </c>
      <c r="G78" s="21">
        <f>+D78-92557</f>
        <v>100218</v>
      </c>
      <c r="H78" s="23">
        <f t="shared" si="37"/>
        <v>-0.11432078069807819</v>
      </c>
      <c r="I78" s="24">
        <f t="shared" si="38"/>
        <v>77.566822436710211</v>
      </c>
      <c r="J78" s="24">
        <f t="shared" si="39"/>
        <v>144.04842565991822</v>
      </c>
      <c r="K78" s="21">
        <v>12785882.310000001</v>
      </c>
      <c r="L78" s="21">
        <v>14018346</v>
      </c>
      <c r="M78" s="25">
        <f t="shared" si="36"/>
        <v>-8.7917910572331393E-2</v>
      </c>
      <c r="N78" s="10"/>
      <c r="R78" s="2"/>
    </row>
    <row r="79" spans="1:18" ht="15.75" x14ac:dyDescent="0.25">
      <c r="A79" s="19"/>
      <c r="B79" s="20">
        <f>DATE(2024,5,1)</f>
        <v>45413</v>
      </c>
      <c r="C79" s="21">
        <v>185437</v>
      </c>
      <c r="D79" s="21">
        <v>198597</v>
      </c>
      <c r="E79" s="23">
        <f t="shared" si="32"/>
        <v>-6.6264847908075145E-2</v>
      </c>
      <c r="F79" s="21">
        <f>+C79-87867</f>
        <v>97570</v>
      </c>
      <c r="G79" s="21">
        <f>+D79-96539</f>
        <v>102058</v>
      </c>
      <c r="H79" s="23">
        <f t="shared" si="37"/>
        <v>-4.3974994610907522E-2</v>
      </c>
      <c r="I79" s="24">
        <f t="shared" si="38"/>
        <v>75.043726009372449</v>
      </c>
      <c r="J79" s="24">
        <f t="shared" si="39"/>
        <v>142.62461227836425</v>
      </c>
      <c r="K79" s="21">
        <v>13915883.42</v>
      </c>
      <c r="L79" s="21">
        <v>14144308.92</v>
      </c>
      <c r="M79" s="25">
        <f t="shared" si="36"/>
        <v>-1.6149640204549492E-2</v>
      </c>
      <c r="N79" s="10"/>
      <c r="R79" s="2"/>
    </row>
    <row r="80" spans="1:18" ht="15.75" x14ac:dyDescent="0.25">
      <c r="A80" s="19"/>
      <c r="B80" s="20">
        <f>DATE(2024,6,1)</f>
        <v>45444</v>
      </c>
      <c r="C80" s="21">
        <v>165979</v>
      </c>
      <c r="D80" s="21">
        <v>179355</v>
      </c>
      <c r="E80" s="23">
        <f t="shared" si="32"/>
        <v>-7.4578350199325363E-2</v>
      </c>
      <c r="F80" s="21">
        <f>+C80-76096</f>
        <v>89883</v>
      </c>
      <c r="G80" s="21">
        <f>+D80-83334</f>
        <v>96021</v>
      </c>
      <c r="H80" s="23">
        <f t="shared" si="37"/>
        <v>-6.3923516730715155E-2</v>
      </c>
      <c r="I80" s="24">
        <f t="shared" si="38"/>
        <v>75.657754836455211</v>
      </c>
      <c r="J80" s="24">
        <f t="shared" si="39"/>
        <v>139.71049575559337</v>
      </c>
      <c r="K80" s="21">
        <v>12557598.49</v>
      </c>
      <c r="L80" s="21">
        <v>13387008.119999999</v>
      </c>
      <c r="M80" s="25">
        <f t="shared" si="36"/>
        <v>-6.1956310369370195E-2</v>
      </c>
      <c r="N80" s="10"/>
      <c r="R80" s="2"/>
    </row>
    <row r="81" spans="1:18" ht="15.75" thickBot="1" x14ac:dyDescent="0.25">
      <c r="A81" s="38"/>
      <c r="B81" s="20"/>
      <c r="C81" s="21"/>
      <c r="D81" s="21"/>
      <c r="E81" s="23"/>
      <c r="F81" s="21"/>
      <c r="G81" s="21"/>
      <c r="H81" s="23"/>
      <c r="I81" s="24"/>
      <c r="J81" s="24"/>
      <c r="K81" s="21"/>
      <c r="L81" s="21"/>
      <c r="M81" s="25"/>
      <c r="N81" s="10"/>
      <c r="R81" s="2"/>
    </row>
    <row r="82" spans="1:18" ht="17.25" thickTop="1" thickBot="1" x14ac:dyDescent="0.3">
      <c r="A82" s="39" t="s">
        <v>14</v>
      </c>
      <c r="B82" s="40"/>
      <c r="C82" s="41">
        <f>SUM(C69:C81)</f>
        <v>2172761</v>
      </c>
      <c r="D82" s="41">
        <f>SUM(D69:D81)</f>
        <v>2355085</v>
      </c>
      <c r="E82" s="281">
        <f>(+C82-D82)/D82</f>
        <v>-7.7417163287100035E-2</v>
      </c>
      <c r="F82" s="47">
        <f>SUM(F69:F81)</f>
        <v>1140368</v>
      </c>
      <c r="G82" s="48">
        <f>SUM(G69:G81)</f>
        <v>1223494</v>
      </c>
      <c r="H82" s="49">
        <f>(+F82-G82)/G82</f>
        <v>-6.7941485614150948E-2</v>
      </c>
      <c r="I82" s="50">
        <f>K82/C82</f>
        <v>75.698476473022112</v>
      </c>
      <c r="J82" s="51">
        <f>K82/F82</f>
        <v>144.22949209378024</v>
      </c>
      <c r="K82" s="48">
        <f>SUM(K69:K81)</f>
        <v>164474697.44</v>
      </c>
      <c r="L82" s="47">
        <f>SUM(L69:L81)</f>
        <v>170720197.94999999</v>
      </c>
      <c r="M82" s="44">
        <f>(+K82-L82)/L82</f>
        <v>-3.6583254852065913E-2</v>
      </c>
      <c r="N82" s="10"/>
      <c r="R82" s="2"/>
    </row>
    <row r="83" spans="1:18" ht="15.75" customHeight="1" thickTop="1" x14ac:dyDescent="0.25">
      <c r="A83" s="273"/>
      <c r="B83" s="45"/>
      <c r="C83" s="21"/>
      <c r="D83" s="21"/>
      <c r="E83" s="23"/>
      <c r="F83" s="21"/>
      <c r="G83" s="21"/>
      <c r="H83" s="23"/>
      <c r="I83" s="24"/>
      <c r="J83" s="24"/>
      <c r="K83" s="21"/>
      <c r="L83" s="21"/>
      <c r="M83" s="25"/>
      <c r="N83" s="10"/>
      <c r="R83" s="2"/>
    </row>
    <row r="84" spans="1:18" ht="15.75" x14ac:dyDescent="0.25">
      <c r="A84" s="274" t="s">
        <v>61</v>
      </c>
      <c r="B84" s="20">
        <f>DATE(2023,7,1)</f>
        <v>45108</v>
      </c>
      <c r="C84" s="21">
        <v>94450</v>
      </c>
      <c r="D84" s="21">
        <v>95268</v>
      </c>
      <c r="E84" s="23">
        <f t="shared" ref="E84:E95" si="40">(+C84-D84)/D84</f>
        <v>-8.5863039005752186E-3</v>
      </c>
      <c r="F84" s="21">
        <f>+C84-47449</f>
        <v>47001</v>
      </c>
      <c r="G84" s="21">
        <f>+D84-47922</f>
        <v>47346</v>
      </c>
      <c r="H84" s="23">
        <f t="shared" ref="H84:H89" si="41">(+F84-G84)/G84</f>
        <v>-7.2867824103408944E-3</v>
      </c>
      <c r="I84" s="24">
        <f t="shared" ref="I84:I89" si="42">K84/C84</f>
        <v>66.529558814187396</v>
      </c>
      <c r="J84" s="24">
        <f t="shared" ref="J84:J89" si="43">K84/F84</f>
        <v>133.69325822854833</v>
      </c>
      <c r="K84" s="21">
        <v>6283716.8300000001</v>
      </c>
      <c r="L84" s="21">
        <v>6260150.0999999996</v>
      </c>
      <c r="M84" s="25">
        <f t="shared" ref="M84:M95" si="44">(+K84-L84)/L84</f>
        <v>3.7645630893100228E-3</v>
      </c>
      <c r="N84" s="10"/>
      <c r="R84" s="2"/>
    </row>
    <row r="85" spans="1:18" ht="15.75" x14ac:dyDescent="0.25">
      <c r="A85" s="274"/>
      <c r="B85" s="20">
        <f>DATE(2023,8,1)</f>
        <v>45139</v>
      </c>
      <c r="C85" s="21">
        <v>85640</v>
      </c>
      <c r="D85" s="21">
        <v>85207</v>
      </c>
      <c r="E85" s="23">
        <f t="shared" si="40"/>
        <v>5.0817421103899916E-3</v>
      </c>
      <c r="F85" s="21">
        <f>+C85-42807</f>
        <v>42833</v>
      </c>
      <c r="G85" s="21">
        <f>+D85-42477</f>
        <v>42730</v>
      </c>
      <c r="H85" s="23">
        <f t="shared" si="41"/>
        <v>2.4104844371635853E-3</v>
      </c>
      <c r="I85" s="24">
        <f t="shared" si="42"/>
        <v>70.000778608127035</v>
      </c>
      <c r="J85" s="24">
        <f t="shared" si="43"/>
        <v>139.95906614059254</v>
      </c>
      <c r="K85" s="21">
        <v>5994866.6799999997</v>
      </c>
      <c r="L85" s="21">
        <v>5465144.5899999999</v>
      </c>
      <c r="M85" s="25">
        <f t="shared" si="44"/>
        <v>9.6927369674587122E-2</v>
      </c>
      <c r="N85" s="10"/>
      <c r="R85" s="2"/>
    </row>
    <row r="86" spans="1:18" ht="15.75" x14ac:dyDescent="0.25">
      <c r="A86" s="274"/>
      <c r="B86" s="20">
        <f>DATE(2023,9,1)</f>
        <v>45170</v>
      </c>
      <c r="C86" s="21">
        <v>85140</v>
      </c>
      <c r="D86" s="21">
        <v>84321</v>
      </c>
      <c r="E86" s="23">
        <f t="shared" si="40"/>
        <v>9.7128829117301748E-3</v>
      </c>
      <c r="F86" s="21">
        <f>+C86-42349</f>
        <v>42791</v>
      </c>
      <c r="G86" s="21">
        <f>+D86-41917</f>
        <v>42404</v>
      </c>
      <c r="H86" s="23">
        <f t="shared" si="41"/>
        <v>9.1264975002358275E-3</v>
      </c>
      <c r="I86" s="24">
        <f t="shared" si="42"/>
        <v>61.348339558374441</v>
      </c>
      <c r="J86" s="24">
        <f t="shared" si="43"/>
        <v>122.06299525601177</v>
      </c>
      <c r="K86" s="21">
        <v>5223197.63</v>
      </c>
      <c r="L86" s="21">
        <v>5380839.7999999998</v>
      </c>
      <c r="M86" s="25">
        <f t="shared" si="44"/>
        <v>-2.9296945432198136E-2</v>
      </c>
      <c r="N86" s="10"/>
      <c r="R86" s="2"/>
    </row>
    <row r="87" spans="1:18" ht="15.75" x14ac:dyDescent="0.25">
      <c r="A87" s="274"/>
      <c r="B87" s="20">
        <f>DATE(2023,10,1)</f>
        <v>45200</v>
      </c>
      <c r="C87" s="21">
        <v>78312</v>
      </c>
      <c r="D87" s="21">
        <v>85227</v>
      </c>
      <c r="E87" s="23">
        <f t="shared" si="40"/>
        <v>-8.1136259636030841E-2</v>
      </c>
      <c r="F87" s="21">
        <f>+C87-38948</f>
        <v>39364</v>
      </c>
      <c r="G87" s="21">
        <f>+D87-43095</f>
        <v>42132</v>
      </c>
      <c r="H87" s="23">
        <f t="shared" si="41"/>
        <v>-6.5698281591189595E-2</v>
      </c>
      <c r="I87" s="24">
        <f t="shared" si="42"/>
        <v>66.954319772193287</v>
      </c>
      <c r="J87" s="24">
        <f t="shared" si="43"/>
        <v>133.20106417030792</v>
      </c>
      <c r="K87" s="21">
        <v>5243326.6900000004</v>
      </c>
      <c r="L87" s="21">
        <v>5518454.2199999997</v>
      </c>
      <c r="M87" s="25">
        <f t="shared" si="44"/>
        <v>-4.9855905119749154E-2</v>
      </c>
      <c r="N87" s="10"/>
      <c r="R87" s="2"/>
    </row>
    <row r="88" spans="1:18" ht="15.75" x14ac:dyDescent="0.25">
      <c r="A88" s="274"/>
      <c r="B88" s="20">
        <f>DATE(2023,11,1)</f>
        <v>45231</v>
      </c>
      <c r="C88" s="21">
        <v>76656</v>
      </c>
      <c r="D88" s="21">
        <v>76718</v>
      </c>
      <c r="E88" s="23">
        <f t="shared" si="40"/>
        <v>-8.0815454000364971E-4</v>
      </c>
      <c r="F88" s="21">
        <f>+C88-38503</f>
        <v>38153</v>
      </c>
      <c r="G88" s="21">
        <f>+D88-38746</f>
        <v>37972</v>
      </c>
      <c r="H88" s="23">
        <f t="shared" si="41"/>
        <v>4.7666701780259141E-3</v>
      </c>
      <c r="I88" s="24">
        <f t="shared" si="42"/>
        <v>68.035706011271131</v>
      </c>
      <c r="J88" s="24">
        <f t="shared" si="43"/>
        <v>136.69554373181663</v>
      </c>
      <c r="K88" s="21">
        <v>5215345.08</v>
      </c>
      <c r="L88" s="21">
        <v>5081236.03</v>
      </c>
      <c r="M88" s="25">
        <f t="shared" si="44"/>
        <v>2.6392997532137825E-2</v>
      </c>
      <c r="N88" s="10"/>
      <c r="R88" s="2"/>
    </row>
    <row r="89" spans="1:18" ht="15.75" x14ac:dyDescent="0.25">
      <c r="A89" s="274"/>
      <c r="B89" s="20">
        <f>DATE(2023,12,1)</f>
        <v>45261</v>
      </c>
      <c r="C89" s="21">
        <v>96790</v>
      </c>
      <c r="D89" s="21">
        <v>89653</v>
      </c>
      <c r="E89" s="23">
        <f t="shared" si="40"/>
        <v>7.9606928937124247E-2</v>
      </c>
      <c r="F89" s="21">
        <f>+C89-48686</f>
        <v>48104</v>
      </c>
      <c r="G89" s="21">
        <f>+D89-45455</f>
        <v>44198</v>
      </c>
      <c r="H89" s="23">
        <f t="shared" si="41"/>
        <v>8.8375039594551785E-2</v>
      </c>
      <c r="I89" s="24">
        <f t="shared" si="42"/>
        <v>61.921447670213865</v>
      </c>
      <c r="J89" s="24">
        <f t="shared" si="43"/>
        <v>124.59206968235489</v>
      </c>
      <c r="K89" s="21">
        <v>5993376.9199999999</v>
      </c>
      <c r="L89" s="21">
        <v>5500508.3099999996</v>
      </c>
      <c r="M89" s="25">
        <f t="shared" si="44"/>
        <v>8.9604193325907439E-2</v>
      </c>
      <c r="N89" s="10"/>
      <c r="R89" s="2"/>
    </row>
    <row r="90" spans="1:18" ht="15.75" x14ac:dyDescent="0.25">
      <c r="A90" s="274"/>
      <c r="B90" s="20">
        <f>DATE(2024,1,1)</f>
        <v>45292</v>
      </c>
      <c r="C90" s="21">
        <v>74334</v>
      </c>
      <c r="D90" s="21">
        <v>84414</v>
      </c>
      <c r="E90" s="23">
        <f t="shared" si="40"/>
        <v>-0.1194114720307058</v>
      </c>
      <c r="F90" s="21">
        <f>C90-36987</f>
        <v>37347</v>
      </c>
      <c r="G90" s="21">
        <f>D90-42996</f>
        <v>41418</v>
      </c>
      <c r="H90" s="23">
        <f t="shared" ref="H90:H95" si="45">(+F90-G90)/G90</f>
        <v>-9.8290598290598288E-2</v>
      </c>
      <c r="I90" s="24">
        <f t="shared" ref="I90:I95" si="46">K90/C90</f>
        <v>64.335160895417971</v>
      </c>
      <c r="J90" s="24">
        <f t="shared" ref="J90:J95" si="47">K90/F90</f>
        <v>128.05017404343053</v>
      </c>
      <c r="K90" s="21">
        <v>4782289.8499999996</v>
      </c>
      <c r="L90" s="21">
        <v>5295672.4000000004</v>
      </c>
      <c r="M90" s="25">
        <f t="shared" si="44"/>
        <v>-9.6943789423228052E-2</v>
      </c>
      <c r="N90" s="10"/>
      <c r="R90" s="2"/>
    </row>
    <row r="91" spans="1:18" ht="15.75" x14ac:dyDescent="0.25">
      <c r="A91" s="274"/>
      <c r="B91" s="20">
        <f>DATE(2024,2,1)</f>
        <v>45323</v>
      </c>
      <c r="C91" s="21">
        <v>85955</v>
      </c>
      <c r="D91" s="21">
        <v>89529</v>
      </c>
      <c r="E91" s="23">
        <f t="shared" si="40"/>
        <v>-3.9920025913391194E-2</v>
      </c>
      <c r="F91" s="21">
        <f>+C91-43684</f>
        <v>42271</v>
      </c>
      <c r="G91" s="21">
        <f>+D91-46008</f>
        <v>43521</v>
      </c>
      <c r="H91" s="23">
        <f t="shared" si="45"/>
        <v>-2.8721766503527032E-2</v>
      </c>
      <c r="I91" s="24">
        <f t="shared" si="46"/>
        <v>66.924960502588576</v>
      </c>
      <c r="J91" s="24">
        <f t="shared" si="47"/>
        <v>136.08703319060351</v>
      </c>
      <c r="K91" s="21">
        <v>5752534.9800000004</v>
      </c>
      <c r="L91" s="21">
        <v>6072143.3600000003</v>
      </c>
      <c r="M91" s="25">
        <f t="shared" si="44"/>
        <v>-5.2635183501332859E-2</v>
      </c>
      <c r="N91" s="10"/>
      <c r="R91" s="2"/>
    </row>
    <row r="92" spans="1:18" ht="15.75" x14ac:dyDescent="0.25">
      <c r="A92" s="274"/>
      <c r="B92" s="20">
        <f>DATE(2024,3,1)</f>
        <v>45352</v>
      </c>
      <c r="C92" s="21">
        <v>101904</v>
      </c>
      <c r="D92" s="21">
        <v>97318</v>
      </c>
      <c r="E92" s="23">
        <f t="shared" si="40"/>
        <v>4.7123861978256847E-2</v>
      </c>
      <c r="F92" s="21">
        <f>+C92-51828</f>
        <v>50076</v>
      </c>
      <c r="G92" s="21">
        <f>+D92-49664</f>
        <v>47654</v>
      </c>
      <c r="H92" s="23">
        <f t="shared" si="45"/>
        <v>5.0824694674109203E-2</v>
      </c>
      <c r="I92" s="24">
        <f t="shared" si="46"/>
        <v>67.093122056052749</v>
      </c>
      <c r="J92" s="24">
        <f t="shared" si="47"/>
        <v>136.53361909896955</v>
      </c>
      <c r="K92" s="21">
        <v>6837057.5099999998</v>
      </c>
      <c r="L92" s="21">
        <v>6538204.54</v>
      </c>
      <c r="M92" s="25">
        <f t="shared" si="44"/>
        <v>4.5708721434401585E-2</v>
      </c>
      <c r="N92" s="10"/>
      <c r="R92" s="2"/>
    </row>
    <row r="93" spans="1:18" ht="15.75" x14ac:dyDescent="0.25">
      <c r="A93" s="274"/>
      <c r="B93" s="20">
        <f>DATE(2024,4,1)</f>
        <v>45383</v>
      </c>
      <c r="C93" s="21">
        <v>97421</v>
      </c>
      <c r="D93" s="21">
        <v>86401</v>
      </c>
      <c r="E93" s="23">
        <f t="shared" si="40"/>
        <v>0.12754482008310089</v>
      </c>
      <c r="F93" s="21">
        <f>+C93-48535</f>
        <v>48886</v>
      </c>
      <c r="G93" s="21">
        <f>+D93-43603</f>
        <v>42798</v>
      </c>
      <c r="H93" s="23">
        <f t="shared" si="45"/>
        <v>0.14224963783354364</v>
      </c>
      <c r="I93" s="24">
        <f t="shared" si="46"/>
        <v>62.644217057923854</v>
      </c>
      <c r="J93" s="24">
        <f t="shared" si="47"/>
        <v>124.83865053389518</v>
      </c>
      <c r="K93" s="21">
        <v>6102862.2699999996</v>
      </c>
      <c r="L93" s="21">
        <v>5788277.75</v>
      </c>
      <c r="M93" s="25">
        <f t="shared" si="44"/>
        <v>5.4348552987112539E-2</v>
      </c>
      <c r="N93" s="10"/>
      <c r="R93" s="2"/>
    </row>
    <row r="94" spans="1:18" ht="15.75" x14ac:dyDescent="0.25">
      <c r="A94" s="274"/>
      <c r="B94" s="20">
        <f>DATE(2024,5,1)</f>
        <v>45413</v>
      </c>
      <c r="C94" s="21">
        <v>93133</v>
      </c>
      <c r="D94" s="21">
        <v>85077</v>
      </c>
      <c r="E94" s="23">
        <f t="shared" si="40"/>
        <v>9.4690691961399676E-2</v>
      </c>
      <c r="F94" s="21">
        <f>+C94-47069</f>
        <v>46064</v>
      </c>
      <c r="G94" s="21">
        <f>+D94-42450</f>
        <v>42627</v>
      </c>
      <c r="H94" s="23">
        <f t="shared" si="45"/>
        <v>8.0629647875759491E-2</v>
      </c>
      <c r="I94" s="24">
        <f t="shared" si="46"/>
        <v>63.895072530681929</v>
      </c>
      <c r="J94" s="24">
        <f t="shared" si="47"/>
        <v>129.18417397533867</v>
      </c>
      <c r="K94" s="21">
        <v>5950739.79</v>
      </c>
      <c r="L94" s="21">
        <v>5670780.46</v>
      </c>
      <c r="M94" s="25">
        <f t="shared" si="44"/>
        <v>4.9368747736709254E-2</v>
      </c>
      <c r="N94" s="10"/>
      <c r="R94" s="2"/>
    </row>
    <row r="95" spans="1:18" ht="15.75" x14ac:dyDescent="0.25">
      <c r="A95" s="274"/>
      <c r="B95" s="20">
        <f>DATE(2024,6,1)</f>
        <v>45444</v>
      </c>
      <c r="C95" s="21">
        <v>89469</v>
      </c>
      <c r="D95" s="21">
        <v>83449</v>
      </c>
      <c r="E95" s="23">
        <f t="shared" si="40"/>
        <v>7.2139869860633435E-2</v>
      </c>
      <c r="F95" s="21">
        <f>+C95-45712</f>
        <v>43757</v>
      </c>
      <c r="G95" s="21">
        <f>+D95-41628</f>
        <v>41821</v>
      </c>
      <c r="H95" s="23">
        <f t="shared" si="45"/>
        <v>4.6292532459769019E-2</v>
      </c>
      <c r="I95" s="24">
        <f t="shared" si="46"/>
        <v>66.253986632241336</v>
      </c>
      <c r="J95" s="24">
        <f t="shared" si="47"/>
        <v>135.46810636012523</v>
      </c>
      <c r="K95" s="21">
        <v>5927677.9299999997</v>
      </c>
      <c r="L95" s="21">
        <v>5692430.4199999999</v>
      </c>
      <c r="M95" s="25">
        <f t="shared" si="44"/>
        <v>4.1326374262471842E-2</v>
      </c>
      <c r="N95" s="10"/>
      <c r="R95" s="2"/>
    </row>
    <row r="96" spans="1:18" ht="15.75" customHeight="1" thickBot="1" x14ac:dyDescent="0.3">
      <c r="A96" s="19"/>
      <c r="B96" s="20"/>
      <c r="C96" s="21"/>
      <c r="D96" s="21"/>
      <c r="E96" s="23"/>
      <c r="F96" s="21"/>
      <c r="G96" s="21"/>
      <c r="H96" s="23"/>
      <c r="I96" s="24"/>
      <c r="J96" s="24"/>
      <c r="K96" s="21"/>
      <c r="L96" s="21"/>
      <c r="M96" s="25"/>
      <c r="N96" s="10"/>
      <c r="R96" s="2"/>
    </row>
    <row r="97" spans="1:18" ht="17.45" customHeight="1" thickTop="1" thickBot="1" x14ac:dyDescent="0.3">
      <c r="A97" s="39" t="s">
        <v>14</v>
      </c>
      <c r="B97" s="52"/>
      <c r="C97" s="47">
        <f>SUM(C84:C96)</f>
        <v>1059204</v>
      </c>
      <c r="D97" s="48">
        <f>SUM(D84:D96)</f>
        <v>1042582</v>
      </c>
      <c r="E97" s="281">
        <f>(+C97-D97)/D97</f>
        <v>1.5943110469967828E-2</v>
      </c>
      <c r="F97" s="48">
        <f>SUM(F84:F96)</f>
        <v>526647</v>
      </c>
      <c r="G97" s="47">
        <f>SUM(G84:G96)</f>
        <v>516621</v>
      </c>
      <c r="H97" s="46">
        <f>(+F97-G97)/G97</f>
        <v>1.9406876607803398E-2</v>
      </c>
      <c r="I97" s="51">
        <f>K97/C97</f>
        <v>65.433091415817927</v>
      </c>
      <c r="J97" s="50">
        <f>K97/F97</f>
        <v>131.60046892890307</v>
      </c>
      <c r="K97" s="47">
        <f>SUM(K84:K96)</f>
        <v>69306992.160000011</v>
      </c>
      <c r="L97" s="48">
        <f>SUM(L84:L96)</f>
        <v>68263841.979999989</v>
      </c>
      <c r="M97" s="44">
        <f>(+K97-L97)/L97</f>
        <v>1.5281152506851947E-2</v>
      </c>
      <c r="N97" s="10"/>
      <c r="R97" s="2"/>
    </row>
    <row r="98" spans="1:18" ht="15.75" customHeight="1" thickTop="1" x14ac:dyDescent="0.25">
      <c r="A98" s="19"/>
      <c r="B98" s="45"/>
      <c r="C98" s="21"/>
      <c r="D98" s="21"/>
      <c r="E98" s="23"/>
      <c r="F98" s="21"/>
      <c r="G98" s="21"/>
      <c r="H98" s="23"/>
      <c r="I98" s="24"/>
      <c r="J98" s="24"/>
      <c r="K98" s="21"/>
      <c r="L98" s="21"/>
      <c r="M98" s="25"/>
      <c r="N98" s="10"/>
      <c r="R98" s="2"/>
    </row>
    <row r="99" spans="1:18" ht="15.75" x14ac:dyDescent="0.25">
      <c r="A99" s="19" t="s">
        <v>67</v>
      </c>
      <c r="B99" s="20">
        <f>DATE(2023,7,1)</f>
        <v>45108</v>
      </c>
      <c r="C99" s="21">
        <v>219120</v>
      </c>
      <c r="D99" s="21">
        <v>220596</v>
      </c>
      <c r="E99" s="23">
        <f t="shared" ref="E99:E110" si="48">(+C99-D99)/D99</f>
        <v>-6.6909644780503725E-3</v>
      </c>
      <c r="F99" s="21">
        <f>+C99-104679</f>
        <v>114441</v>
      </c>
      <c r="G99" s="21">
        <f>+D99-105104</f>
        <v>115492</v>
      </c>
      <c r="H99" s="23">
        <f t="shared" ref="H99:H104" si="49">(+F99-G99)/G99</f>
        <v>-9.1001974162712562E-3</v>
      </c>
      <c r="I99" s="24">
        <f t="shared" ref="I99:I104" si="50">K99/C99</f>
        <v>49.308570098576126</v>
      </c>
      <c r="J99" s="24">
        <f t="shared" ref="J99:J104" si="51">K99/F99</f>
        <v>94.411040448790217</v>
      </c>
      <c r="K99" s="21">
        <v>10804493.880000001</v>
      </c>
      <c r="L99" s="21">
        <v>10606782.82</v>
      </c>
      <c r="M99" s="25">
        <f t="shared" ref="M99:M110" si="52">(+K99-L99)/L99</f>
        <v>1.8640059229571414E-2</v>
      </c>
      <c r="N99" s="10"/>
      <c r="R99" s="2"/>
    </row>
    <row r="100" spans="1:18" ht="15.75" x14ac:dyDescent="0.25">
      <c r="A100" s="19"/>
      <c r="B100" s="20">
        <f>DATE(2023,8,1)</f>
        <v>45139</v>
      </c>
      <c r="C100" s="21">
        <v>218088</v>
      </c>
      <c r="D100" s="21">
        <v>204208</v>
      </c>
      <c r="E100" s="23">
        <f t="shared" si="48"/>
        <v>6.7969913029851919E-2</v>
      </c>
      <c r="F100" s="21">
        <f>+C100-101100</f>
        <v>116988</v>
      </c>
      <c r="G100" s="21">
        <f>+D100-95602</f>
        <v>108606</v>
      </c>
      <c r="H100" s="23">
        <f t="shared" si="49"/>
        <v>7.7178056460969008E-2</v>
      </c>
      <c r="I100" s="24">
        <f t="shared" si="50"/>
        <v>49.852029364293315</v>
      </c>
      <c r="J100" s="24">
        <f t="shared" si="51"/>
        <v>92.93371439805793</v>
      </c>
      <c r="K100" s="21">
        <v>10872129.380000001</v>
      </c>
      <c r="L100" s="21">
        <v>10300469.970000001</v>
      </c>
      <c r="M100" s="25">
        <f t="shared" si="52"/>
        <v>5.5498381303469797E-2</v>
      </c>
      <c r="N100" s="10"/>
      <c r="R100" s="2"/>
    </row>
    <row r="101" spans="1:18" ht="15.75" x14ac:dyDescent="0.25">
      <c r="A101" s="19"/>
      <c r="B101" s="20">
        <f>DATE(2023,9,1)</f>
        <v>45170</v>
      </c>
      <c r="C101" s="21">
        <v>241793</v>
      </c>
      <c r="D101" s="21">
        <v>202639</v>
      </c>
      <c r="E101" s="23">
        <f t="shared" si="48"/>
        <v>0.19322045608199803</v>
      </c>
      <c r="F101" s="21">
        <f>+C101-107184</f>
        <v>134609</v>
      </c>
      <c r="G101" s="21">
        <f>+D101-96056</f>
        <v>106583</v>
      </c>
      <c r="H101" s="23">
        <f t="shared" si="49"/>
        <v>0.26295000140735392</v>
      </c>
      <c r="I101" s="24">
        <f t="shared" si="50"/>
        <v>48.59363290086975</v>
      </c>
      <c r="J101" s="24">
        <f t="shared" si="51"/>
        <v>87.286884829394765</v>
      </c>
      <c r="K101" s="21">
        <v>11749600.279999999</v>
      </c>
      <c r="L101" s="21">
        <v>9835385.3000000007</v>
      </c>
      <c r="M101" s="25">
        <f t="shared" si="52"/>
        <v>0.19462531681397358</v>
      </c>
      <c r="N101" s="10"/>
      <c r="R101" s="2"/>
    </row>
    <row r="102" spans="1:18" ht="15.75" x14ac:dyDescent="0.25">
      <c r="A102" s="19"/>
      <c r="B102" s="20">
        <f>DATE(2023,10,1)</f>
        <v>45200</v>
      </c>
      <c r="C102" s="21">
        <v>245062</v>
      </c>
      <c r="D102" s="21">
        <v>197805</v>
      </c>
      <c r="E102" s="23">
        <f t="shared" si="48"/>
        <v>0.23890700437299361</v>
      </c>
      <c r="F102" s="21">
        <f>+C102-106359</f>
        <v>138703</v>
      </c>
      <c r="G102" s="21">
        <f>+D102-92993</f>
        <v>104812</v>
      </c>
      <c r="H102" s="23">
        <f t="shared" si="49"/>
        <v>0.32335037972751213</v>
      </c>
      <c r="I102" s="24">
        <f t="shared" si="50"/>
        <v>47.921667251552662</v>
      </c>
      <c r="J102" s="24">
        <f t="shared" si="51"/>
        <v>84.668533629409595</v>
      </c>
      <c r="K102" s="21">
        <v>11743779.619999999</v>
      </c>
      <c r="L102" s="21">
        <v>10418532.619999999</v>
      </c>
      <c r="M102" s="25">
        <f t="shared" si="52"/>
        <v>0.12720092630472563</v>
      </c>
      <c r="N102" s="10"/>
      <c r="R102" s="2"/>
    </row>
    <row r="103" spans="1:18" ht="15.75" x14ac:dyDescent="0.25">
      <c r="A103" s="19"/>
      <c r="B103" s="20">
        <f>DATE(2023,11,1)</f>
        <v>45231</v>
      </c>
      <c r="C103" s="21">
        <v>235399</v>
      </c>
      <c r="D103" s="21">
        <v>202426</v>
      </c>
      <c r="E103" s="23">
        <f t="shared" si="48"/>
        <v>0.16288915455524489</v>
      </c>
      <c r="F103" s="21">
        <f>+C103-106054</f>
        <v>129345</v>
      </c>
      <c r="G103" s="21">
        <f>+D103-94010</f>
        <v>108416</v>
      </c>
      <c r="H103" s="23">
        <f t="shared" si="49"/>
        <v>0.19304346221959859</v>
      </c>
      <c r="I103" s="24">
        <f t="shared" si="50"/>
        <v>49.233655580524974</v>
      </c>
      <c r="J103" s="24">
        <f t="shared" si="51"/>
        <v>89.60186547605241</v>
      </c>
      <c r="K103" s="21">
        <v>11589553.289999999</v>
      </c>
      <c r="L103" s="21">
        <v>10533865.85</v>
      </c>
      <c r="M103" s="25">
        <f t="shared" si="52"/>
        <v>0.10021842455872926</v>
      </c>
      <c r="N103" s="10"/>
      <c r="R103" s="2"/>
    </row>
    <row r="104" spans="1:18" ht="15.75" x14ac:dyDescent="0.25">
      <c r="A104" s="19"/>
      <c r="B104" s="20">
        <f>DATE(2023,12,1)</f>
        <v>45261</v>
      </c>
      <c r="C104" s="21">
        <v>239412</v>
      </c>
      <c r="D104" s="21">
        <v>223222</v>
      </c>
      <c r="E104" s="23">
        <f t="shared" si="48"/>
        <v>7.2528693408355813E-2</v>
      </c>
      <c r="F104" s="21">
        <f>+C104-109257</f>
        <v>130155</v>
      </c>
      <c r="G104" s="21">
        <f>+D104-104080</f>
        <v>119142</v>
      </c>
      <c r="H104" s="23">
        <f t="shared" si="49"/>
        <v>9.2435916805156865E-2</v>
      </c>
      <c r="I104" s="24">
        <f t="shared" si="50"/>
        <v>49.693033891367186</v>
      </c>
      <c r="J104" s="24">
        <f t="shared" si="51"/>
        <v>91.40723468172564</v>
      </c>
      <c r="K104" s="21">
        <v>11897108.630000001</v>
      </c>
      <c r="L104" s="21">
        <v>10662461.43</v>
      </c>
      <c r="M104" s="25">
        <f t="shared" si="52"/>
        <v>0.11579382566638753</v>
      </c>
      <c r="N104" s="10"/>
      <c r="R104" s="2"/>
    </row>
    <row r="105" spans="1:18" ht="15.75" x14ac:dyDescent="0.25">
      <c r="A105" s="19"/>
      <c r="B105" s="20">
        <f>DATE(2024,1,1)</f>
        <v>45292</v>
      </c>
      <c r="C105" s="21">
        <v>186352</v>
      </c>
      <c r="D105" s="21">
        <v>215124</v>
      </c>
      <c r="E105" s="23">
        <f t="shared" si="48"/>
        <v>-0.13374611851769211</v>
      </c>
      <c r="F105" s="21">
        <f>C105-85780</f>
        <v>100572</v>
      </c>
      <c r="G105" s="21">
        <f>D105-101475</f>
        <v>113649</v>
      </c>
      <c r="H105" s="23">
        <f t="shared" ref="H105:H110" si="53">(+F105-G105)/G105</f>
        <v>-0.11506480479370694</v>
      </c>
      <c r="I105" s="24">
        <f t="shared" ref="I105:I110" si="54">K105/C105</f>
        <v>50.669405587275698</v>
      </c>
      <c r="J105" s="24">
        <f t="shared" ref="J105:J110" si="55">K105/F105</f>
        <v>93.886420375452417</v>
      </c>
      <c r="K105" s="21">
        <v>9442345.0700000003</v>
      </c>
      <c r="L105" s="21">
        <v>10889174.949999999</v>
      </c>
      <c r="M105" s="25">
        <f t="shared" si="52"/>
        <v>-0.1328686412555066</v>
      </c>
      <c r="N105" s="10"/>
      <c r="R105" s="2"/>
    </row>
    <row r="106" spans="1:18" ht="15.75" x14ac:dyDescent="0.25">
      <c r="A106" s="19"/>
      <c r="B106" s="20">
        <f>DATE(2024,2,1)</f>
        <v>45323</v>
      </c>
      <c r="C106" s="21">
        <v>213395</v>
      </c>
      <c r="D106" s="21">
        <v>200796</v>
      </c>
      <c r="E106" s="23">
        <f t="shared" si="48"/>
        <v>6.2745273810235258E-2</v>
      </c>
      <c r="F106" s="21">
        <f>+C106-100049</f>
        <v>113346</v>
      </c>
      <c r="G106" s="21">
        <f>+D106-95531</f>
        <v>105265</v>
      </c>
      <c r="H106" s="23">
        <f t="shared" si="53"/>
        <v>7.6768156557260242E-2</v>
      </c>
      <c r="I106" s="24">
        <f t="shared" si="54"/>
        <v>52.692490030225642</v>
      </c>
      <c r="J106" s="24">
        <f t="shared" si="55"/>
        <v>99.20344705591728</v>
      </c>
      <c r="K106" s="21">
        <v>11244313.91</v>
      </c>
      <c r="L106" s="21">
        <v>10337668.619999999</v>
      </c>
      <c r="M106" s="25">
        <f t="shared" si="52"/>
        <v>8.7703071488085774E-2</v>
      </c>
      <c r="N106" s="10"/>
      <c r="R106" s="2"/>
    </row>
    <row r="107" spans="1:18" ht="15.75" x14ac:dyDescent="0.25">
      <c r="A107" s="19"/>
      <c r="B107" s="20">
        <f>DATE(2024,3,1)</f>
        <v>45352</v>
      </c>
      <c r="C107" s="21">
        <v>242897</v>
      </c>
      <c r="D107" s="21">
        <v>225404</v>
      </c>
      <c r="E107" s="23">
        <f t="shared" si="48"/>
        <v>7.7607318414934956E-2</v>
      </c>
      <c r="F107" s="21">
        <f>+C107-111946</f>
        <v>130951</v>
      </c>
      <c r="G107" s="21">
        <f>+D107-108230</f>
        <v>117174</v>
      </c>
      <c r="H107" s="23">
        <f t="shared" si="53"/>
        <v>0.11757727823578609</v>
      </c>
      <c r="I107" s="24">
        <f t="shared" si="54"/>
        <v>51.640957895733585</v>
      </c>
      <c r="J107" s="24">
        <f t="shared" si="55"/>
        <v>95.787231483532011</v>
      </c>
      <c r="K107" s="21">
        <v>12543433.75</v>
      </c>
      <c r="L107" s="21">
        <v>11572772.859999999</v>
      </c>
      <c r="M107" s="25">
        <f t="shared" si="52"/>
        <v>8.3874530481366477E-2</v>
      </c>
      <c r="N107" s="10"/>
      <c r="R107" s="2"/>
    </row>
    <row r="108" spans="1:18" ht="15.75" x14ac:dyDescent="0.25">
      <c r="A108" s="19"/>
      <c r="B108" s="20">
        <f>DATE(2024,4,1)</f>
        <v>45383</v>
      </c>
      <c r="C108" s="21">
        <v>221195</v>
      </c>
      <c r="D108" s="21">
        <v>208441</v>
      </c>
      <c r="E108" s="23">
        <f t="shared" si="48"/>
        <v>6.118757825955546E-2</v>
      </c>
      <c r="F108" s="21">
        <f>+C108-103678</f>
        <v>117517</v>
      </c>
      <c r="G108" s="21">
        <f>+D108-100216</f>
        <v>108225</v>
      </c>
      <c r="H108" s="23">
        <f t="shared" si="53"/>
        <v>8.5858165858165858E-2</v>
      </c>
      <c r="I108" s="24">
        <f t="shared" si="54"/>
        <v>50.128760731481272</v>
      </c>
      <c r="J108" s="24">
        <f t="shared" si="55"/>
        <v>94.354274105023109</v>
      </c>
      <c r="K108" s="21">
        <v>11088231.23</v>
      </c>
      <c r="L108" s="21">
        <v>11195390.789999999</v>
      </c>
      <c r="M108" s="25">
        <f t="shared" si="52"/>
        <v>-9.5717569855369618E-3</v>
      </c>
      <c r="N108" s="10"/>
      <c r="R108" s="2"/>
    </row>
    <row r="109" spans="1:18" ht="15.75" x14ac:dyDescent="0.25">
      <c r="A109" s="19"/>
      <c r="B109" s="20">
        <f>DATE(2024,5,1)</f>
        <v>45413</v>
      </c>
      <c r="C109" s="21">
        <v>228919</v>
      </c>
      <c r="D109" s="21">
        <v>209950</v>
      </c>
      <c r="E109" s="23">
        <f t="shared" si="48"/>
        <v>9.0350083353179331E-2</v>
      </c>
      <c r="F109" s="21">
        <f>+C109-105847</f>
        <v>123072</v>
      </c>
      <c r="G109" s="21">
        <f>+D109-98229</f>
        <v>111721</v>
      </c>
      <c r="H109" s="23">
        <f t="shared" si="53"/>
        <v>0.10160131040717502</v>
      </c>
      <c r="I109" s="24">
        <f t="shared" si="54"/>
        <v>51.954219483747529</v>
      </c>
      <c r="J109" s="24">
        <f t="shared" si="55"/>
        <v>96.636992735959439</v>
      </c>
      <c r="K109" s="21">
        <v>11893307.970000001</v>
      </c>
      <c r="L109" s="21">
        <v>10756990.630000001</v>
      </c>
      <c r="M109" s="25">
        <f t="shared" si="52"/>
        <v>0.10563524493838848</v>
      </c>
      <c r="N109" s="10"/>
      <c r="R109" s="2"/>
    </row>
    <row r="110" spans="1:18" ht="15.75" x14ac:dyDescent="0.25">
      <c r="A110" s="19"/>
      <c r="B110" s="20">
        <f>DATE(2024,6,1)</f>
        <v>45444</v>
      </c>
      <c r="C110" s="21">
        <v>230759</v>
      </c>
      <c r="D110" s="21">
        <v>204283</v>
      </c>
      <c r="E110" s="23">
        <f t="shared" si="48"/>
        <v>0.12960451922088476</v>
      </c>
      <c r="F110" s="21">
        <f>+C110-103707</f>
        <v>127052</v>
      </c>
      <c r="G110" s="21">
        <f>+D110-95748</f>
        <v>108535</v>
      </c>
      <c r="H110" s="23">
        <f t="shared" si="53"/>
        <v>0.17060855945086839</v>
      </c>
      <c r="I110" s="24">
        <f t="shared" si="54"/>
        <v>48.329842779696563</v>
      </c>
      <c r="J110" s="24">
        <f t="shared" si="55"/>
        <v>87.779383165947792</v>
      </c>
      <c r="K110" s="21">
        <v>11152546.189999999</v>
      </c>
      <c r="L110" s="21">
        <v>10934863.310000001</v>
      </c>
      <c r="M110" s="25">
        <f t="shared" si="52"/>
        <v>1.990723375580988E-2</v>
      </c>
      <c r="N110" s="10"/>
      <c r="R110" s="2"/>
    </row>
    <row r="111" spans="1:18" ht="15.75" customHeight="1" thickBot="1" x14ac:dyDescent="0.3">
      <c r="A111" s="19"/>
      <c r="B111" s="45"/>
      <c r="C111" s="21"/>
      <c r="D111" s="21"/>
      <c r="E111" s="23"/>
      <c r="F111" s="21"/>
      <c r="G111" s="21"/>
      <c r="H111" s="23"/>
      <c r="I111" s="24"/>
      <c r="J111" s="24"/>
      <c r="K111" s="21"/>
      <c r="L111" s="21"/>
      <c r="M111" s="25"/>
      <c r="N111" s="10"/>
      <c r="R111" s="2"/>
    </row>
    <row r="112" spans="1:18" ht="17.45" customHeight="1" thickTop="1" thickBot="1" x14ac:dyDescent="0.3">
      <c r="A112" s="39" t="s">
        <v>14</v>
      </c>
      <c r="B112" s="52"/>
      <c r="C112" s="47">
        <f>SUM(C99:C111)</f>
        <v>2722391</v>
      </c>
      <c r="D112" s="48">
        <f>SUM(D99:D111)</f>
        <v>2514894</v>
      </c>
      <c r="E112" s="281">
        <f>(+C112-D112)/D112</f>
        <v>8.2507254778929048E-2</v>
      </c>
      <c r="F112" s="48">
        <f>SUM(F99:F111)</f>
        <v>1476751</v>
      </c>
      <c r="G112" s="47">
        <f>SUM(G99:G111)</f>
        <v>1327620</v>
      </c>
      <c r="H112" s="53">
        <f>(+F112-G112)/G112</f>
        <v>0.11232958225998403</v>
      </c>
      <c r="I112" s="51">
        <f>K112/C112</f>
        <v>49.963742607142038</v>
      </c>
      <c r="J112" s="50">
        <f>K112/F112</f>
        <v>92.108177478803142</v>
      </c>
      <c r="K112" s="47">
        <f>SUM(K99:K111)</f>
        <v>136020843.20000002</v>
      </c>
      <c r="L112" s="48">
        <f>SUM(L99:L111)</f>
        <v>128044359.15000001</v>
      </c>
      <c r="M112" s="44">
        <f>(+K112-L112)/L112</f>
        <v>6.2294693049740738E-2</v>
      </c>
      <c r="N112" s="10"/>
      <c r="R112" s="2"/>
    </row>
    <row r="113" spans="1:18" ht="15.75" customHeight="1" thickTop="1" x14ac:dyDescent="0.25">
      <c r="A113" s="19"/>
      <c r="B113" s="45"/>
      <c r="C113" s="21"/>
      <c r="D113" s="21"/>
      <c r="E113" s="23"/>
      <c r="F113" s="21"/>
      <c r="G113" s="21"/>
      <c r="H113" s="23"/>
      <c r="I113" s="24"/>
      <c r="J113" s="24"/>
      <c r="K113" s="21"/>
      <c r="L113" s="21"/>
      <c r="M113" s="25"/>
      <c r="N113" s="10"/>
      <c r="R113" s="2"/>
    </row>
    <row r="114" spans="1:18" ht="15.75" customHeight="1" x14ac:dyDescent="0.25">
      <c r="A114" s="19" t="s">
        <v>69</v>
      </c>
      <c r="B114" s="20">
        <f>DATE(2023,7,1)</f>
        <v>45108</v>
      </c>
      <c r="C114" s="21">
        <v>227955</v>
      </c>
      <c r="D114" s="21">
        <v>226404</v>
      </c>
      <c r="E114" s="23">
        <f t="shared" ref="E114:E125" si="56">(+C114-D114)/D114</f>
        <v>6.8505856786982566E-3</v>
      </c>
      <c r="F114" s="21">
        <f>+C114-105186</f>
        <v>122769</v>
      </c>
      <c r="G114" s="21">
        <f>+D114-105902</f>
        <v>120502</v>
      </c>
      <c r="H114" s="23">
        <f t="shared" ref="H114:H119" si="57">(+F114-G114)/G114</f>
        <v>1.8812965759904401E-2</v>
      </c>
      <c r="I114" s="24">
        <f t="shared" ref="I114:I119" si="58">K114/C114</f>
        <v>61.567241209887918</v>
      </c>
      <c r="J114" s="24">
        <f t="shared" ref="J114:J119" si="59">K114/F114</f>
        <v>114.31681018823971</v>
      </c>
      <c r="K114" s="21">
        <v>14034560.470000001</v>
      </c>
      <c r="L114" s="21">
        <v>13168404.74</v>
      </c>
      <c r="M114" s="25">
        <f t="shared" ref="M114:M125" si="60">(+K114-L114)/L114</f>
        <v>6.5775296788151458E-2</v>
      </c>
      <c r="N114" s="10"/>
      <c r="R114" s="2"/>
    </row>
    <row r="115" spans="1:18" ht="15.75" customHeight="1" x14ac:dyDescent="0.25">
      <c r="A115" s="19"/>
      <c r="B115" s="20">
        <f>DATE(2023,8,1)</f>
        <v>45139</v>
      </c>
      <c r="C115" s="21">
        <v>213943</v>
      </c>
      <c r="D115" s="21">
        <v>232513</v>
      </c>
      <c r="E115" s="23">
        <f t="shared" si="56"/>
        <v>-7.9866502088055291E-2</v>
      </c>
      <c r="F115" s="21">
        <f>+C115-98836</f>
        <v>115107</v>
      </c>
      <c r="G115" s="21">
        <f>+D115-107480</f>
        <v>125033</v>
      </c>
      <c r="H115" s="23">
        <f t="shared" si="57"/>
        <v>-7.9387041820959264E-2</v>
      </c>
      <c r="I115" s="24">
        <f t="shared" si="58"/>
        <v>61.074573881828343</v>
      </c>
      <c r="J115" s="24">
        <f t="shared" si="59"/>
        <v>113.51592483515338</v>
      </c>
      <c r="K115" s="21">
        <v>13066477.560000001</v>
      </c>
      <c r="L115" s="21">
        <v>13927721.449999999</v>
      </c>
      <c r="M115" s="25">
        <f t="shared" si="60"/>
        <v>-6.1836668193848664E-2</v>
      </c>
      <c r="N115" s="10"/>
      <c r="R115" s="2"/>
    </row>
    <row r="116" spans="1:18" ht="15.75" customHeight="1" x14ac:dyDescent="0.25">
      <c r="A116" s="19"/>
      <c r="B116" s="20">
        <f>DATE(2023,9,1)</f>
        <v>45170</v>
      </c>
      <c r="C116" s="21">
        <v>210806</v>
      </c>
      <c r="D116" s="21">
        <v>229799</v>
      </c>
      <c r="E116" s="23">
        <f t="shared" si="56"/>
        <v>-8.2650490211010494E-2</v>
      </c>
      <c r="F116" s="21">
        <f>+C116-94978</f>
        <v>115828</v>
      </c>
      <c r="G116" s="21">
        <f>+D116-107359</f>
        <v>122440</v>
      </c>
      <c r="H116" s="23">
        <f t="shared" si="57"/>
        <v>-5.4001960143743873E-2</v>
      </c>
      <c r="I116" s="24">
        <f t="shared" si="58"/>
        <v>64.684465907042494</v>
      </c>
      <c r="J116" s="24">
        <f t="shared" si="59"/>
        <v>117.72519183617086</v>
      </c>
      <c r="K116" s="21">
        <v>13635873.52</v>
      </c>
      <c r="L116" s="21">
        <v>13521948.51</v>
      </c>
      <c r="M116" s="25">
        <f t="shared" si="60"/>
        <v>8.4251918217073413E-3</v>
      </c>
      <c r="N116" s="10"/>
      <c r="R116" s="2"/>
    </row>
    <row r="117" spans="1:18" ht="15.75" customHeight="1" x14ac:dyDescent="0.25">
      <c r="A117" s="19"/>
      <c r="B117" s="20">
        <f>DATE(2023,10,1)</f>
        <v>45200</v>
      </c>
      <c r="C117" s="21">
        <v>192200</v>
      </c>
      <c r="D117" s="21">
        <v>212700</v>
      </c>
      <c r="E117" s="23">
        <f t="shared" si="56"/>
        <v>-9.6379877762106256E-2</v>
      </c>
      <c r="F117" s="21">
        <f>+C117-87717</f>
        <v>104483</v>
      </c>
      <c r="G117" s="21">
        <f>+D117-99072</f>
        <v>113628</v>
      </c>
      <c r="H117" s="23">
        <f t="shared" si="57"/>
        <v>-8.0481923469567354E-2</v>
      </c>
      <c r="I117" s="24">
        <f t="shared" si="58"/>
        <v>60.224178876170654</v>
      </c>
      <c r="J117" s="24">
        <f t="shared" si="59"/>
        <v>110.78440684130432</v>
      </c>
      <c r="K117" s="21">
        <v>11575087.18</v>
      </c>
      <c r="L117" s="21">
        <v>12950831.189999999</v>
      </c>
      <c r="M117" s="25">
        <f t="shared" si="60"/>
        <v>-0.10622824047481078</v>
      </c>
      <c r="N117" s="10"/>
      <c r="R117" s="2"/>
    </row>
    <row r="118" spans="1:18" ht="15.75" customHeight="1" x14ac:dyDescent="0.25">
      <c r="A118" s="19"/>
      <c r="B118" s="20">
        <f>DATE(2023,11,1)</f>
        <v>45231</v>
      </c>
      <c r="C118" s="21">
        <v>197061</v>
      </c>
      <c r="D118" s="21">
        <v>191508</v>
      </c>
      <c r="E118" s="23">
        <f t="shared" si="56"/>
        <v>2.899617770537001E-2</v>
      </c>
      <c r="F118" s="21">
        <f>+C118-91318</f>
        <v>105743</v>
      </c>
      <c r="G118" s="21">
        <f>+D118-91306</f>
        <v>100202</v>
      </c>
      <c r="H118" s="23">
        <f t="shared" si="57"/>
        <v>5.5298297439172868E-2</v>
      </c>
      <c r="I118" s="24">
        <f t="shared" si="58"/>
        <v>60.988237550809139</v>
      </c>
      <c r="J118" s="24">
        <f t="shared" si="59"/>
        <v>113.65672507872861</v>
      </c>
      <c r="K118" s="21">
        <v>12018403.08</v>
      </c>
      <c r="L118" s="21">
        <v>11870439.130000001</v>
      </c>
      <c r="M118" s="25">
        <f t="shared" si="60"/>
        <v>1.2464909543746528E-2</v>
      </c>
      <c r="N118" s="10"/>
      <c r="R118" s="2"/>
    </row>
    <row r="119" spans="1:18" ht="15.75" customHeight="1" x14ac:dyDescent="0.25">
      <c r="A119" s="19"/>
      <c r="B119" s="20">
        <f>DATE(2023,12,1)</f>
        <v>45261</v>
      </c>
      <c r="C119" s="21">
        <v>222895</v>
      </c>
      <c r="D119" s="21">
        <v>214147</v>
      </c>
      <c r="E119" s="23">
        <f t="shared" si="56"/>
        <v>4.0850443853988151E-2</v>
      </c>
      <c r="F119" s="21">
        <f>+C119-106183</f>
        <v>116712</v>
      </c>
      <c r="G119" s="21">
        <f>+D119-102215</f>
        <v>111932</v>
      </c>
      <c r="H119" s="23">
        <f t="shared" si="57"/>
        <v>4.2704499160204412E-2</v>
      </c>
      <c r="I119" s="24">
        <f t="shared" si="58"/>
        <v>62.715877296484898</v>
      </c>
      <c r="J119" s="24">
        <f t="shared" si="59"/>
        <v>119.7739347282199</v>
      </c>
      <c r="K119" s="21">
        <v>13979055.470000001</v>
      </c>
      <c r="L119" s="21">
        <v>13055866.52</v>
      </c>
      <c r="M119" s="25">
        <f t="shared" si="60"/>
        <v>7.0710660880745679E-2</v>
      </c>
      <c r="N119" s="10"/>
      <c r="R119" s="2"/>
    </row>
    <row r="120" spans="1:18" ht="15.75" customHeight="1" x14ac:dyDescent="0.25">
      <c r="A120" s="19"/>
      <c r="B120" s="20">
        <f>DATE(2024,1,1)</f>
        <v>45292</v>
      </c>
      <c r="C120" s="21">
        <v>172009</v>
      </c>
      <c r="D120" s="21">
        <v>203689</v>
      </c>
      <c r="E120" s="23">
        <f t="shared" si="56"/>
        <v>-0.15553122652671475</v>
      </c>
      <c r="F120" s="21">
        <f>+C120-81877</f>
        <v>90132</v>
      </c>
      <c r="G120" s="21">
        <f>D120-97201</f>
        <v>106488</v>
      </c>
      <c r="H120" s="23">
        <f t="shared" ref="H120:H125" si="61">(+F120-G120)/G120</f>
        <v>-0.15359477124183007</v>
      </c>
      <c r="I120" s="24">
        <f t="shared" ref="I120:I125" si="62">K120/C120</f>
        <v>63.425692434698185</v>
      </c>
      <c r="J120" s="24">
        <f t="shared" ref="J120:J125" si="63">K120/F120</f>
        <v>121.04235931744552</v>
      </c>
      <c r="K120" s="21">
        <v>10909789.93</v>
      </c>
      <c r="L120" s="21">
        <v>11950275.130000001</v>
      </c>
      <c r="M120" s="25">
        <f t="shared" si="60"/>
        <v>-8.7067886611912768E-2</v>
      </c>
      <c r="N120" s="10"/>
      <c r="R120" s="2"/>
    </row>
    <row r="121" spans="1:18" ht="15.75" customHeight="1" x14ac:dyDescent="0.25">
      <c r="A121" s="19"/>
      <c r="B121" s="20">
        <f>DATE(2024,2,1)</f>
        <v>45323</v>
      </c>
      <c r="C121" s="21">
        <v>185169</v>
      </c>
      <c r="D121" s="21">
        <v>207928</v>
      </c>
      <c r="E121" s="23">
        <f t="shared" si="56"/>
        <v>-0.10945615790081183</v>
      </c>
      <c r="F121" s="21">
        <f>+C121-87277</f>
        <v>97892</v>
      </c>
      <c r="G121" s="21">
        <f>+D121-99235</f>
        <v>108693</v>
      </c>
      <c r="H121" s="23">
        <f t="shared" si="61"/>
        <v>-9.9371624667641892E-2</v>
      </c>
      <c r="I121" s="24">
        <f t="shared" si="62"/>
        <v>66.494736105935658</v>
      </c>
      <c r="J121" s="24">
        <f t="shared" si="63"/>
        <v>125.77906049523965</v>
      </c>
      <c r="K121" s="21">
        <v>12312763.789999999</v>
      </c>
      <c r="L121" s="21">
        <v>12580250.810000001</v>
      </c>
      <c r="M121" s="25">
        <f t="shared" si="60"/>
        <v>-2.1262455259427486E-2</v>
      </c>
      <c r="N121" s="10"/>
      <c r="R121" s="2"/>
    </row>
    <row r="122" spans="1:18" ht="15.75" customHeight="1" x14ac:dyDescent="0.25">
      <c r="A122" s="19"/>
      <c r="B122" s="20">
        <f>DATE(2024,3,1)</f>
        <v>45352</v>
      </c>
      <c r="C122" s="21">
        <v>211471</v>
      </c>
      <c r="D122" s="21">
        <v>231900</v>
      </c>
      <c r="E122" s="23">
        <f t="shared" si="56"/>
        <v>-8.8094006037084949E-2</v>
      </c>
      <c r="F122" s="21">
        <f>+C122-100375</f>
        <v>111096</v>
      </c>
      <c r="G122" s="21">
        <f>+D122-108329</f>
        <v>123571</v>
      </c>
      <c r="H122" s="23">
        <f t="shared" si="61"/>
        <v>-0.10095410735528562</v>
      </c>
      <c r="I122" s="24">
        <f t="shared" si="62"/>
        <v>65.652659844612273</v>
      </c>
      <c r="J122" s="24">
        <f t="shared" si="63"/>
        <v>124.96969854900267</v>
      </c>
      <c r="K122" s="21">
        <v>13883633.630000001</v>
      </c>
      <c r="L122" s="21">
        <v>14256806.66</v>
      </c>
      <c r="M122" s="25">
        <f t="shared" si="60"/>
        <v>-2.6175078255567738E-2</v>
      </c>
      <c r="N122" s="10"/>
      <c r="R122" s="2"/>
    </row>
    <row r="123" spans="1:18" ht="15.75" customHeight="1" x14ac:dyDescent="0.25">
      <c r="A123" s="19"/>
      <c r="B123" s="20">
        <f>DATE(2024,4,1)</f>
        <v>45383</v>
      </c>
      <c r="C123" s="21">
        <v>189528</v>
      </c>
      <c r="D123" s="21">
        <v>215525</v>
      </c>
      <c r="E123" s="23">
        <f t="shared" si="56"/>
        <v>-0.12062173761744577</v>
      </c>
      <c r="F123" s="21">
        <f>+C123-87564</f>
        <v>101964</v>
      </c>
      <c r="G123" s="21">
        <f>+D123-99325</f>
        <v>116200</v>
      </c>
      <c r="H123" s="23">
        <f t="shared" si="61"/>
        <v>-0.12251290877796901</v>
      </c>
      <c r="I123" s="24">
        <f t="shared" si="62"/>
        <v>64.362692953020144</v>
      </c>
      <c r="J123" s="24">
        <f t="shared" si="63"/>
        <v>119.63567994586326</v>
      </c>
      <c r="K123" s="21">
        <v>12198532.470000001</v>
      </c>
      <c r="L123" s="21">
        <v>13733684.33</v>
      </c>
      <c r="M123" s="25">
        <f t="shared" si="60"/>
        <v>-0.11178004555169496</v>
      </c>
      <c r="N123" s="10"/>
      <c r="R123" s="2"/>
    </row>
    <row r="124" spans="1:18" ht="15.75" customHeight="1" x14ac:dyDescent="0.25">
      <c r="A124" s="19"/>
      <c r="B124" s="20">
        <f>DATE(2024,5,1)</f>
        <v>45413</v>
      </c>
      <c r="C124" s="21">
        <v>195284</v>
      </c>
      <c r="D124" s="21">
        <v>207975</v>
      </c>
      <c r="E124" s="23">
        <f t="shared" si="56"/>
        <v>-6.1021757422767157E-2</v>
      </c>
      <c r="F124" s="21">
        <f>+C124-89266</f>
        <v>106018</v>
      </c>
      <c r="G124" s="21">
        <f>+D124-97497</f>
        <v>110478</v>
      </c>
      <c r="H124" s="23">
        <f t="shared" si="61"/>
        <v>-4.0370028421948263E-2</v>
      </c>
      <c r="I124" s="24">
        <f t="shared" si="62"/>
        <v>62.325852297167202</v>
      </c>
      <c r="J124" s="24">
        <f t="shared" si="63"/>
        <v>114.80354034220605</v>
      </c>
      <c r="K124" s="21">
        <v>12171241.74</v>
      </c>
      <c r="L124" s="21">
        <v>12974236.359999999</v>
      </c>
      <c r="M124" s="25">
        <f t="shared" si="60"/>
        <v>-6.1891474590031227E-2</v>
      </c>
      <c r="N124" s="10"/>
      <c r="R124" s="2"/>
    </row>
    <row r="125" spans="1:18" ht="15.75" customHeight="1" x14ac:dyDescent="0.25">
      <c r="A125" s="19"/>
      <c r="B125" s="20">
        <f>DATE(2024,6,1)</f>
        <v>45444</v>
      </c>
      <c r="C125" s="21">
        <v>181003</v>
      </c>
      <c r="D125" s="21">
        <v>211611</v>
      </c>
      <c r="E125" s="23">
        <f t="shared" si="56"/>
        <v>-0.14464276431754494</v>
      </c>
      <c r="F125" s="21">
        <f>+C125-81319</f>
        <v>99684</v>
      </c>
      <c r="G125" s="21">
        <f>+D125-96674</f>
        <v>114937</v>
      </c>
      <c r="H125" s="23">
        <f t="shared" si="61"/>
        <v>-0.13270748322994336</v>
      </c>
      <c r="I125" s="24">
        <f t="shared" si="62"/>
        <v>60.736368623724466</v>
      </c>
      <c r="J125" s="24">
        <f t="shared" si="63"/>
        <v>110.28314403515107</v>
      </c>
      <c r="K125" s="21">
        <v>10993464.93</v>
      </c>
      <c r="L125" s="21">
        <v>13258352.949999999</v>
      </c>
      <c r="M125" s="25">
        <f t="shared" si="60"/>
        <v>-0.17082725347117869</v>
      </c>
      <c r="N125" s="10"/>
      <c r="R125" s="2"/>
    </row>
    <row r="126" spans="1:18" ht="15.75" customHeight="1" thickBot="1" x14ac:dyDescent="0.3">
      <c r="A126" s="19"/>
      <c r="B126" s="45"/>
      <c r="C126" s="21"/>
      <c r="D126" s="21"/>
      <c r="E126" s="23"/>
      <c r="F126" s="21"/>
      <c r="G126" s="21"/>
      <c r="H126" s="23"/>
      <c r="I126" s="24"/>
      <c r="J126" s="24"/>
      <c r="K126" s="21"/>
      <c r="L126" s="21"/>
      <c r="M126" s="25"/>
      <c r="N126" s="10"/>
      <c r="R126" s="2"/>
    </row>
    <row r="127" spans="1:18" ht="17.25" thickTop="1" thickBot="1" x14ac:dyDescent="0.3">
      <c r="A127" s="39" t="s">
        <v>14</v>
      </c>
      <c r="B127" s="40"/>
      <c r="C127" s="41">
        <f>SUM(C114:C126)</f>
        <v>2399324</v>
      </c>
      <c r="D127" s="41">
        <f>SUM(D114:D126)</f>
        <v>2585699</v>
      </c>
      <c r="E127" s="280">
        <f>(+C127-D127)/D127</f>
        <v>-7.2079155385062224E-2</v>
      </c>
      <c r="F127" s="41">
        <f>SUM(F114:F126)</f>
        <v>1287428</v>
      </c>
      <c r="G127" s="41">
        <f>SUM(G114:G126)</f>
        <v>1374104</v>
      </c>
      <c r="H127" s="42">
        <f>(+F127-G127)/G127</f>
        <v>-6.3078194954675926E-2</v>
      </c>
      <c r="I127" s="43">
        <f>K127/C127</f>
        <v>62.842235467156584</v>
      </c>
      <c r="J127" s="43">
        <f>K127/F127</f>
        <v>117.11636205675192</v>
      </c>
      <c r="K127" s="41">
        <f>SUM(K114:K126)</f>
        <v>150778883.77000001</v>
      </c>
      <c r="L127" s="41">
        <f>SUM(L114:L126)</f>
        <v>157248817.77999997</v>
      </c>
      <c r="M127" s="44">
        <f>(+K127-L127)/L127</f>
        <v>-4.1144563764236156E-2</v>
      </c>
      <c r="N127" s="10"/>
      <c r="R127" s="2"/>
    </row>
    <row r="128" spans="1:18" ht="15.75" customHeight="1" thickTop="1" x14ac:dyDescent="0.2">
      <c r="A128" s="54"/>
      <c r="B128" s="55"/>
      <c r="C128" s="55"/>
      <c r="D128" s="55"/>
      <c r="E128" s="56"/>
      <c r="F128" s="55"/>
      <c r="G128" s="55"/>
      <c r="H128" s="56"/>
      <c r="I128" s="55"/>
      <c r="J128" s="55"/>
      <c r="K128" s="196"/>
      <c r="L128" s="196"/>
      <c r="M128" s="57"/>
      <c r="N128" s="10"/>
      <c r="R128" s="2"/>
    </row>
    <row r="129" spans="1:18" ht="15.75" customHeight="1" x14ac:dyDescent="0.25">
      <c r="A129" s="19" t="s">
        <v>16</v>
      </c>
      <c r="B129" s="20">
        <f>DATE(2023,7,1)</f>
        <v>45108</v>
      </c>
      <c r="C129" s="21">
        <v>262088</v>
      </c>
      <c r="D129" s="21">
        <v>271337</v>
      </c>
      <c r="E129" s="23">
        <f t="shared" ref="E129:E140" si="64">(+C129-D129)/D129</f>
        <v>-3.4086762955291762E-2</v>
      </c>
      <c r="F129" s="21">
        <f>+C129-132418</f>
        <v>129670</v>
      </c>
      <c r="G129" s="21">
        <f>+D129-134570</f>
        <v>136767</v>
      </c>
      <c r="H129" s="23">
        <f t="shared" ref="H129:H134" si="65">(+F129-G129)/G129</f>
        <v>-5.1891172578180406E-2</v>
      </c>
      <c r="I129" s="24">
        <f t="shared" ref="I129:I134" si="66">K129/C129</f>
        <v>67.305416539482934</v>
      </c>
      <c r="J129" s="24">
        <f t="shared" ref="J129:J134" si="67">K129/F129</f>
        <v>136.03718678183083</v>
      </c>
      <c r="K129" s="21">
        <v>17639942.010000002</v>
      </c>
      <c r="L129" s="21">
        <v>18204043.98</v>
      </c>
      <c r="M129" s="25">
        <f t="shared" ref="M129:M140" si="68">(+K129-L129)/L129</f>
        <v>-3.0987728365178272E-2</v>
      </c>
      <c r="N129" s="10"/>
      <c r="R129" s="2"/>
    </row>
    <row r="130" spans="1:18" ht="15.75" customHeight="1" x14ac:dyDescent="0.25">
      <c r="A130" s="19"/>
      <c r="B130" s="20">
        <f>DATE(2023,8,1)</f>
        <v>45139</v>
      </c>
      <c r="C130" s="21">
        <v>239223</v>
      </c>
      <c r="D130" s="21">
        <v>244622</v>
      </c>
      <c r="E130" s="23">
        <f t="shared" si="64"/>
        <v>-2.2070786764886233E-2</v>
      </c>
      <c r="F130" s="21">
        <f>+C130-117748</f>
        <v>121475</v>
      </c>
      <c r="G130" s="21">
        <f>+D130-120033</f>
        <v>124589</v>
      </c>
      <c r="H130" s="23">
        <f t="shared" si="65"/>
        <v>-2.4994180866689676E-2</v>
      </c>
      <c r="I130" s="24">
        <f t="shared" si="66"/>
        <v>68.308296568473764</v>
      </c>
      <c r="J130" s="24">
        <f t="shared" si="67"/>
        <v>134.52081193661249</v>
      </c>
      <c r="K130" s="21">
        <v>16340915.630000001</v>
      </c>
      <c r="L130" s="21">
        <v>16440004.18</v>
      </c>
      <c r="M130" s="25">
        <f t="shared" si="68"/>
        <v>-6.0272825307760283E-3</v>
      </c>
      <c r="N130" s="10"/>
      <c r="R130" s="2"/>
    </row>
    <row r="131" spans="1:18" ht="15.75" customHeight="1" x14ac:dyDescent="0.25">
      <c r="A131" s="19"/>
      <c r="B131" s="20">
        <f>DATE(2023,9,1)</f>
        <v>45170</v>
      </c>
      <c r="C131" s="21">
        <v>248313</v>
      </c>
      <c r="D131" s="21">
        <v>238237</v>
      </c>
      <c r="E131" s="23">
        <f t="shared" si="64"/>
        <v>4.2294018141598493E-2</v>
      </c>
      <c r="F131" s="21">
        <f>+C131-122761</f>
        <v>125552</v>
      </c>
      <c r="G131" s="21">
        <f>+D131-117564</f>
        <v>120673</v>
      </c>
      <c r="H131" s="23">
        <f t="shared" si="65"/>
        <v>4.0431579557978999E-2</v>
      </c>
      <c r="I131" s="24">
        <f t="shared" si="66"/>
        <v>67.885279143661435</v>
      </c>
      <c r="J131" s="24">
        <f t="shared" si="67"/>
        <v>134.26147986491654</v>
      </c>
      <c r="K131" s="21">
        <v>16856797.32</v>
      </c>
      <c r="L131" s="21">
        <v>16961699.789999999</v>
      </c>
      <c r="M131" s="25">
        <f t="shared" si="68"/>
        <v>-6.1846672974276724E-3</v>
      </c>
      <c r="N131" s="10"/>
      <c r="R131" s="2"/>
    </row>
    <row r="132" spans="1:18" ht="15.75" customHeight="1" x14ac:dyDescent="0.25">
      <c r="A132" s="19"/>
      <c r="B132" s="20">
        <f>DATE(2023,10,1)</f>
        <v>45200</v>
      </c>
      <c r="C132" s="21">
        <v>227962</v>
      </c>
      <c r="D132" s="21">
        <v>243168</v>
      </c>
      <c r="E132" s="23">
        <f t="shared" si="64"/>
        <v>-6.2532899065666531E-2</v>
      </c>
      <c r="F132" s="21">
        <f>+C132-111422</f>
        <v>116540</v>
      </c>
      <c r="G132" s="21">
        <f>+D132-122237</f>
        <v>120931</v>
      </c>
      <c r="H132" s="23">
        <f t="shared" si="65"/>
        <v>-3.6309961879088075E-2</v>
      </c>
      <c r="I132" s="24">
        <f t="shared" si="66"/>
        <v>69.891412647721992</v>
      </c>
      <c r="J132" s="24">
        <f t="shared" si="67"/>
        <v>136.71345640981639</v>
      </c>
      <c r="K132" s="21">
        <v>15932586.210000001</v>
      </c>
      <c r="L132" s="21">
        <v>16273788.960000001</v>
      </c>
      <c r="M132" s="25">
        <f t="shared" si="68"/>
        <v>-2.0966398841637673E-2</v>
      </c>
      <c r="N132" s="10"/>
      <c r="R132" s="2"/>
    </row>
    <row r="133" spans="1:18" ht="15.75" customHeight="1" x14ac:dyDescent="0.25">
      <c r="A133" s="19"/>
      <c r="B133" s="20">
        <f>DATE(2023,11,1)</f>
        <v>45231</v>
      </c>
      <c r="C133" s="21">
        <v>224275</v>
      </c>
      <c r="D133" s="21">
        <v>218400</v>
      </c>
      <c r="E133" s="23">
        <f t="shared" si="64"/>
        <v>2.6900183150183152E-2</v>
      </c>
      <c r="F133" s="21">
        <f>+C133-113252</f>
        <v>111023</v>
      </c>
      <c r="G133" s="21">
        <f>+D133-108404</f>
        <v>109996</v>
      </c>
      <c r="H133" s="23">
        <f t="shared" si="65"/>
        <v>9.3367031528419214E-3</v>
      </c>
      <c r="I133" s="24">
        <f t="shared" si="66"/>
        <v>65.547529639950952</v>
      </c>
      <c r="J133" s="24">
        <f t="shared" si="67"/>
        <v>132.41105185412033</v>
      </c>
      <c r="K133" s="21">
        <v>14700672.210000001</v>
      </c>
      <c r="L133" s="21">
        <v>15198397.5</v>
      </c>
      <c r="M133" s="25">
        <f t="shared" si="68"/>
        <v>-3.2748537469164042E-2</v>
      </c>
      <c r="N133" s="10"/>
      <c r="R133" s="2"/>
    </row>
    <row r="134" spans="1:18" ht="15.75" customHeight="1" x14ac:dyDescent="0.25">
      <c r="A134" s="19"/>
      <c r="B134" s="20">
        <f>DATE(2023,12,1)</f>
        <v>45261</v>
      </c>
      <c r="C134" s="21">
        <v>270052</v>
      </c>
      <c r="D134" s="21">
        <v>250765</v>
      </c>
      <c r="E134" s="23">
        <f t="shared" si="64"/>
        <v>7.6912647299264253E-2</v>
      </c>
      <c r="F134" s="21">
        <f>+C134-136952</f>
        <v>133100</v>
      </c>
      <c r="G134" s="21">
        <f>+D134-124228</f>
        <v>126537</v>
      </c>
      <c r="H134" s="23">
        <f t="shared" si="65"/>
        <v>5.1866252558540188E-2</v>
      </c>
      <c r="I134" s="24">
        <f t="shared" si="66"/>
        <v>68.973800860575011</v>
      </c>
      <c r="J134" s="24">
        <f t="shared" si="67"/>
        <v>139.94374808414727</v>
      </c>
      <c r="K134" s="21">
        <v>18626512.870000001</v>
      </c>
      <c r="L134" s="21">
        <v>16605420.529999999</v>
      </c>
      <c r="M134" s="25">
        <f t="shared" si="68"/>
        <v>0.12171280675178431</v>
      </c>
      <c r="N134" s="10"/>
      <c r="R134" s="2"/>
    </row>
    <row r="135" spans="1:18" ht="15.75" customHeight="1" x14ac:dyDescent="0.25">
      <c r="A135" s="19"/>
      <c r="B135" s="20">
        <f>DATE(2024,1,1)</f>
        <v>45292</v>
      </c>
      <c r="C135" s="21">
        <v>198314</v>
      </c>
      <c r="D135" s="21">
        <v>242722</v>
      </c>
      <c r="E135" s="23">
        <f t="shared" si="64"/>
        <v>-0.18295828149075896</v>
      </c>
      <c r="F135" s="21">
        <f>C135-99827</f>
        <v>98487</v>
      </c>
      <c r="G135" s="21">
        <f>D135-123375</f>
        <v>119347</v>
      </c>
      <c r="H135" s="23">
        <f t="shared" ref="H135:H140" si="69">(+F135-G135)/G135</f>
        <v>-0.17478445205995963</v>
      </c>
      <c r="I135" s="24">
        <f t="shared" ref="I135:I140" si="70">K135/C135</f>
        <v>71.012547122240491</v>
      </c>
      <c r="J135" s="24">
        <f t="shared" ref="J135:J140" si="71">K135/F135</f>
        <v>142.99128077817377</v>
      </c>
      <c r="K135" s="21">
        <v>14082782.27</v>
      </c>
      <c r="L135" s="21">
        <v>15648852.220000001</v>
      </c>
      <c r="M135" s="25">
        <f t="shared" si="68"/>
        <v>-0.10007570702204516</v>
      </c>
      <c r="N135" s="10"/>
      <c r="R135" s="2"/>
    </row>
    <row r="136" spans="1:18" ht="15.75" customHeight="1" x14ac:dyDescent="0.25">
      <c r="A136" s="19"/>
      <c r="B136" s="20">
        <f>DATE(2024,2,1)</f>
        <v>45323</v>
      </c>
      <c r="C136" s="21">
        <v>244148</v>
      </c>
      <c r="D136" s="21">
        <v>238918</v>
      </c>
      <c r="E136" s="23">
        <f t="shared" si="64"/>
        <v>2.189035568688839E-2</v>
      </c>
      <c r="F136" s="21">
        <f>+C136-123519</f>
        <v>120629</v>
      </c>
      <c r="G136" s="21">
        <f>+D136-118809</f>
        <v>120109</v>
      </c>
      <c r="H136" s="23">
        <f t="shared" si="69"/>
        <v>4.3294007942785307E-3</v>
      </c>
      <c r="I136" s="24">
        <f t="shared" si="70"/>
        <v>69.122359142815</v>
      </c>
      <c r="J136" s="24">
        <f t="shared" si="71"/>
        <v>139.9007348150113</v>
      </c>
      <c r="K136" s="21">
        <v>16876085.739999998</v>
      </c>
      <c r="L136" s="21">
        <v>15854862.57</v>
      </c>
      <c r="M136" s="25">
        <f t="shared" si="68"/>
        <v>6.4410723555076391E-2</v>
      </c>
      <c r="N136" s="10"/>
      <c r="R136" s="2"/>
    </row>
    <row r="137" spans="1:18" ht="15.75" customHeight="1" x14ac:dyDescent="0.25">
      <c r="A137" s="19"/>
      <c r="B137" s="20">
        <f>DATE(2024,3,1)</f>
        <v>45352</v>
      </c>
      <c r="C137" s="21">
        <v>273432</v>
      </c>
      <c r="D137" s="21">
        <v>275849</v>
      </c>
      <c r="E137" s="23">
        <f t="shared" si="64"/>
        <v>-8.7620401016498158E-3</v>
      </c>
      <c r="F137" s="21">
        <f>+C137-138760</f>
        <v>134672</v>
      </c>
      <c r="G137" s="21">
        <f>+D137-138730</f>
        <v>137119</v>
      </c>
      <c r="H137" s="23">
        <f t="shared" si="69"/>
        <v>-1.7845812761178248E-2</v>
      </c>
      <c r="I137" s="24">
        <f t="shared" si="70"/>
        <v>68.876147012785623</v>
      </c>
      <c r="J137" s="24">
        <f t="shared" si="71"/>
        <v>139.84304554770108</v>
      </c>
      <c r="K137" s="21">
        <v>18832942.629999999</v>
      </c>
      <c r="L137" s="21">
        <v>18290534.370000001</v>
      </c>
      <c r="M137" s="25">
        <f t="shared" si="68"/>
        <v>2.9655134673902798E-2</v>
      </c>
      <c r="N137" s="10"/>
      <c r="R137" s="2"/>
    </row>
    <row r="138" spans="1:18" ht="15.75" customHeight="1" x14ac:dyDescent="0.25">
      <c r="A138" s="19"/>
      <c r="B138" s="20">
        <f>DATE(2024,4,1)</f>
        <v>45383</v>
      </c>
      <c r="C138" s="21">
        <v>234759</v>
      </c>
      <c r="D138" s="21">
        <v>256341</v>
      </c>
      <c r="E138" s="23">
        <f t="shared" si="64"/>
        <v>-8.4192540405163441E-2</v>
      </c>
      <c r="F138" s="21">
        <f>+C138-117240</f>
        <v>117519</v>
      </c>
      <c r="G138" s="21">
        <f>+D138-130653</f>
        <v>125688</v>
      </c>
      <c r="H138" s="23">
        <f t="shared" si="69"/>
        <v>-6.4994271529501629E-2</v>
      </c>
      <c r="I138" s="24">
        <f t="shared" si="70"/>
        <v>69.594013861023427</v>
      </c>
      <c r="J138" s="24">
        <f t="shared" si="71"/>
        <v>139.02280567397611</v>
      </c>
      <c r="K138" s="21">
        <v>16337821.1</v>
      </c>
      <c r="L138" s="21">
        <v>17878592.390000001</v>
      </c>
      <c r="M138" s="25">
        <f t="shared" si="68"/>
        <v>-8.617967546828785E-2</v>
      </c>
      <c r="N138" s="10"/>
      <c r="R138" s="2"/>
    </row>
    <row r="139" spans="1:18" ht="15.75" customHeight="1" x14ac:dyDescent="0.25">
      <c r="A139" s="19"/>
      <c r="B139" s="20">
        <f>DATE(2024,5,1)</f>
        <v>45413</v>
      </c>
      <c r="C139" s="21">
        <v>253142</v>
      </c>
      <c r="D139" s="21">
        <v>243902</v>
      </c>
      <c r="E139" s="23">
        <f t="shared" si="64"/>
        <v>3.7884068191322742E-2</v>
      </c>
      <c r="F139" s="21">
        <f>+C139-125881</f>
        <v>127261</v>
      </c>
      <c r="G139" s="21">
        <f>+D139-122068</f>
        <v>121834</v>
      </c>
      <c r="H139" s="23">
        <f t="shared" si="69"/>
        <v>4.454421590032339E-2</v>
      </c>
      <c r="I139" s="24">
        <f t="shared" si="70"/>
        <v>67.632367011400703</v>
      </c>
      <c r="J139" s="24">
        <f t="shared" si="71"/>
        <v>134.53133835189098</v>
      </c>
      <c r="K139" s="21">
        <v>17120592.649999999</v>
      </c>
      <c r="L139" s="21">
        <v>16767901.77</v>
      </c>
      <c r="M139" s="25">
        <f t="shared" si="68"/>
        <v>2.1033691921490721E-2</v>
      </c>
      <c r="N139" s="10"/>
      <c r="R139" s="2"/>
    </row>
    <row r="140" spans="1:18" ht="15.75" customHeight="1" x14ac:dyDescent="0.25">
      <c r="A140" s="19"/>
      <c r="B140" s="20">
        <f>DATE(2024,6,1)</f>
        <v>45444</v>
      </c>
      <c r="C140" s="21">
        <v>244215</v>
      </c>
      <c r="D140" s="21">
        <v>244055</v>
      </c>
      <c r="E140" s="23">
        <f t="shared" si="64"/>
        <v>6.5558992849972344E-4</v>
      </c>
      <c r="F140" s="21">
        <f>+C140-122883</f>
        <v>121332</v>
      </c>
      <c r="G140" s="21">
        <f>+D140-120701</f>
        <v>123354</v>
      </c>
      <c r="H140" s="23">
        <f t="shared" si="69"/>
        <v>-1.6391847852522009E-2</v>
      </c>
      <c r="I140" s="24">
        <f t="shared" si="70"/>
        <v>66.901676146018872</v>
      </c>
      <c r="J140" s="24">
        <f t="shared" si="71"/>
        <v>134.65856361058911</v>
      </c>
      <c r="K140" s="21">
        <v>16338392.84</v>
      </c>
      <c r="L140" s="21">
        <v>16502268.52</v>
      </c>
      <c r="M140" s="25">
        <f t="shared" si="68"/>
        <v>-9.9304940894271495E-3</v>
      </c>
      <c r="N140" s="10"/>
      <c r="R140" s="2"/>
    </row>
    <row r="141" spans="1:18" ht="15.75" customHeight="1" thickBot="1" x14ac:dyDescent="0.3">
      <c r="A141" s="19"/>
      <c r="B141" s="45"/>
      <c r="C141" s="21"/>
      <c r="D141" s="21"/>
      <c r="E141" s="23"/>
      <c r="F141" s="21"/>
      <c r="G141" s="21"/>
      <c r="H141" s="23"/>
      <c r="I141" s="24"/>
      <c r="J141" s="24"/>
      <c r="K141" s="21"/>
      <c r="L141" s="21"/>
      <c r="M141" s="25"/>
      <c r="N141" s="10"/>
      <c r="R141" s="2"/>
    </row>
    <row r="142" spans="1:18" ht="17.25" thickTop="1" thickBot="1" x14ac:dyDescent="0.3">
      <c r="A142" s="39" t="s">
        <v>14</v>
      </c>
      <c r="B142" s="40"/>
      <c r="C142" s="41">
        <f>SUM(C129:C141)</f>
        <v>2919923</v>
      </c>
      <c r="D142" s="41">
        <f>SUM(D129:D141)</f>
        <v>2968316</v>
      </c>
      <c r="E142" s="280">
        <f>(+C142-D142)/D142</f>
        <v>-1.6303183353793868E-2</v>
      </c>
      <c r="F142" s="41">
        <f>SUM(F129:F141)</f>
        <v>1457260</v>
      </c>
      <c r="G142" s="41">
        <f>SUM(G129:G141)</f>
        <v>1486944</v>
      </c>
      <c r="H142" s="42">
        <f>(+F142-G142)/G142</f>
        <v>-1.9963092086857339E-2</v>
      </c>
      <c r="I142" s="43">
        <f>K142/C142</f>
        <v>68.387434696051912</v>
      </c>
      <c r="J142" s="43">
        <f>K142/F142</f>
        <v>137.02842559323662</v>
      </c>
      <c r="K142" s="41">
        <f>SUM(K129:K141)</f>
        <v>199686043.47999999</v>
      </c>
      <c r="L142" s="41">
        <f>SUM(L129:L141)</f>
        <v>200626366.78000003</v>
      </c>
      <c r="M142" s="44">
        <f>(+K142-L142)/L142</f>
        <v>-4.6869377893443481E-3</v>
      </c>
      <c r="N142" s="10"/>
      <c r="R142" s="2"/>
    </row>
    <row r="143" spans="1:18" ht="15.75" customHeight="1" thickTop="1" x14ac:dyDescent="0.2">
      <c r="A143" s="54"/>
      <c r="B143" s="55"/>
      <c r="C143" s="55"/>
      <c r="D143" s="55"/>
      <c r="E143" s="56"/>
      <c r="F143" s="55"/>
      <c r="G143" s="55"/>
      <c r="H143" s="56"/>
      <c r="I143" s="55"/>
      <c r="J143" s="55"/>
      <c r="K143" s="196"/>
      <c r="L143" s="196"/>
      <c r="M143" s="57"/>
      <c r="N143" s="10"/>
      <c r="R143" s="2"/>
    </row>
    <row r="144" spans="1:18" ht="15.75" customHeight="1" x14ac:dyDescent="0.25">
      <c r="A144" s="19" t="s">
        <v>53</v>
      </c>
      <c r="B144" s="20">
        <f>DATE(2023,7,1)</f>
        <v>45108</v>
      </c>
      <c r="C144" s="21">
        <v>372664</v>
      </c>
      <c r="D144" s="21">
        <v>358906</v>
      </c>
      <c r="E144" s="23">
        <f t="shared" ref="E144:E155" si="72">(+C144-D144)/D144</f>
        <v>3.8333156871158465E-2</v>
      </c>
      <c r="F144" s="21">
        <f>+C144-175639</f>
        <v>197025</v>
      </c>
      <c r="G144" s="21">
        <f>+D144-172463</f>
        <v>186443</v>
      </c>
      <c r="H144" s="23">
        <f t="shared" ref="H144:H149" si="73">(+F144-G144)/G144</f>
        <v>5.6757293113713039E-2</v>
      </c>
      <c r="I144" s="24">
        <f t="shared" ref="I144:I149" si="74">K144/C144</f>
        <v>59.665630729021316</v>
      </c>
      <c r="J144" s="24">
        <f t="shared" ref="J144:J149" si="75">K144/F144</f>
        <v>112.85487938078924</v>
      </c>
      <c r="K144" s="21">
        <v>22235232.609999999</v>
      </c>
      <c r="L144" s="21">
        <v>22397002.989999998</v>
      </c>
      <c r="M144" s="25">
        <f t="shared" ref="M144:M155" si="76">(+K144-L144)/L144</f>
        <v>-7.2228583472631388E-3</v>
      </c>
      <c r="N144" s="10"/>
      <c r="R144" s="2"/>
    </row>
    <row r="145" spans="1:18" ht="15.75" customHeight="1" x14ac:dyDescent="0.25">
      <c r="A145" s="19"/>
      <c r="B145" s="20">
        <f>DATE(2023,8,1)</f>
        <v>45139</v>
      </c>
      <c r="C145" s="21">
        <v>342645</v>
      </c>
      <c r="D145" s="21">
        <v>332390</v>
      </c>
      <c r="E145" s="23">
        <f t="shared" si="72"/>
        <v>3.0852312043081923E-2</v>
      </c>
      <c r="F145" s="21">
        <f>+C145-159996</f>
        <v>182649</v>
      </c>
      <c r="G145" s="21">
        <f>+D145-159690</f>
        <v>172700</v>
      </c>
      <c r="H145" s="23">
        <f t="shared" si="73"/>
        <v>5.7608569774174868E-2</v>
      </c>
      <c r="I145" s="24">
        <f t="shared" si="74"/>
        <v>60.158932422769915</v>
      </c>
      <c r="J145" s="24">
        <f t="shared" si="75"/>
        <v>112.85666715941504</v>
      </c>
      <c r="K145" s="21">
        <v>20613157.399999999</v>
      </c>
      <c r="L145" s="21">
        <v>20719744.75</v>
      </c>
      <c r="M145" s="25">
        <f t="shared" si="76"/>
        <v>-5.1442404955303073E-3</v>
      </c>
      <c r="N145" s="10"/>
      <c r="R145" s="2"/>
    </row>
    <row r="146" spans="1:18" ht="15.75" customHeight="1" x14ac:dyDescent="0.25">
      <c r="A146" s="19"/>
      <c r="B146" s="20">
        <f>DATE(2023,9,1)</f>
        <v>45170</v>
      </c>
      <c r="C146" s="21">
        <v>340628</v>
      </c>
      <c r="D146" s="21">
        <v>333101</v>
      </c>
      <c r="E146" s="23">
        <f t="shared" si="72"/>
        <v>2.259674993470449E-2</v>
      </c>
      <c r="F146" s="21">
        <f>+C146-161145</f>
        <v>179483</v>
      </c>
      <c r="G146" s="21">
        <f>+D146-160339</f>
        <v>172762</v>
      </c>
      <c r="H146" s="23">
        <f t="shared" si="73"/>
        <v>3.8903231034602519E-2</v>
      </c>
      <c r="I146" s="24">
        <f t="shared" si="74"/>
        <v>63.235720052373857</v>
      </c>
      <c r="J146" s="24">
        <f t="shared" si="75"/>
        <v>120.01056841037871</v>
      </c>
      <c r="K146" s="21">
        <v>21539856.850000001</v>
      </c>
      <c r="L146" s="21">
        <v>20315248.210000001</v>
      </c>
      <c r="M146" s="25">
        <f t="shared" si="76"/>
        <v>6.0280269644807878E-2</v>
      </c>
      <c r="N146" s="10"/>
      <c r="R146" s="2"/>
    </row>
    <row r="147" spans="1:18" ht="15.75" customHeight="1" x14ac:dyDescent="0.25">
      <c r="A147" s="19"/>
      <c r="B147" s="20">
        <f>DATE(2023,10,1)</f>
        <v>45200</v>
      </c>
      <c r="C147" s="21">
        <v>328436</v>
      </c>
      <c r="D147" s="21">
        <v>337264</v>
      </c>
      <c r="E147" s="23">
        <f t="shared" si="72"/>
        <v>-2.6175340386166326E-2</v>
      </c>
      <c r="F147" s="21">
        <f>+C147-154947</f>
        <v>173489</v>
      </c>
      <c r="G147" s="21">
        <f>+D147-160233</f>
        <v>177031</v>
      </c>
      <c r="H147" s="23">
        <f t="shared" si="73"/>
        <v>-2.0007795244900612E-2</v>
      </c>
      <c r="I147" s="24">
        <f t="shared" si="74"/>
        <v>59.368265659062949</v>
      </c>
      <c r="J147" s="24">
        <f t="shared" si="75"/>
        <v>112.39142366374813</v>
      </c>
      <c r="K147" s="21">
        <v>19498675.699999999</v>
      </c>
      <c r="L147" s="21">
        <v>21004131.789999999</v>
      </c>
      <c r="M147" s="25">
        <f t="shared" si="76"/>
        <v>-7.167428318635588E-2</v>
      </c>
      <c r="N147" s="10"/>
      <c r="R147" s="2"/>
    </row>
    <row r="148" spans="1:18" ht="15.75" customHeight="1" x14ac:dyDescent="0.25">
      <c r="A148" s="19"/>
      <c r="B148" s="20">
        <f>DATE(2023,11,1)</f>
        <v>45231</v>
      </c>
      <c r="C148" s="21">
        <v>339918</v>
      </c>
      <c r="D148" s="21">
        <v>335976</v>
      </c>
      <c r="E148" s="23">
        <f t="shared" si="72"/>
        <v>1.1732980927209086E-2</v>
      </c>
      <c r="F148" s="21">
        <f>+C148-166606</f>
        <v>173312</v>
      </c>
      <c r="G148" s="21">
        <f>+D148-165580</f>
        <v>170396</v>
      </c>
      <c r="H148" s="23">
        <f t="shared" si="73"/>
        <v>1.711307777177868E-2</v>
      </c>
      <c r="I148" s="24">
        <f t="shared" si="74"/>
        <v>59.428447684441537</v>
      </c>
      <c r="J148" s="24">
        <f t="shared" si="75"/>
        <v>116.55741714364844</v>
      </c>
      <c r="K148" s="21">
        <v>20200799.079999998</v>
      </c>
      <c r="L148" s="21">
        <v>20877358.670000002</v>
      </c>
      <c r="M148" s="25">
        <f t="shared" si="76"/>
        <v>-3.2406378636977429E-2</v>
      </c>
      <c r="N148" s="10"/>
      <c r="R148" s="2"/>
    </row>
    <row r="149" spans="1:18" ht="15.75" customHeight="1" x14ac:dyDescent="0.25">
      <c r="A149" s="19"/>
      <c r="B149" s="20">
        <f>DATE(2023,12,1)</f>
        <v>45261</v>
      </c>
      <c r="C149" s="21">
        <v>360595</v>
      </c>
      <c r="D149" s="21">
        <v>365348</v>
      </c>
      <c r="E149" s="23">
        <f t="shared" si="72"/>
        <v>-1.3009514216582545E-2</v>
      </c>
      <c r="F149" s="21">
        <f>+C149-173565</f>
        <v>187030</v>
      </c>
      <c r="G149" s="21">
        <f>+D149-180304</f>
        <v>185044</v>
      </c>
      <c r="H149" s="23">
        <f t="shared" si="73"/>
        <v>1.0732582520913945E-2</v>
      </c>
      <c r="I149" s="24">
        <f t="shared" si="74"/>
        <v>59.736622249337898</v>
      </c>
      <c r="J149" s="24">
        <f t="shared" si="75"/>
        <v>115.17257819601134</v>
      </c>
      <c r="K149" s="21">
        <v>21540727.300000001</v>
      </c>
      <c r="L149" s="21">
        <v>20814881.129999999</v>
      </c>
      <c r="M149" s="25">
        <f t="shared" si="76"/>
        <v>3.4871502050225822E-2</v>
      </c>
      <c r="N149" s="10"/>
      <c r="R149" s="2"/>
    </row>
    <row r="150" spans="1:18" ht="15.75" customHeight="1" x14ac:dyDescent="0.25">
      <c r="A150" s="19"/>
      <c r="B150" s="20">
        <f>DATE(2024,1,1)</f>
        <v>45292</v>
      </c>
      <c r="C150" s="21">
        <v>304972</v>
      </c>
      <c r="D150" s="21">
        <v>342355</v>
      </c>
      <c r="E150" s="23">
        <f t="shared" si="72"/>
        <v>-0.10919367323392386</v>
      </c>
      <c r="F150" s="21">
        <f>+C150-150800</f>
        <v>154172</v>
      </c>
      <c r="G150" s="21">
        <f>D150-168925</f>
        <v>173430</v>
      </c>
      <c r="H150" s="23">
        <f t="shared" ref="H150:H155" si="77">(+F150-G150)/G150</f>
        <v>-0.11104191892982759</v>
      </c>
      <c r="I150" s="24">
        <f t="shared" ref="I150:I155" si="78">K150/C150</f>
        <v>58.334785324554382</v>
      </c>
      <c r="J150" s="24">
        <f t="shared" ref="J150:J155" si="79">K150/F150</f>
        <v>115.39369113717146</v>
      </c>
      <c r="K150" s="21">
        <v>17790476.149999999</v>
      </c>
      <c r="L150" s="21">
        <v>20669849.199999999</v>
      </c>
      <c r="M150" s="25">
        <f t="shared" si="76"/>
        <v>-0.13930305064828441</v>
      </c>
      <c r="N150" s="10"/>
      <c r="R150" s="2"/>
    </row>
    <row r="151" spans="1:18" ht="15.75" customHeight="1" x14ac:dyDescent="0.25">
      <c r="A151" s="19"/>
      <c r="B151" s="20">
        <f>DATE(2024,2,1)</f>
        <v>45323</v>
      </c>
      <c r="C151" s="21">
        <v>335192</v>
      </c>
      <c r="D151" s="21">
        <v>337128</v>
      </c>
      <c r="E151" s="23">
        <f t="shared" si="72"/>
        <v>-5.7426259462281387E-3</v>
      </c>
      <c r="F151" s="21">
        <f>+C151-154964</f>
        <v>180228</v>
      </c>
      <c r="G151" s="21">
        <f>+D151-165968</f>
        <v>171160</v>
      </c>
      <c r="H151" s="23">
        <f t="shared" si="77"/>
        <v>5.2979668146763262E-2</v>
      </c>
      <c r="I151" s="24">
        <f t="shared" si="78"/>
        <v>60.766679037685861</v>
      </c>
      <c r="J151" s="24">
        <f t="shared" si="79"/>
        <v>113.0152067381317</v>
      </c>
      <c r="K151" s="21">
        <v>20368504.68</v>
      </c>
      <c r="L151" s="21">
        <v>20740163.050000001</v>
      </c>
      <c r="M151" s="25">
        <f t="shared" si="76"/>
        <v>-1.7919741956898504E-2</v>
      </c>
      <c r="N151" s="10"/>
      <c r="R151" s="2"/>
    </row>
    <row r="152" spans="1:18" ht="15.75" customHeight="1" x14ac:dyDescent="0.25">
      <c r="A152" s="19"/>
      <c r="B152" s="20">
        <f>DATE(2024,3,1)</f>
        <v>45352</v>
      </c>
      <c r="C152" s="21">
        <v>357667</v>
      </c>
      <c r="D152" s="21">
        <v>378599</v>
      </c>
      <c r="E152" s="23">
        <f t="shared" si="72"/>
        <v>-5.5288048832669925E-2</v>
      </c>
      <c r="F152" s="21">
        <f>+C152-170682</f>
        <v>186985</v>
      </c>
      <c r="G152" s="21">
        <f>+D152-184066</f>
        <v>194533</v>
      </c>
      <c r="H152" s="23">
        <f t="shared" si="77"/>
        <v>-3.8800614805714201E-2</v>
      </c>
      <c r="I152" s="24">
        <f t="shared" si="78"/>
        <v>64.086199090215203</v>
      </c>
      <c r="J152" s="24">
        <f t="shared" si="79"/>
        <v>122.58479862021018</v>
      </c>
      <c r="K152" s="21">
        <v>22921518.57</v>
      </c>
      <c r="L152" s="21">
        <v>23723992.280000001</v>
      </c>
      <c r="M152" s="25">
        <f t="shared" si="76"/>
        <v>-3.3825407651835608E-2</v>
      </c>
      <c r="N152" s="10"/>
      <c r="R152" s="2"/>
    </row>
    <row r="153" spans="1:18" ht="15.75" customHeight="1" x14ac:dyDescent="0.25">
      <c r="A153" s="19"/>
      <c r="B153" s="20">
        <f>DATE(2024,4,1)</f>
        <v>45383</v>
      </c>
      <c r="C153" s="21">
        <v>331600</v>
      </c>
      <c r="D153" s="21">
        <v>353750</v>
      </c>
      <c r="E153" s="23">
        <f t="shared" si="72"/>
        <v>-6.261484098939929E-2</v>
      </c>
      <c r="F153" s="21">
        <f>+C153-154299</f>
        <v>177301</v>
      </c>
      <c r="G153" s="21">
        <f>+D153-169270</f>
        <v>184480</v>
      </c>
      <c r="H153" s="23">
        <f t="shared" si="77"/>
        <v>-3.8914787510841285E-2</v>
      </c>
      <c r="I153" s="24">
        <f t="shared" si="78"/>
        <v>64.182056121833526</v>
      </c>
      <c r="J153" s="24">
        <f t="shared" si="79"/>
        <v>120.03750576702895</v>
      </c>
      <c r="K153" s="21">
        <v>21282769.809999999</v>
      </c>
      <c r="L153" s="21">
        <v>22109220.510000002</v>
      </c>
      <c r="M153" s="25">
        <f t="shared" si="76"/>
        <v>-3.7380363528700583E-2</v>
      </c>
      <c r="N153" s="10"/>
      <c r="R153" s="2"/>
    </row>
    <row r="154" spans="1:18" ht="15.75" customHeight="1" x14ac:dyDescent="0.25">
      <c r="A154" s="19"/>
      <c r="B154" s="20">
        <f>DATE(2024,5,1)</f>
        <v>45413</v>
      </c>
      <c r="C154" s="21">
        <v>340709</v>
      </c>
      <c r="D154" s="21">
        <v>344043</v>
      </c>
      <c r="E154" s="23">
        <f t="shared" si="72"/>
        <v>-9.690649133974532E-3</v>
      </c>
      <c r="F154" s="21">
        <f>+C154-160901</f>
        <v>179808</v>
      </c>
      <c r="G154" s="21">
        <f>+D154-161614</f>
        <v>182429</v>
      </c>
      <c r="H154" s="23">
        <f t="shared" si="77"/>
        <v>-1.4367233279796523E-2</v>
      </c>
      <c r="I154" s="24">
        <f t="shared" si="78"/>
        <v>63.04479893398765</v>
      </c>
      <c r="J154" s="24">
        <f t="shared" si="79"/>
        <v>119.46037106246662</v>
      </c>
      <c r="K154" s="21">
        <v>21479930.399999999</v>
      </c>
      <c r="L154" s="21">
        <v>21155685.120000001</v>
      </c>
      <c r="M154" s="25">
        <f t="shared" si="76"/>
        <v>1.5326626302140644E-2</v>
      </c>
      <c r="N154" s="10"/>
      <c r="R154" s="2"/>
    </row>
    <row r="155" spans="1:18" ht="15.75" customHeight="1" x14ac:dyDescent="0.25">
      <c r="A155" s="19"/>
      <c r="B155" s="20">
        <f>DATE(2024,6,1)</f>
        <v>45444</v>
      </c>
      <c r="C155" s="21">
        <v>331680</v>
      </c>
      <c r="D155" s="21">
        <v>329516</v>
      </c>
      <c r="E155" s="23">
        <f t="shared" si="72"/>
        <v>6.5672076621469061E-3</v>
      </c>
      <c r="F155" s="21">
        <f>+C155-153132</f>
        <v>178548</v>
      </c>
      <c r="G155" s="21">
        <f>+D155-154519</f>
        <v>174997</v>
      </c>
      <c r="H155" s="23">
        <f t="shared" si="77"/>
        <v>2.0291776430453094E-2</v>
      </c>
      <c r="I155" s="24">
        <f t="shared" si="78"/>
        <v>63.230212343222377</v>
      </c>
      <c r="J155" s="24">
        <f t="shared" si="79"/>
        <v>117.45971296234065</v>
      </c>
      <c r="K155" s="21">
        <v>20972196.829999998</v>
      </c>
      <c r="L155" s="21">
        <v>20131073.870000001</v>
      </c>
      <c r="M155" s="25">
        <f t="shared" si="76"/>
        <v>4.1782319484380152E-2</v>
      </c>
      <c r="N155" s="10"/>
      <c r="R155" s="2"/>
    </row>
    <row r="156" spans="1:18" ht="15.75" customHeight="1" thickBot="1" x14ac:dyDescent="0.3">
      <c r="A156" s="19"/>
      <c r="B156" s="45"/>
      <c r="C156" s="21"/>
      <c r="D156" s="21"/>
      <c r="E156" s="23"/>
      <c r="F156" s="21"/>
      <c r="G156" s="21"/>
      <c r="H156" s="23"/>
      <c r="I156" s="24"/>
      <c r="J156" s="24"/>
      <c r="K156" s="21"/>
      <c r="L156" s="21"/>
      <c r="M156" s="25"/>
      <c r="N156" s="10"/>
      <c r="R156" s="2"/>
    </row>
    <row r="157" spans="1:18" ht="17.25" thickTop="1" thickBot="1" x14ac:dyDescent="0.3">
      <c r="A157" s="39" t="s">
        <v>14</v>
      </c>
      <c r="B157" s="40"/>
      <c r="C157" s="41">
        <f>SUM(C144:C156)</f>
        <v>4086706</v>
      </c>
      <c r="D157" s="41">
        <f>SUM(D144:D156)</f>
        <v>4148376</v>
      </c>
      <c r="E157" s="280">
        <f>(+C157-D157)/D157</f>
        <v>-1.486605842864774E-2</v>
      </c>
      <c r="F157" s="41">
        <f>SUM(F144:F156)</f>
        <v>2150030</v>
      </c>
      <c r="G157" s="41">
        <f>SUM(G144:G156)</f>
        <v>2145405</v>
      </c>
      <c r="H157" s="42">
        <f>(+F157-G157)/G157</f>
        <v>2.1557701226574935E-3</v>
      </c>
      <c r="I157" s="43">
        <f>K157/C157</f>
        <v>61.282569722412134</v>
      </c>
      <c r="J157" s="43">
        <f>K157/F157</f>
        <v>116.48388412254712</v>
      </c>
      <c r="K157" s="41">
        <f>SUM(K144:K156)</f>
        <v>250443845.38</v>
      </c>
      <c r="L157" s="41">
        <f>SUM(L144:L156)</f>
        <v>254658351.56999999</v>
      </c>
      <c r="M157" s="44">
        <f>(+K157-L157)/L157</f>
        <v>-1.6549648436884359E-2</v>
      </c>
      <c r="N157" s="10"/>
      <c r="R157" s="2"/>
    </row>
    <row r="158" spans="1:18" ht="15.75" customHeight="1" thickTop="1" x14ac:dyDescent="0.2">
      <c r="A158" s="58"/>
      <c r="B158" s="59"/>
      <c r="C158" s="59"/>
      <c r="D158" s="59"/>
      <c r="E158" s="60"/>
      <c r="F158" s="59"/>
      <c r="G158" s="59"/>
      <c r="H158" s="60"/>
      <c r="I158" s="59"/>
      <c r="J158" s="59"/>
      <c r="K158" s="197"/>
      <c r="L158" s="197"/>
      <c r="M158" s="61"/>
      <c r="N158" s="10"/>
      <c r="R158" s="2"/>
    </row>
    <row r="159" spans="1:18" ht="15" customHeight="1" x14ac:dyDescent="0.25">
      <c r="A159" s="19" t="s">
        <v>54</v>
      </c>
      <c r="B159" s="20">
        <f>DATE(2023,7,1)</f>
        <v>45108</v>
      </c>
      <c r="C159" s="21">
        <v>43122</v>
      </c>
      <c r="D159" s="21">
        <v>45743</v>
      </c>
      <c r="E159" s="23">
        <f t="shared" ref="E159:E170" si="80">(+C159-D159)/D159</f>
        <v>-5.729838445226592E-2</v>
      </c>
      <c r="F159" s="21">
        <f>+C159-21874</f>
        <v>21248</v>
      </c>
      <c r="G159" s="21">
        <f>+D159-23748</f>
        <v>21995</v>
      </c>
      <c r="H159" s="23">
        <f t="shared" ref="H159:H164" si="81">(+F159-G159)/G159</f>
        <v>-3.3962264150943396E-2</v>
      </c>
      <c r="I159" s="24">
        <f t="shared" ref="I159:I164" si="82">K159/C159</f>
        <v>73.706668985668571</v>
      </c>
      <c r="J159" s="24">
        <f t="shared" ref="J159:J164" si="83">K159/F159</f>
        <v>149.58485410391566</v>
      </c>
      <c r="K159" s="21">
        <v>3178378.98</v>
      </c>
      <c r="L159" s="21">
        <v>3253812.68</v>
      </c>
      <c r="M159" s="25">
        <f t="shared" ref="M159:M170" si="84">(+K159-L159)/L159</f>
        <v>-2.3183172302346608E-2</v>
      </c>
      <c r="N159" s="10"/>
      <c r="R159" s="2"/>
    </row>
    <row r="160" spans="1:18" ht="15" customHeight="1" x14ac:dyDescent="0.25">
      <c r="A160" s="19"/>
      <c r="B160" s="20">
        <f>DATE(2023,8,1)</f>
        <v>45139</v>
      </c>
      <c r="C160" s="21">
        <v>38794</v>
      </c>
      <c r="D160" s="21">
        <v>40978</v>
      </c>
      <c r="E160" s="23">
        <f t="shared" si="80"/>
        <v>-5.329689101469081E-2</v>
      </c>
      <c r="F160" s="21">
        <f>+C160-19691</f>
        <v>19103</v>
      </c>
      <c r="G160" s="21">
        <f>+D160-21136</f>
        <v>19842</v>
      </c>
      <c r="H160" s="23">
        <f t="shared" si="81"/>
        <v>-3.7244229412357624E-2</v>
      </c>
      <c r="I160" s="24">
        <f t="shared" si="82"/>
        <v>74.058326803113886</v>
      </c>
      <c r="J160" s="24">
        <f t="shared" si="83"/>
        <v>150.39620635502277</v>
      </c>
      <c r="K160" s="21">
        <v>2873018.73</v>
      </c>
      <c r="L160" s="21">
        <v>2953942.06</v>
      </c>
      <c r="M160" s="25">
        <f t="shared" si="84"/>
        <v>-2.7395029542319482E-2</v>
      </c>
      <c r="N160" s="10"/>
      <c r="R160" s="2"/>
    </row>
    <row r="161" spans="1:18" ht="15" customHeight="1" x14ac:dyDescent="0.25">
      <c r="A161" s="19"/>
      <c r="B161" s="20">
        <f>DATE(2023,9,1)</f>
        <v>45170</v>
      </c>
      <c r="C161" s="21">
        <v>39024</v>
      </c>
      <c r="D161" s="21">
        <v>41696</v>
      </c>
      <c r="E161" s="23">
        <f t="shared" si="80"/>
        <v>-6.4082885648503451E-2</v>
      </c>
      <c r="F161" s="21">
        <f>+C161-19292</f>
        <v>19732</v>
      </c>
      <c r="G161" s="21">
        <f>+D161-21639</f>
        <v>20057</v>
      </c>
      <c r="H161" s="23">
        <f t="shared" si="81"/>
        <v>-1.6203819115520764E-2</v>
      </c>
      <c r="I161" s="24">
        <f t="shared" si="82"/>
        <v>73.702168152931534</v>
      </c>
      <c r="J161" s="24">
        <f t="shared" si="83"/>
        <v>145.76086610581797</v>
      </c>
      <c r="K161" s="21">
        <v>2876153.41</v>
      </c>
      <c r="L161" s="21">
        <v>3101049.85</v>
      </c>
      <c r="M161" s="25">
        <f t="shared" si="84"/>
        <v>-7.2522678085939166E-2</v>
      </c>
      <c r="N161" s="10"/>
      <c r="R161" s="2"/>
    </row>
    <row r="162" spans="1:18" ht="15" customHeight="1" x14ac:dyDescent="0.25">
      <c r="A162" s="19"/>
      <c r="B162" s="20">
        <f>DATE(2023,10,1)</f>
        <v>45200</v>
      </c>
      <c r="C162" s="21">
        <v>39576</v>
      </c>
      <c r="D162" s="21">
        <v>40713</v>
      </c>
      <c r="E162" s="23">
        <f t="shared" si="80"/>
        <v>-2.7927197700980032E-2</v>
      </c>
      <c r="F162" s="21">
        <f>+C162-20256</f>
        <v>19320</v>
      </c>
      <c r="G162" s="21">
        <f>+D162-21150</f>
        <v>19563</v>
      </c>
      <c r="H162" s="23">
        <f t="shared" si="81"/>
        <v>-1.2421407759546081E-2</v>
      </c>
      <c r="I162" s="24">
        <f t="shared" si="82"/>
        <v>78.079089094400643</v>
      </c>
      <c r="J162" s="24">
        <f t="shared" si="83"/>
        <v>159.94089182194617</v>
      </c>
      <c r="K162" s="21">
        <v>3090058.03</v>
      </c>
      <c r="L162" s="21">
        <v>3050192.47</v>
      </c>
      <c r="M162" s="25">
        <f t="shared" si="84"/>
        <v>1.306985063798272E-2</v>
      </c>
      <c r="N162" s="10"/>
      <c r="R162" s="2"/>
    </row>
    <row r="163" spans="1:18" ht="15" customHeight="1" x14ac:dyDescent="0.25">
      <c r="A163" s="19"/>
      <c r="B163" s="20">
        <f>DATE(2023,11,1)</f>
        <v>45231</v>
      </c>
      <c r="C163" s="21">
        <v>38920</v>
      </c>
      <c r="D163" s="21">
        <v>37233</v>
      </c>
      <c r="E163" s="23">
        <f t="shared" si="80"/>
        <v>4.5309268659522464E-2</v>
      </c>
      <c r="F163" s="21">
        <f>+C163-20391</f>
        <v>18529</v>
      </c>
      <c r="G163" s="21">
        <f>+D163-19170</f>
        <v>18063</v>
      </c>
      <c r="H163" s="23">
        <f t="shared" si="81"/>
        <v>2.5798593810551957E-2</v>
      </c>
      <c r="I163" s="24">
        <f t="shared" si="82"/>
        <v>70.912000000000006</v>
      </c>
      <c r="J163" s="24">
        <f t="shared" si="83"/>
        <v>148.95002644503211</v>
      </c>
      <c r="K163" s="21">
        <v>2759895.04</v>
      </c>
      <c r="L163" s="21">
        <v>2799014.1</v>
      </c>
      <c r="M163" s="25">
        <f t="shared" si="84"/>
        <v>-1.3976013911469775E-2</v>
      </c>
      <c r="N163" s="10"/>
      <c r="R163" s="2"/>
    </row>
    <row r="164" spans="1:18" ht="15" customHeight="1" x14ac:dyDescent="0.25">
      <c r="A164" s="19"/>
      <c r="B164" s="20">
        <f>DATE(2023,12,1)</f>
        <v>45261</v>
      </c>
      <c r="C164" s="21">
        <v>39936</v>
      </c>
      <c r="D164" s="21">
        <v>38888</v>
      </c>
      <c r="E164" s="23">
        <f t="shared" si="80"/>
        <v>2.6949187409997941E-2</v>
      </c>
      <c r="F164" s="21">
        <f>+C164-21159</f>
        <v>18777</v>
      </c>
      <c r="G164" s="21">
        <f>+D164-20548</f>
        <v>18340</v>
      </c>
      <c r="H164" s="23">
        <f t="shared" si="81"/>
        <v>2.3827699018538713E-2</v>
      </c>
      <c r="I164" s="24">
        <f t="shared" si="82"/>
        <v>80.196872746394234</v>
      </c>
      <c r="J164" s="24">
        <f t="shared" si="83"/>
        <v>170.56730627895831</v>
      </c>
      <c r="K164" s="21">
        <v>3202742.31</v>
      </c>
      <c r="L164" s="21">
        <v>3097813.72</v>
      </c>
      <c r="M164" s="25">
        <f t="shared" si="84"/>
        <v>3.3871820414043435E-2</v>
      </c>
      <c r="N164" s="10"/>
      <c r="R164" s="2"/>
    </row>
    <row r="165" spans="1:18" ht="15" customHeight="1" x14ac:dyDescent="0.25">
      <c r="A165" s="19"/>
      <c r="B165" s="20">
        <f>DATE(2024,1,1)</f>
        <v>45292</v>
      </c>
      <c r="C165" s="21">
        <v>28423</v>
      </c>
      <c r="D165" s="21">
        <v>39674</v>
      </c>
      <c r="E165" s="23">
        <f t="shared" si="80"/>
        <v>-0.28358622775621312</v>
      </c>
      <c r="F165" s="21">
        <f>C165-15073</f>
        <v>13350</v>
      </c>
      <c r="G165" s="21">
        <f>D165-21146</f>
        <v>18528</v>
      </c>
      <c r="H165" s="23">
        <f t="shared" ref="H165:H170" si="85">(+F165-G165)/G165</f>
        <v>-0.27946891191709844</v>
      </c>
      <c r="I165" s="24">
        <f t="shared" ref="I165:I170" si="86">K165/C165</f>
        <v>77.909313935896989</v>
      </c>
      <c r="J165" s="24">
        <f t="shared" ref="J165:J170" si="87">K165/F165</f>
        <v>165.87388988764047</v>
      </c>
      <c r="K165" s="21">
        <v>2214416.4300000002</v>
      </c>
      <c r="L165" s="21">
        <v>2888248.11</v>
      </c>
      <c r="M165" s="25">
        <f t="shared" si="84"/>
        <v>-0.23330117577745069</v>
      </c>
      <c r="N165" s="10"/>
      <c r="R165" s="2"/>
    </row>
    <row r="166" spans="1:18" ht="15" customHeight="1" x14ac:dyDescent="0.25">
      <c r="A166" s="19"/>
      <c r="B166" s="20">
        <f>DATE(2024,2,1)</f>
        <v>45323</v>
      </c>
      <c r="C166" s="21">
        <v>39444</v>
      </c>
      <c r="D166" s="21">
        <v>44258</v>
      </c>
      <c r="E166" s="23">
        <f t="shared" si="80"/>
        <v>-0.10877129558497899</v>
      </c>
      <c r="F166" s="21">
        <f>+C166-20602</f>
        <v>18842</v>
      </c>
      <c r="G166" s="21">
        <f>+D166-23416</f>
        <v>20842</v>
      </c>
      <c r="H166" s="23">
        <f t="shared" si="85"/>
        <v>-9.5960080606467713E-2</v>
      </c>
      <c r="I166" s="24">
        <f t="shared" si="86"/>
        <v>78.978928607646282</v>
      </c>
      <c r="J166" s="24">
        <f t="shared" si="87"/>
        <v>165.33514807345293</v>
      </c>
      <c r="K166" s="21">
        <v>3115244.86</v>
      </c>
      <c r="L166" s="21">
        <v>3112659.92</v>
      </c>
      <c r="M166" s="25">
        <f t="shared" si="84"/>
        <v>8.3046014226955582E-4</v>
      </c>
      <c r="N166" s="10"/>
      <c r="R166" s="2"/>
    </row>
    <row r="167" spans="1:18" ht="15" customHeight="1" x14ac:dyDescent="0.25">
      <c r="A167" s="19"/>
      <c r="B167" s="20">
        <f>DATE(2024,3,1)</f>
        <v>45352</v>
      </c>
      <c r="C167" s="21">
        <v>45448</v>
      </c>
      <c r="D167" s="21">
        <v>46782</v>
      </c>
      <c r="E167" s="23">
        <f t="shared" si="80"/>
        <v>-2.8515240904621434E-2</v>
      </c>
      <c r="F167" s="21">
        <f>+C167-23329</f>
        <v>22119</v>
      </c>
      <c r="G167" s="21">
        <f>+D167-24795</f>
        <v>21987</v>
      </c>
      <c r="H167" s="23">
        <f t="shared" si="85"/>
        <v>6.0035475508254874E-3</v>
      </c>
      <c r="I167" s="24">
        <f t="shared" si="86"/>
        <v>76.269291718007395</v>
      </c>
      <c r="J167" s="24">
        <f t="shared" si="87"/>
        <v>156.71082643880825</v>
      </c>
      <c r="K167" s="21">
        <v>3466286.77</v>
      </c>
      <c r="L167" s="21">
        <v>3356794.26</v>
      </c>
      <c r="M167" s="25">
        <f t="shared" si="84"/>
        <v>3.2618177201006134E-2</v>
      </c>
      <c r="N167" s="10"/>
      <c r="R167" s="2"/>
    </row>
    <row r="168" spans="1:18" ht="15" customHeight="1" x14ac:dyDescent="0.25">
      <c r="A168" s="19"/>
      <c r="B168" s="20">
        <f>DATE(2024,4,1)</f>
        <v>45383</v>
      </c>
      <c r="C168" s="21">
        <v>38520</v>
      </c>
      <c r="D168" s="21">
        <v>44655</v>
      </c>
      <c r="E168" s="23">
        <f t="shared" si="80"/>
        <v>-0.1373866308364125</v>
      </c>
      <c r="F168" s="21">
        <f>+C168-20111</f>
        <v>18409</v>
      </c>
      <c r="G168" s="21">
        <f>+D168-23221</f>
        <v>21434</v>
      </c>
      <c r="H168" s="23">
        <f t="shared" si="85"/>
        <v>-0.14113091350191284</v>
      </c>
      <c r="I168" s="24">
        <f t="shared" si="86"/>
        <v>76.385601505711321</v>
      </c>
      <c r="J168" s="24">
        <f t="shared" si="87"/>
        <v>159.83341680699658</v>
      </c>
      <c r="K168" s="21">
        <v>2942373.37</v>
      </c>
      <c r="L168" s="21">
        <v>3171950.64</v>
      </c>
      <c r="M168" s="25">
        <f t="shared" si="84"/>
        <v>-7.2377314799577083E-2</v>
      </c>
      <c r="N168" s="10"/>
      <c r="R168" s="2"/>
    </row>
    <row r="169" spans="1:18" ht="15" customHeight="1" x14ac:dyDescent="0.25">
      <c r="A169" s="19"/>
      <c r="B169" s="20">
        <f>DATE(2024,5,1)</f>
        <v>45413</v>
      </c>
      <c r="C169" s="21">
        <v>41243</v>
      </c>
      <c r="D169" s="21">
        <v>42402</v>
      </c>
      <c r="E169" s="23">
        <f t="shared" si="80"/>
        <v>-2.7333616338851941E-2</v>
      </c>
      <c r="F169" s="21">
        <f>+C169-21252</f>
        <v>19991</v>
      </c>
      <c r="G169" s="21">
        <f>+D169-21818</f>
        <v>20584</v>
      </c>
      <c r="H169" s="23">
        <f t="shared" si="85"/>
        <v>-2.8808783521181502E-2</v>
      </c>
      <c r="I169" s="24">
        <f t="shared" si="86"/>
        <v>76.448732148485803</v>
      </c>
      <c r="J169" s="24">
        <f t="shared" si="87"/>
        <v>157.7197268770947</v>
      </c>
      <c r="K169" s="21">
        <v>3152975.06</v>
      </c>
      <c r="L169" s="21">
        <v>3174574.67</v>
      </c>
      <c r="M169" s="25">
        <f t="shared" si="84"/>
        <v>-6.8039382422212394E-3</v>
      </c>
      <c r="N169" s="10"/>
      <c r="R169" s="2"/>
    </row>
    <row r="170" spans="1:18" ht="15" customHeight="1" x14ac:dyDescent="0.25">
      <c r="A170" s="19"/>
      <c r="B170" s="20">
        <f>DATE(2024,6,1)</f>
        <v>45444</v>
      </c>
      <c r="C170" s="21">
        <v>39654</v>
      </c>
      <c r="D170" s="21">
        <v>39376</v>
      </c>
      <c r="E170" s="23">
        <f t="shared" si="80"/>
        <v>7.0601381552214543E-3</v>
      </c>
      <c r="F170" s="21">
        <f>+C170-19823</f>
        <v>19831</v>
      </c>
      <c r="G170" s="21">
        <f>+D170-20192</f>
        <v>19184</v>
      </c>
      <c r="H170" s="23">
        <f t="shared" si="85"/>
        <v>3.3726021684737283E-2</v>
      </c>
      <c r="I170" s="24">
        <f t="shared" si="86"/>
        <v>71.189148887880151</v>
      </c>
      <c r="J170" s="24">
        <f t="shared" si="87"/>
        <v>142.3495794463214</v>
      </c>
      <c r="K170" s="21">
        <v>2822934.51</v>
      </c>
      <c r="L170" s="21">
        <v>2879656.01</v>
      </c>
      <c r="M170" s="25">
        <f t="shared" si="84"/>
        <v>-1.9697317944583251E-2</v>
      </c>
      <c r="N170" s="10"/>
      <c r="R170" s="2"/>
    </row>
    <row r="171" spans="1:18" ht="15.75" thickBot="1" x14ac:dyDescent="0.25">
      <c r="A171" s="38"/>
      <c r="B171" s="20"/>
      <c r="C171" s="21"/>
      <c r="D171" s="21"/>
      <c r="E171" s="23"/>
      <c r="F171" s="21"/>
      <c r="G171" s="21"/>
      <c r="H171" s="23"/>
      <c r="I171" s="24"/>
      <c r="J171" s="24"/>
      <c r="K171" s="21"/>
      <c r="L171" s="21"/>
      <c r="M171" s="25"/>
      <c r="N171" s="10"/>
      <c r="R171" s="2"/>
    </row>
    <row r="172" spans="1:18" ht="17.25" thickTop="1" thickBot="1" x14ac:dyDescent="0.3">
      <c r="A172" s="62" t="s">
        <v>14</v>
      </c>
      <c r="B172" s="52"/>
      <c r="C172" s="48">
        <f>SUM(C159:C171)</f>
        <v>472104</v>
      </c>
      <c r="D172" s="48">
        <f>SUM(D159:D171)</f>
        <v>502398</v>
      </c>
      <c r="E172" s="280">
        <f>(+C172-D172)/D172</f>
        <v>-6.0298806922002075E-2</v>
      </c>
      <c r="F172" s="48">
        <f>SUM(F159:F171)</f>
        <v>229251</v>
      </c>
      <c r="G172" s="48">
        <f>SUM(G159:G171)</f>
        <v>240419</v>
      </c>
      <c r="H172" s="42">
        <f>(+F172-G172)/G172</f>
        <v>-4.6452235472238049E-2</v>
      </c>
      <c r="I172" s="50">
        <f>K172/C172</f>
        <v>75.607233787470562</v>
      </c>
      <c r="J172" s="50">
        <f>K172/F172</f>
        <v>155.70042224461397</v>
      </c>
      <c r="K172" s="48">
        <f>SUM(K159:K171)</f>
        <v>35694477.5</v>
      </c>
      <c r="L172" s="48">
        <f>SUM(L159:L171)</f>
        <v>36839708.489999995</v>
      </c>
      <c r="M172" s="44">
        <f>(+K172-L172)/L172</f>
        <v>-3.1086863521486971E-2</v>
      </c>
      <c r="N172" s="10"/>
      <c r="R172" s="2"/>
    </row>
    <row r="173" spans="1:18" ht="15.75" customHeight="1" thickTop="1" x14ac:dyDescent="0.25">
      <c r="A173" s="19"/>
      <c r="B173" s="45"/>
      <c r="C173" s="21"/>
      <c r="D173" s="21"/>
      <c r="E173" s="23"/>
      <c r="F173" s="21"/>
      <c r="G173" s="21"/>
      <c r="H173" s="23"/>
      <c r="I173" s="24"/>
      <c r="J173" s="24"/>
      <c r="K173" s="21"/>
      <c r="L173" s="21"/>
      <c r="M173" s="25"/>
      <c r="N173" s="10"/>
      <c r="R173" s="2"/>
    </row>
    <row r="174" spans="1:18" ht="15.75" x14ac:dyDescent="0.25">
      <c r="A174" s="19" t="s">
        <v>17</v>
      </c>
      <c r="B174" s="20">
        <f>DATE(2023,7,1)</f>
        <v>45108</v>
      </c>
      <c r="C174" s="21">
        <v>341358</v>
      </c>
      <c r="D174" s="21">
        <v>376535</v>
      </c>
      <c r="E174" s="23">
        <f t="shared" ref="E174:E185" si="88">(+C174-D174)/D174</f>
        <v>-9.3422922171909645E-2</v>
      </c>
      <c r="F174" s="21">
        <f>+C174-174275</f>
        <v>167083</v>
      </c>
      <c r="G174" s="21">
        <f>+D174-192471</f>
        <v>184064</v>
      </c>
      <c r="H174" s="23">
        <f t="shared" ref="H174:H179" si="89">(+F174-G174)/G174</f>
        <v>-9.2255954450625871E-2</v>
      </c>
      <c r="I174" s="24">
        <f t="shared" ref="I174:I179" si="90">K174/C174</f>
        <v>75.202850995142924</v>
      </c>
      <c r="J174" s="24">
        <f t="shared" ref="J174:J179" si="91">K174/F174</f>
        <v>153.64276922248223</v>
      </c>
      <c r="K174" s="21">
        <v>25671094.809999999</v>
      </c>
      <c r="L174" s="21">
        <v>26699268.829999998</v>
      </c>
      <c r="M174" s="25">
        <f t="shared" ref="M174:M185" si="92">(+K174-L174)/L174</f>
        <v>-3.8509444829617066E-2</v>
      </c>
      <c r="N174" s="10"/>
      <c r="R174" s="2"/>
    </row>
    <row r="175" spans="1:18" ht="15.75" x14ac:dyDescent="0.25">
      <c r="A175" s="19"/>
      <c r="B175" s="20">
        <f>DATE(2023,8,1)</f>
        <v>45139</v>
      </c>
      <c r="C175" s="21">
        <v>326253</v>
      </c>
      <c r="D175" s="21">
        <v>348725</v>
      </c>
      <c r="E175" s="23">
        <f t="shared" si="88"/>
        <v>-6.4440461681840991E-2</v>
      </c>
      <c r="F175" s="21">
        <f>+C175-166627</f>
        <v>159626</v>
      </c>
      <c r="G175" s="21">
        <f>+D175-177430</f>
        <v>171295</v>
      </c>
      <c r="H175" s="23">
        <f t="shared" si="89"/>
        <v>-6.8122245249423508E-2</v>
      </c>
      <c r="I175" s="24">
        <f t="shared" si="90"/>
        <v>71.558283510036688</v>
      </c>
      <c r="J175" s="24">
        <f t="shared" si="91"/>
        <v>146.25502530916017</v>
      </c>
      <c r="K175" s="21">
        <v>23346104.670000002</v>
      </c>
      <c r="L175" s="21">
        <v>26620249.559999999</v>
      </c>
      <c r="M175" s="25">
        <f t="shared" si="92"/>
        <v>-0.12299452274556351</v>
      </c>
      <c r="N175" s="10"/>
      <c r="R175" s="2"/>
    </row>
    <row r="176" spans="1:18" ht="15.75" x14ac:dyDescent="0.25">
      <c r="A176" s="19"/>
      <c r="B176" s="20">
        <f>DATE(2023,9,1)</f>
        <v>45170</v>
      </c>
      <c r="C176" s="21">
        <v>330805</v>
      </c>
      <c r="D176" s="21">
        <v>351773</v>
      </c>
      <c r="E176" s="23">
        <f t="shared" si="88"/>
        <v>-5.9606621315450588E-2</v>
      </c>
      <c r="F176" s="21">
        <f>+C176-169998</f>
        <v>160807</v>
      </c>
      <c r="G176" s="21">
        <f>+D176-180127</f>
        <v>171646</v>
      </c>
      <c r="H176" s="23">
        <f t="shared" si="89"/>
        <v>-6.3147408037472472E-2</v>
      </c>
      <c r="I176" s="24">
        <f t="shared" si="90"/>
        <v>74.375674521243639</v>
      </c>
      <c r="J176" s="24">
        <f t="shared" si="91"/>
        <v>153.00232583158694</v>
      </c>
      <c r="K176" s="21">
        <v>24603845.010000002</v>
      </c>
      <c r="L176" s="21">
        <v>24480724.719999999</v>
      </c>
      <c r="M176" s="25">
        <f t="shared" si="92"/>
        <v>5.0292747215697148E-3</v>
      </c>
      <c r="N176" s="10"/>
      <c r="R176" s="2"/>
    </row>
    <row r="177" spans="1:18" ht="15.75" x14ac:dyDescent="0.25">
      <c r="A177" s="19"/>
      <c r="B177" s="20">
        <f>DATE(2023,10,1)</f>
        <v>45200</v>
      </c>
      <c r="C177" s="21">
        <v>303665</v>
      </c>
      <c r="D177" s="21">
        <v>353411</v>
      </c>
      <c r="E177" s="23">
        <f t="shared" si="88"/>
        <v>-0.14075962547855048</v>
      </c>
      <c r="F177" s="21">
        <f>+C177-155149</f>
        <v>148516</v>
      </c>
      <c r="G177" s="21">
        <f>+D177-182814</f>
        <v>170597</v>
      </c>
      <c r="H177" s="23">
        <f t="shared" si="89"/>
        <v>-0.12943369461362159</v>
      </c>
      <c r="I177" s="24">
        <f t="shared" si="90"/>
        <v>77.886254029934292</v>
      </c>
      <c r="J177" s="24">
        <f t="shared" si="91"/>
        <v>159.25105261385977</v>
      </c>
      <c r="K177" s="21">
        <v>23651329.329999998</v>
      </c>
      <c r="L177" s="21">
        <v>24469878.329999998</v>
      </c>
      <c r="M177" s="25">
        <f t="shared" si="92"/>
        <v>-3.3451290151960474E-2</v>
      </c>
      <c r="N177" s="10"/>
      <c r="R177" s="2"/>
    </row>
    <row r="178" spans="1:18" ht="15.75" x14ac:dyDescent="0.25">
      <c r="A178" s="19"/>
      <c r="B178" s="20">
        <f>DATE(2023,11,1)</f>
        <v>45231</v>
      </c>
      <c r="C178" s="21">
        <v>307303</v>
      </c>
      <c r="D178" s="21">
        <v>324947</v>
      </c>
      <c r="E178" s="23">
        <f t="shared" si="88"/>
        <v>-5.429808553394861E-2</v>
      </c>
      <c r="F178" s="21">
        <f>+C178-157952</f>
        <v>149351</v>
      </c>
      <c r="G178" s="21">
        <f>+D178-166237</f>
        <v>158710</v>
      </c>
      <c r="H178" s="23">
        <f t="shared" si="89"/>
        <v>-5.8969189087014054E-2</v>
      </c>
      <c r="I178" s="24">
        <f t="shared" si="90"/>
        <v>71.822158813939339</v>
      </c>
      <c r="J178" s="24">
        <f t="shared" si="91"/>
        <v>147.78049607970488</v>
      </c>
      <c r="K178" s="21">
        <v>22071164.870000001</v>
      </c>
      <c r="L178" s="21">
        <v>24161266.16</v>
      </c>
      <c r="M178" s="25">
        <f t="shared" si="92"/>
        <v>-8.6506281424118842E-2</v>
      </c>
      <c r="N178" s="10"/>
      <c r="R178" s="2"/>
    </row>
    <row r="179" spans="1:18" ht="15.75" x14ac:dyDescent="0.25">
      <c r="A179" s="19"/>
      <c r="B179" s="20">
        <f>DATE(2023,12,1)</f>
        <v>45261</v>
      </c>
      <c r="C179" s="21">
        <v>373967</v>
      </c>
      <c r="D179" s="21">
        <v>362717</v>
      </c>
      <c r="E179" s="23">
        <f t="shared" si="88"/>
        <v>3.1015915989600708E-2</v>
      </c>
      <c r="F179" s="21">
        <f>+C179-193643</f>
        <v>180324</v>
      </c>
      <c r="G179" s="21">
        <f>+D179-186399</f>
        <v>176318</v>
      </c>
      <c r="H179" s="23">
        <f t="shared" si="89"/>
        <v>2.2720312163250489E-2</v>
      </c>
      <c r="I179" s="24">
        <f t="shared" si="90"/>
        <v>71.061753229563038</v>
      </c>
      <c r="J179" s="24">
        <f t="shared" si="91"/>
        <v>147.37223370155942</v>
      </c>
      <c r="K179" s="21">
        <v>26574750.670000002</v>
      </c>
      <c r="L179" s="21">
        <v>25274658.52</v>
      </c>
      <c r="M179" s="25">
        <f t="shared" si="92"/>
        <v>5.1438564401225483E-2</v>
      </c>
      <c r="N179" s="10"/>
      <c r="R179" s="2"/>
    </row>
    <row r="180" spans="1:18" ht="15.75" x14ac:dyDescent="0.25">
      <c r="A180" s="19"/>
      <c r="B180" s="20">
        <f>DATE(2024,1,1)</f>
        <v>45292</v>
      </c>
      <c r="C180" s="21">
        <v>295457</v>
      </c>
      <c r="D180" s="21">
        <v>343820</v>
      </c>
      <c r="E180" s="23">
        <f t="shared" si="88"/>
        <v>-0.14066371938805189</v>
      </c>
      <c r="F180" s="21">
        <f>C180-151848</f>
        <v>143609</v>
      </c>
      <c r="G180" s="21">
        <f>D180-178333</f>
        <v>165487</v>
      </c>
      <c r="H180" s="23">
        <f t="shared" ref="H180:H185" si="93">(+F180-G180)/G180</f>
        <v>-0.13220373805797433</v>
      </c>
      <c r="I180" s="24">
        <f t="shared" ref="I180:I185" si="94">K180/C180</f>
        <v>72.961188023976419</v>
      </c>
      <c r="J180" s="24">
        <f t="shared" ref="J180:J185" si="95">K180/F180</f>
        <v>150.10823646150311</v>
      </c>
      <c r="K180" s="21">
        <v>21556893.73</v>
      </c>
      <c r="L180" s="21">
        <v>24367687.640000001</v>
      </c>
      <c r="M180" s="25">
        <f t="shared" si="92"/>
        <v>-0.11534922605401553</v>
      </c>
      <c r="N180" s="10"/>
      <c r="R180" s="2"/>
    </row>
    <row r="181" spans="1:18" ht="15.75" x14ac:dyDescent="0.25">
      <c r="A181" s="19"/>
      <c r="B181" s="20">
        <f>DATE(2024,2,1)</f>
        <v>45323</v>
      </c>
      <c r="C181" s="21">
        <v>318500</v>
      </c>
      <c r="D181" s="21">
        <v>340975</v>
      </c>
      <c r="E181" s="23">
        <f t="shared" si="88"/>
        <v>-6.5913923308160427E-2</v>
      </c>
      <c r="F181" s="21">
        <f>+C181-164134</f>
        <v>154366</v>
      </c>
      <c r="G181" s="21">
        <f>+D181-179064</f>
        <v>161911</v>
      </c>
      <c r="H181" s="23">
        <f t="shared" si="93"/>
        <v>-4.6599675130164102E-2</v>
      </c>
      <c r="I181" s="24">
        <f t="shared" si="94"/>
        <v>75.15344825745683</v>
      </c>
      <c r="J181" s="24">
        <f t="shared" si="95"/>
        <v>155.0624701683013</v>
      </c>
      <c r="K181" s="21">
        <v>23936373.27</v>
      </c>
      <c r="L181" s="21">
        <v>25410016.34</v>
      </c>
      <c r="M181" s="25">
        <f t="shared" si="92"/>
        <v>-5.7994573883064268E-2</v>
      </c>
      <c r="N181" s="10"/>
      <c r="R181" s="2"/>
    </row>
    <row r="182" spans="1:18" ht="15.75" x14ac:dyDescent="0.25">
      <c r="A182" s="19"/>
      <c r="B182" s="20">
        <f>DATE(2024,3,1)</f>
        <v>45352</v>
      </c>
      <c r="C182" s="21">
        <v>351930</v>
      </c>
      <c r="D182" s="21">
        <v>357838</v>
      </c>
      <c r="E182" s="23">
        <f t="shared" si="88"/>
        <v>-1.6510264421330322E-2</v>
      </c>
      <c r="F182" s="21">
        <f>+C182-182716</f>
        <v>169214</v>
      </c>
      <c r="G182" s="21">
        <f>+D182-185528</f>
        <v>172310</v>
      </c>
      <c r="H182" s="23">
        <f t="shared" si="93"/>
        <v>-1.7967616505136091E-2</v>
      </c>
      <c r="I182" s="24">
        <f t="shared" si="94"/>
        <v>75.030651606853638</v>
      </c>
      <c r="J182" s="24">
        <f t="shared" si="95"/>
        <v>156.04818289266845</v>
      </c>
      <c r="K182" s="21">
        <v>26405537.219999999</v>
      </c>
      <c r="L182" s="21">
        <v>26828364.350000001</v>
      </c>
      <c r="M182" s="25">
        <f t="shared" si="92"/>
        <v>-1.576045130757301E-2</v>
      </c>
      <c r="N182" s="10"/>
      <c r="R182" s="2"/>
    </row>
    <row r="183" spans="1:18" ht="15.75" x14ac:dyDescent="0.25">
      <c r="A183" s="19"/>
      <c r="B183" s="20">
        <f>DATE(2024,4,1)</f>
        <v>45383</v>
      </c>
      <c r="C183" s="21">
        <v>314352</v>
      </c>
      <c r="D183" s="21">
        <v>334543</v>
      </c>
      <c r="E183" s="23">
        <f t="shared" si="88"/>
        <v>-6.0353975423189245E-2</v>
      </c>
      <c r="F183" s="21">
        <f>+C183-161576</f>
        <v>152776</v>
      </c>
      <c r="G183" s="21">
        <f>+D183-173829</f>
        <v>160714</v>
      </c>
      <c r="H183" s="23">
        <f t="shared" si="93"/>
        <v>-4.9392087808156106E-2</v>
      </c>
      <c r="I183" s="24">
        <f t="shared" si="94"/>
        <v>76.779027427851574</v>
      </c>
      <c r="J183" s="24">
        <f t="shared" si="95"/>
        <v>157.98057829763837</v>
      </c>
      <c r="K183" s="21">
        <v>24135640.829999998</v>
      </c>
      <c r="L183" s="21">
        <v>26635511.859999999</v>
      </c>
      <c r="M183" s="25">
        <f t="shared" si="92"/>
        <v>-9.38548146977492E-2</v>
      </c>
      <c r="N183" s="10"/>
      <c r="R183" s="2"/>
    </row>
    <row r="184" spans="1:18" ht="15.75" x14ac:dyDescent="0.25">
      <c r="A184" s="19"/>
      <c r="B184" s="20">
        <f>DATE(2024,5,1)</f>
        <v>45413</v>
      </c>
      <c r="C184" s="21">
        <v>323827</v>
      </c>
      <c r="D184" s="21">
        <v>317534</v>
      </c>
      <c r="E184" s="23">
        <f t="shared" si="88"/>
        <v>1.9818350160927648E-2</v>
      </c>
      <c r="F184" s="21">
        <f>+C184-165567</f>
        <v>158260</v>
      </c>
      <c r="G184" s="21">
        <f>+D184-163187</f>
        <v>154347</v>
      </c>
      <c r="H184" s="23">
        <f t="shared" si="93"/>
        <v>2.5351966672497683E-2</v>
      </c>
      <c r="I184" s="24">
        <f t="shared" si="94"/>
        <v>78.026528362366335</v>
      </c>
      <c r="J184" s="24">
        <f t="shared" si="95"/>
        <v>159.65560849235436</v>
      </c>
      <c r="K184" s="21">
        <v>25267096.600000001</v>
      </c>
      <c r="L184" s="21">
        <v>24352541.620000001</v>
      </c>
      <c r="M184" s="25">
        <f t="shared" si="92"/>
        <v>3.7554806158257598E-2</v>
      </c>
      <c r="N184" s="10"/>
      <c r="R184" s="2"/>
    </row>
    <row r="185" spans="1:18" ht="15.75" x14ac:dyDescent="0.25">
      <c r="A185" s="19"/>
      <c r="B185" s="20">
        <f>DATE(2024,6,1)</f>
        <v>45444</v>
      </c>
      <c r="C185" s="21">
        <v>312843</v>
      </c>
      <c r="D185" s="21">
        <v>312317</v>
      </c>
      <c r="E185" s="23">
        <f t="shared" si="88"/>
        <v>1.6841862594735477E-3</v>
      </c>
      <c r="F185" s="21">
        <f>+C185-159081</f>
        <v>153762</v>
      </c>
      <c r="G185" s="21">
        <f>+D185-158192</f>
        <v>154125</v>
      </c>
      <c r="H185" s="23">
        <f t="shared" si="93"/>
        <v>-2.3552311435523113E-3</v>
      </c>
      <c r="I185" s="24">
        <f t="shared" si="94"/>
        <v>79.310978446057604</v>
      </c>
      <c r="J185" s="24">
        <f t="shared" si="95"/>
        <v>161.36551573210545</v>
      </c>
      <c r="K185" s="21">
        <v>24811884.43</v>
      </c>
      <c r="L185" s="21">
        <v>23740015.25</v>
      </c>
      <c r="M185" s="25">
        <f t="shared" si="92"/>
        <v>4.5150315562665855E-2</v>
      </c>
      <c r="N185" s="10"/>
      <c r="R185" s="2"/>
    </row>
    <row r="186" spans="1:18" ht="15.75" thickBot="1" x14ac:dyDescent="0.25">
      <c r="A186" s="38"/>
      <c r="B186" s="45"/>
      <c r="C186" s="21"/>
      <c r="D186" s="21"/>
      <c r="E186" s="23"/>
      <c r="F186" s="21"/>
      <c r="G186" s="21"/>
      <c r="H186" s="23"/>
      <c r="I186" s="24"/>
      <c r="J186" s="24"/>
      <c r="K186" s="21"/>
      <c r="L186" s="21"/>
      <c r="M186" s="25"/>
      <c r="N186" s="10"/>
      <c r="R186" s="2"/>
    </row>
    <row r="187" spans="1:18" ht="17.25" thickTop="1" thickBot="1" x14ac:dyDescent="0.3">
      <c r="A187" s="39" t="s">
        <v>14</v>
      </c>
      <c r="B187" s="40"/>
      <c r="C187" s="41">
        <f>SUM(C174:C186)</f>
        <v>3900260</v>
      </c>
      <c r="D187" s="41">
        <f>SUM(D174:D186)</f>
        <v>4125135</v>
      </c>
      <c r="E187" s="280">
        <f>(+C187-D187)/D187</f>
        <v>-5.4513367441307983E-2</v>
      </c>
      <c r="F187" s="41">
        <f>SUM(F174:F186)</f>
        <v>1897694</v>
      </c>
      <c r="G187" s="41">
        <f>SUM(G174:G186)</f>
        <v>2001524</v>
      </c>
      <c r="H187" s="42">
        <f>(+F187-G187)/G187</f>
        <v>-5.1875470891180921E-2</v>
      </c>
      <c r="I187" s="43">
        <f>K187/C187</f>
        <v>74.874935373539202</v>
      </c>
      <c r="J187" s="43">
        <f>K187/F187</f>
        <v>153.8876739031688</v>
      </c>
      <c r="K187" s="41">
        <f>SUM(K174:K186)</f>
        <v>292031715.44</v>
      </c>
      <c r="L187" s="41">
        <f>SUM(L174:L186)</f>
        <v>303040183.18000001</v>
      </c>
      <c r="M187" s="44">
        <f>(+K187-L187)/L187</f>
        <v>-3.6326759126400057E-2</v>
      </c>
      <c r="N187" s="10"/>
      <c r="R187" s="2"/>
    </row>
    <row r="188" spans="1:18" ht="15.75" customHeight="1" thickTop="1" x14ac:dyDescent="0.25">
      <c r="A188" s="19"/>
      <c r="B188" s="45"/>
      <c r="C188" s="21"/>
      <c r="D188" s="21"/>
      <c r="E188" s="23"/>
      <c r="F188" s="21"/>
      <c r="G188" s="21"/>
      <c r="H188" s="23"/>
      <c r="I188" s="24"/>
      <c r="J188" s="24"/>
      <c r="K188" s="21"/>
      <c r="L188" s="21"/>
      <c r="M188" s="25"/>
      <c r="N188" s="10"/>
      <c r="R188" s="2"/>
    </row>
    <row r="189" spans="1:18" ht="15.75" x14ac:dyDescent="0.25">
      <c r="A189" s="19" t="s">
        <v>56</v>
      </c>
      <c r="B189" s="20">
        <f>DATE(2023,7,1)</f>
        <v>45108</v>
      </c>
      <c r="C189" s="21">
        <v>66323</v>
      </c>
      <c r="D189" s="21">
        <v>68778</v>
      </c>
      <c r="E189" s="23">
        <f t="shared" ref="E189:E200" si="96">(+C189-D189)/D189</f>
        <v>-3.5694553490941874E-2</v>
      </c>
      <c r="F189" s="21">
        <f>+C189-28441</f>
        <v>37882</v>
      </c>
      <c r="G189" s="21">
        <f>+D189-29763</f>
        <v>39015</v>
      </c>
      <c r="H189" s="23">
        <f t="shared" ref="H189:H194" si="97">(+F189-G189)/G189</f>
        <v>-2.9040112777136997E-2</v>
      </c>
      <c r="I189" s="24">
        <f t="shared" ref="I189:I194" si="98">K189/C189</f>
        <v>58.975659575109688</v>
      </c>
      <c r="J189" s="24">
        <f t="shared" ref="J189:J194" si="99">K189/F189</f>
        <v>103.25333060556464</v>
      </c>
      <c r="K189" s="21">
        <v>3911442.67</v>
      </c>
      <c r="L189" s="21">
        <v>4137931.7</v>
      </c>
      <c r="M189" s="25">
        <f t="shared" ref="M189:M200" si="100">(+K189-L189)/L189</f>
        <v>-5.4734840113479941E-2</v>
      </c>
      <c r="N189" s="10"/>
      <c r="R189" s="2"/>
    </row>
    <row r="190" spans="1:18" ht="15.75" x14ac:dyDescent="0.25">
      <c r="A190" s="19"/>
      <c r="B190" s="20">
        <f>DATE(2023,8,1)</f>
        <v>45139</v>
      </c>
      <c r="C190" s="21">
        <v>63894</v>
      </c>
      <c r="D190" s="21">
        <v>61732</v>
      </c>
      <c r="E190" s="23">
        <f t="shared" si="96"/>
        <v>3.5022354694485842E-2</v>
      </c>
      <c r="F190" s="21">
        <f>+C190-27335</f>
        <v>36559</v>
      </c>
      <c r="G190" s="21">
        <f>+D190-26815</f>
        <v>34917</v>
      </c>
      <c r="H190" s="23">
        <f t="shared" si="97"/>
        <v>4.7025804049603347E-2</v>
      </c>
      <c r="I190" s="24">
        <f t="shared" si="98"/>
        <v>60.44767067330266</v>
      </c>
      <c r="J190" s="24">
        <f t="shared" si="99"/>
        <v>105.64412237752674</v>
      </c>
      <c r="K190" s="21">
        <v>3862243.47</v>
      </c>
      <c r="L190" s="21">
        <v>3659627.99</v>
      </c>
      <c r="M190" s="25">
        <f t="shared" si="100"/>
        <v>5.5365048183490355E-2</v>
      </c>
      <c r="N190" s="10"/>
      <c r="R190" s="2"/>
    </row>
    <row r="191" spans="1:18" ht="15.75" x14ac:dyDescent="0.25">
      <c r="A191" s="19"/>
      <c r="B191" s="20">
        <f>DATE(2023,9,1)</f>
        <v>45170</v>
      </c>
      <c r="C191" s="21">
        <v>61378</v>
      </c>
      <c r="D191" s="21">
        <v>62788</v>
      </c>
      <c r="E191" s="23">
        <f t="shared" si="96"/>
        <v>-2.245652035420781E-2</v>
      </c>
      <c r="F191" s="21">
        <f>+C191-26751</f>
        <v>34627</v>
      </c>
      <c r="G191" s="21">
        <f>+D191-27365</f>
        <v>35423</v>
      </c>
      <c r="H191" s="23">
        <f t="shared" si="97"/>
        <v>-2.2471275724811564E-2</v>
      </c>
      <c r="I191" s="24">
        <f t="shared" si="98"/>
        <v>60.955323568705403</v>
      </c>
      <c r="J191" s="24">
        <f t="shared" si="99"/>
        <v>108.04620238542178</v>
      </c>
      <c r="K191" s="21">
        <v>3741315.85</v>
      </c>
      <c r="L191" s="21">
        <v>3960660.61</v>
      </c>
      <c r="M191" s="25">
        <f t="shared" si="100"/>
        <v>-5.5380852236162639E-2</v>
      </c>
      <c r="N191" s="10"/>
      <c r="R191" s="2"/>
    </row>
    <row r="192" spans="1:18" ht="15.75" x14ac:dyDescent="0.25">
      <c r="A192" s="19"/>
      <c r="B192" s="20">
        <f>DATE(2023,10,1)</f>
        <v>45200</v>
      </c>
      <c r="C192" s="21">
        <v>57497</v>
      </c>
      <c r="D192" s="21">
        <v>62422</v>
      </c>
      <c r="E192" s="23">
        <f t="shared" si="96"/>
        <v>-7.889846528467527E-2</v>
      </c>
      <c r="F192" s="21">
        <f>+C192-24805</f>
        <v>32692</v>
      </c>
      <c r="G192" s="21">
        <f>+D192-27630</f>
        <v>34792</v>
      </c>
      <c r="H192" s="23">
        <f t="shared" si="97"/>
        <v>-6.0358703150149462E-2</v>
      </c>
      <c r="I192" s="24">
        <f t="shared" si="98"/>
        <v>61.609674591717827</v>
      </c>
      <c r="J192" s="24">
        <f t="shared" si="99"/>
        <v>108.35591153799095</v>
      </c>
      <c r="K192" s="21">
        <v>3542371.46</v>
      </c>
      <c r="L192" s="21">
        <v>3840534.87</v>
      </c>
      <c r="M192" s="25">
        <f t="shared" si="100"/>
        <v>-7.7635907521391712E-2</v>
      </c>
      <c r="N192" s="10"/>
      <c r="R192" s="2"/>
    </row>
    <row r="193" spans="1:18" ht="15.75" x14ac:dyDescent="0.25">
      <c r="A193" s="19"/>
      <c r="B193" s="20">
        <f>DATE(2023,11,1)</f>
        <v>45231</v>
      </c>
      <c r="C193" s="21">
        <v>57953</v>
      </c>
      <c r="D193" s="21">
        <v>58006</v>
      </c>
      <c r="E193" s="23">
        <f t="shared" si="96"/>
        <v>-9.1369858290521672E-4</v>
      </c>
      <c r="F193" s="21">
        <f>+C193-25146</f>
        <v>32807</v>
      </c>
      <c r="G193" s="21">
        <f>+D193-26107</f>
        <v>31899</v>
      </c>
      <c r="H193" s="23">
        <f t="shared" si="97"/>
        <v>2.8464842158061381E-2</v>
      </c>
      <c r="I193" s="24">
        <f t="shared" si="98"/>
        <v>62.883518023225719</v>
      </c>
      <c r="J193" s="24">
        <f t="shared" si="99"/>
        <v>111.08265065382388</v>
      </c>
      <c r="K193" s="21">
        <v>3644288.52</v>
      </c>
      <c r="L193" s="21">
        <v>3573473.44</v>
      </c>
      <c r="M193" s="25">
        <f t="shared" si="100"/>
        <v>1.9816875986071434E-2</v>
      </c>
      <c r="N193" s="10"/>
      <c r="R193" s="2"/>
    </row>
    <row r="194" spans="1:18" ht="15.75" x14ac:dyDescent="0.25">
      <c r="A194" s="19"/>
      <c r="B194" s="20">
        <f>DATE(2023,12,1)</f>
        <v>45261</v>
      </c>
      <c r="C194" s="21">
        <v>70244</v>
      </c>
      <c r="D194" s="21">
        <v>64256</v>
      </c>
      <c r="E194" s="23">
        <f t="shared" si="96"/>
        <v>9.3189741035856574E-2</v>
      </c>
      <c r="F194" s="21">
        <f>+C194-32047</f>
        <v>38197</v>
      </c>
      <c r="G194" s="21">
        <f>+D194-29013</f>
        <v>35243</v>
      </c>
      <c r="H194" s="23">
        <f t="shared" si="97"/>
        <v>8.381806316147887E-2</v>
      </c>
      <c r="I194" s="24">
        <f t="shared" si="98"/>
        <v>65.062498718751783</v>
      </c>
      <c r="J194" s="24">
        <f t="shared" si="99"/>
        <v>119.64945309841087</v>
      </c>
      <c r="K194" s="21">
        <v>4570250.16</v>
      </c>
      <c r="L194" s="21">
        <v>3934523.29</v>
      </c>
      <c r="M194" s="25">
        <f t="shared" si="100"/>
        <v>0.16157659343782918</v>
      </c>
      <c r="N194" s="10"/>
      <c r="R194" s="2"/>
    </row>
    <row r="195" spans="1:18" ht="15.75" x14ac:dyDescent="0.25">
      <c r="A195" s="19"/>
      <c r="B195" s="20">
        <f>DATE(2024,1,1)</f>
        <v>45292</v>
      </c>
      <c r="C195" s="21">
        <v>52821</v>
      </c>
      <c r="D195" s="21">
        <v>59434</v>
      </c>
      <c r="E195" s="23">
        <f t="shared" si="96"/>
        <v>-0.11126627856109297</v>
      </c>
      <c r="F195" s="21">
        <f>C195-23841</f>
        <v>28980</v>
      </c>
      <c r="G195" s="21">
        <f>D195-26887</f>
        <v>32547</v>
      </c>
      <c r="H195" s="23">
        <f t="shared" ref="H195:H200" si="101">(+F195-G195)/G195</f>
        <v>-0.10959535441054476</v>
      </c>
      <c r="I195" s="24">
        <f t="shared" ref="I195:I200" si="102">K195/C195</f>
        <v>63.002633990269018</v>
      </c>
      <c r="J195" s="24">
        <f t="shared" ref="J195:J200" si="103">K195/F195</f>
        <v>114.83306176673568</v>
      </c>
      <c r="K195" s="21">
        <v>3327862.13</v>
      </c>
      <c r="L195" s="21">
        <v>3650361.77</v>
      </c>
      <c r="M195" s="25">
        <f t="shared" si="100"/>
        <v>-8.8347309203821764E-2</v>
      </c>
      <c r="N195" s="10"/>
      <c r="R195" s="2"/>
    </row>
    <row r="196" spans="1:18" ht="15.75" x14ac:dyDescent="0.25">
      <c r="A196" s="19"/>
      <c r="B196" s="20">
        <f>DATE(2024,2,1)</f>
        <v>45323</v>
      </c>
      <c r="C196" s="21">
        <v>65228</v>
      </c>
      <c r="D196" s="21">
        <v>65887</v>
      </c>
      <c r="E196" s="23">
        <f t="shared" si="96"/>
        <v>-1.0001973075113451E-2</v>
      </c>
      <c r="F196" s="21">
        <f>+C196-29615</f>
        <v>35613</v>
      </c>
      <c r="G196" s="21">
        <f>+D196-30047</f>
        <v>35840</v>
      </c>
      <c r="H196" s="23">
        <f t="shared" si="101"/>
        <v>-6.3337053571428572E-3</v>
      </c>
      <c r="I196" s="24">
        <f t="shared" si="102"/>
        <v>65.790728061568657</v>
      </c>
      <c r="J196" s="24">
        <f t="shared" si="103"/>
        <v>120.50087355740882</v>
      </c>
      <c r="K196" s="21">
        <v>4291397.6100000003</v>
      </c>
      <c r="L196" s="21">
        <v>4139675.33</v>
      </c>
      <c r="M196" s="25">
        <f t="shared" si="100"/>
        <v>3.6650767972183043E-2</v>
      </c>
      <c r="N196" s="10"/>
      <c r="R196" s="2"/>
    </row>
    <row r="197" spans="1:18" ht="15.75" x14ac:dyDescent="0.25">
      <c r="A197" s="19"/>
      <c r="B197" s="20">
        <f>DATE(2024,3,1)</f>
        <v>45352</v>
      </c>
      <c r="C197" s="21">
        <v>69209</v>
      </c>
      <c r="D197" s="21">
        <v>75208</v>
      </c>
      <c r="E197" s="23">
        <f t="shared" si="96"/>
        <v>-7.9765450483991071E-2</v>
      </c>
      <c r="F197" s="21">
        <f>+C197-31881</f>
        <v>37328</v>
      </c>
      <c r="G197" s="21">
        <f>+D197-34160</f>
        <v>41048</v>
      </c>
      <c r="H197" s="23">
        <f t="shared" si="101"/>
        <v>-9.0625609043071528E-2</v>
      </c>
      <c r="I197" s="24">
        <f t="shared" si="102"/>
        <v>64.325137771099136</v>
      </c>
      <c r="J197" s="24">
        <f t="shared" si="103"/>
        <v>119.26378214744963</v>
      </c>
      <c r="K197" s="21">
        <v>4451878.46</v>
      </c>
      <c r="L197" s="21">
        <v>4595749.3899999997</v>
      </c>
      <c r="M197" s="25">
        <f t="shared" si="100"/>
        <v>-3.1305216579705558E-2</v>
      </c>
      <c r="N197" s="10"/>
      <c r="R197" s="2"/>
    </row>
    <row r="198" spans="1:18" ht="15.75" x14ac:dyDescent="0.25">
      <c r="A198" s="19"/>
      <c r="B198" s="20">
        <f>DATE(2024,4,1)</f>
        <v>45383</v>
      </c>
      <c r="C198" s="21">
        <v>60627</v>
      </c>
      <c r="D198" s="21">
        <v>68880</v>
      </c>
      <c r="E198" s="23">
        <f t="shared" si="96"/>
        <v>-0.1198170731707317</v>
      </c>
      <c r="F198" s="21">
        <f>+C198-27481</f>
        <v>33146</v>
      </c>
      <c r="G198" s="21">
        <f>+D198-31217</f>
        <v>37663</v>
      </c>
      <c r="H198" s="23">
        <f t="shared" si="101"/>
        <v>-0.11993202878156281</v>
      </c>
      <c r="I198" s="24">
        <f t="shared" si="102"/>
        <v>66.274304517789105</v>
      </c>
      <c r="J198" s="24">
        <f t="shared" si="103"/>
        <v>121.22163337959331</v>
      </c>
      <c r="K198" s="21">
        <v>4018012.26</v>
      </c>
      <c r="L198" s="21">
        <v>4318639.58</v>
      </c>
      <c r="M198" s="25">
        <f t="shared" si="100"/>
        <v>-6.9611578931530166E-2</v>
      </c>
      <c r="N198" s="10"/>
      <c r="R198" s="2"/>
    </row>
    <row r="199" spans="1:18" ht="15.75" x14ac:dyDescent="0.25">
      <c r="A199" s="19"/>
      <c r="B199" s="20">
        <f>DATE(2024,5,1)</f>
        <v>45413</v>
      </c>
      <c r="C199" s="21">
        <v>66571</v>
      </c>
      <c r="D199" s="21">
        <v>65130</v>
      </c>
      <c r="E199" s="23">
        <f t="shared" si="96"/>
        <v>2.2124980807615539E-2</v>
      </c>
      <c r="F199" s="21">
        <f>+C199-29937</f>
        <v>36634</v>
      </c>
      <c r="G199" s="21">
        <f>+D199-28871</f>
        <v>36259</v>
      </c>
      <c r="H199" s="23">
        <f t="shared" si="101"/>
        <v>1.0342259852726219E-2</v>
      </c>
      <c r="I199" s="24">
        <f t="shared" si="102"/>
        <v>62.132972615703537</v>
      </c>
      <c r="J199" s="24">
        <f t="shared" si="103"/>
        <v>112.90752088224055</v>
      </c>
      <c r="K199" s="21">
        <v>4136254.12</v>
      </c>
      <c r="L199" s="21">
        <v>4050813.47</v>
      </c>
      <c r="M199" s="25">
        <f t="shared" si="100"/>
        <v>2.1092220274462527E-2</v>
      </c>
      <c r="N199" s="10"/>
      <c r="R199" s="2"/>
    </row>
    <row r="200" spans="1:18" ht="15.75" x14ac:dyDescent="0.25">
      <c r="A200" s="19"/>
      <c r="B200" s="20">
        <f>DATE(2024,6,1)</f>
        <v>45444</v>
      </c>
      <c r="C200" s="21">
        <v>63458</v>
      </c>
      <c r="D200" s="21">
        <v>63860</v>
      </c>
      <c r="E200" s="23">
        <f t="shared" si="96"/>
        <v>-6.2950203570310056E-3</v>
      </c>
      <c r="F200" s="21">
        <f>+C200-28015</f>
        <v>35443</v>
      </c>
      <c r="G200" s="21">
        <f>+D200-28097</f>
        <v>35763</v>
      </c>
      <c r="H200" s="23">
        <f t="shared" si="101"/>
        <v>-8.9477952073371923E-3</v>
      </c>
      <c r="I200" s="24">
        <f t="shared" si="102"/>
        <v>64.137383466229636</v>
      </c>
      <c r="J200" s="24">
        <f t="shared" si="103"/>
        <v>114.83311457833705</v>
      </c>
      <c r="K200" s="21">
        <v>4070030.08</v>
      </c>
      <c r="L200" s="21">
        <v>3769778.78</v>
      </c>
      <c r="M200" s="25">
        <f t="shared" si="100"/>
        <v>7.964692824760404E-2</v>
      </c>
      <c r="N200" s="10"/>
      <c r="R200" s="2"/>
    </row>
    <row r="201" spans="1:18" ht="15.75" thickBot="1" x14ac:dyDescent="0.25">
      <c r="A201" s="38"/>
      <c r="B201" s="45"/>
      <c r="C201" s="21"/>
      <c r="D201" s="21"/>
      <c r="E201" s="23"/>
      <c r="F201" s="21"/>
      <c r="G201" s="21"/>
      <c r="H201" s="23"/>
      <c r="I201" s="24"/>
      <c r="J201" s="24"/>
      <c r="K201" s="21"/>
      <c r="L201" s="21"/>
      <c r="M201" s="25"/>
      <c r="N201" s="10"/>
      <c r="R201" s="2"/>
    </row>
    <row r="202" spans="1:18" ht="17.25" thickTop="1" thickBot="1" x14ac:dyDescent="0.3">
      <c r="A202" s="26" t="s">
        <v>14</v>
      </c>
      <c r="B202" s="27"/>
      <c r="C202" s="28">
        <f>SUM(C189:C201)</f>
        <v>755203</v>
      </c>
      <c r="D202" s="28">
        <f>SUM(D189:D201)</f>
        <v>776381</v>
      </c>
      <c r="E202" s="280">
        <f>(+C202-D202)/D202</f>
        <v>-2.7277844254302977E-2</v>
      </c>
      <c r="F202" s="28">
        <f>SUM(F189:F201)</f>
        <v>419908</v>
      </c>
      <c r="G202" s="28">
        <f>SUM(G189:G201)</f>
        <v>430409</v>
      </c>
      <c r="H202" s="42">
        <f>(+F202-G202)/G202</f>
        <v>-2.4397724025287577E-2</v>
      </c>
      <c r="I202" s="43">
        <f>K202/C202</f>
        <v>62.986172976007765</v>
      </c>
      <c r="J202" s="43">
        <f>K202/F202</f>
        <v>113.28040139744894</v>
      </c>
      <c r="K202" s="28">
        <f>SUM(K189:K201)</f>
        <v>47567346.789999992</v>
      </c>
      <c r="L202" s="28">
        <f>SUM(L189:L201)</f>
        <v>47631770.219999999</v>
      </c>
      <c r="M202" s="44">
        <f>(+K202-L202)/L202</f>
        <v>-1.3525306681328535E-3</v>
      </c>
      <c r="N202" s="10"/>
      <c r="R202" s="2"/>
    </row>
    <row r="203" spans="1:18" ht="16.5" thickTop="1" thickBot="1" x14ac:dyDescent="0.25">
      <c r="A203" s="63"/>
      <c r="B203" s="34"/>
      <c r="C203" s="35"/>
      <c r="D203" s="35"/>
      <c r="E203" s="29"/>
      <c r="F203" s="35"/>
      <c r="G203" s="35"/>
      <c r="H203" s="29"/>
      <c r="I203" s="36"/>
      <c r="J203" s="36"/>
      <c r="K203" s="35"/>
      <c r="L203" s="35"/>
      <c r="M203" s="37"/>
      <c r="N203" s="10"/>
      <c r="R203" s="2"/>
    </row>
    <row r="204" spans="1:18" ht="17.25" thickTop="1" thickBot="1" x14ac:dyDescent="0.3">
      <c r="A204" s="64" t="s">
        <v>18</v>
      </c>
      <c r="B204" s="65"/>
      <c r="C204" s="28">
        <f>C202+C187+C82+C112+C127+C52+C22+C142+C157+C67+C172+C37+C97</f>
        <v>28230147</v>
      </c>
      <c r="D204" s="28">
        <f>D202+D187+D82+D112+D127+D52+D22+D142+D157+D67+D172+D37+D97</f>
        <v>28946391</v>
      </c>
      <c r="E204" s="279">
        <f>(+C204-D204)/D204</f>
        <v>-2.4743810031447443E-2</v>
      </c>
      <c r="F204" s="28">
        <f>F202+F187+F82+F112+F127+F52+F22+F142+F157+F67+F172+F37+F97</f>
        <v>14480876</v>
      </c>
      <c r="G204" s="28">
        <f>G202+G187+G82+G112+G127+G52+G22+G142+G157+G67+G172+G37+G97</f>
        <v>14731889</v>
      </c>
      <c r="H204" s="30">
        <f>(+F204-G204)/G204</f>
        <v>-1.7038751785327735E-2</v>
      </c>
      <c r="I204" s="31">
        <f>K204/C204</f>
        <v>66.9965657784212</v>
      </c>
      <c r="J204" s="31">
        <f>K204/F204</f>
        <v>130.6083209620744</v>
      </c>
      <c r="K204" s="28">
        <f>K202+K187+K82+K112+K127+K52+K22+K142+K157+K67+K172+K37+K97</f>
        <v>1891322900.4200001</v>
      </c>
      <c r="L204" s="28">
        <f>L202+L187+L82+L112+L127+L52+L22+L142+L157+L67+L172+L37+L97</f>
        <v>1920355477.2</v>
      </c>
      <c r="M204" s="32">
        <f>(+K204-L204)/L204</f>
        <v>-1.5118334664960733E-2</v>
      </c>
      <c r="N204" s="10"/>
      <c r="R204" s="2"/>
    </row>
    <row r="205" spans="1:18" ht="17.25" thickTop="1" thickBot="1" x14ac:dyDescent="0.3">
      <c r="A205" s="64"/>
      <c r="B205" s="65"/>
      <c r="C205" s="28"/>
      <c r="D205" s="28"/>
      <c r="E205" s="29"/>
      <c r="F205" s="28"/>
      <c r="G205" s="28"/>
      <c r="H205" s="30"/>
      <c r="I205" s="31"/>
      <c r="J205" s="31"/>
      <c r="K205" s="28"/>
      <c r="L205" s="28"/>
      <c r="M205" s="32"/>
      <c r="N205" s="10"/>
      <c r="R205" s="2"/>
    </row>
    <row r="206" spans="1:18" ht="17.25" thickTop="1" thickBot="1" x14ac:dyDescent="0.3">
      <c r="A206" s="64" t="s">
        <v>19</v>
      </c>
      <c r="B206" s="65"/>
      <c r="C206" s="28">
        <f>+C20+C35+C50+C65+C80+C95+C110+C125+C140+C155+C170+C185+C200</f>
        <v>2293329</v>
      </c>
      <c r="D206" s="28">
        <f>+D20+D35+D50+D65+D80+D95+D110+D125+D140+D155+D170+D185+D200</f>
        <v>2320074</v>
      </c>
      <c r="E206" s="279">
        <f>(+C206-D206)/D206</f>
        <v>-1.1527649549109209E-2</v>
      </c>
      <c r="F206" s="28">
        <f>+F20+F35+F50+F65+F80+F95+F110+F125+F140+F155+F170+F185+F200</f>
        <v>1196141</v>
      </c>
      <c r="G206" s="28">
        <f>+G20+G35+G50+G65+G80+G95+G110+G125+G140+G155+G170+G185+G200</f>
        <v>1201396</v>
      </c>
      <c r="H206" s="30">
        <f>(+F206-G206)/G206</f>
        <v>-4.3740781557454825E-3</v>
      </c>
      <c r="I206" s="296">
        <f>K206/C206</f>
        <v>67.473163911501601</v>
      </c>
      <c r="J206" s="31">
        <f>K206/F206</f>
        <v>129.3644842205058</v>
      </c>
      <c r="K206" s="28">
        <f>+K20+K35+K50+K65+K80+K95+K110+K125+K140+K155+K170+K185+K200</f>
        <v>154738163.52000004</v>
      </c>
      <c r="L206" s="28">
        <f>+L20+L35+L50+L65+L80+L95+L110+L125+L140+L155+L170+L185+L200</f>
        <v>155002687.05000001</v>
      </c>
      <c r="M206" s="32">
        <f>(+K206-L206)/L206</f>
        <v>-1.7065738345209633E-3</v>
      </c>
      <c r="N206" s="10"/>
      <c r="R206" s="2"/>
    </row>
    <row r="207" spans="1:18" ht="15.75" thickTop="1" x14ac:dyDescent="0.2">
      <c r="A207" s="66"/>
      <c r="B207" s="67"/>
      <c r="C207" s="68"/>
      <c r="D207" s="67"/>
      <c r="E207" s="67"/>
      <c r="F207" s="67"/>
      <c r="G207" s="67"/>
      <c r="H207" s="67"/>
      <c r="I207" s="67"/>
      <c r="J207" s="67"/>
      <c r="K207" s="68"/>
      <c r="L207" s="68"/>
      <c r="M207" s="67"/>
      <c r="R207" s="2"/>
    </row>
    <row r="208" spans="1:18" ht="18.75" x14ac:dyDescent="0.3">
      <c r="A208" s="264" t="s">
        <v>20</v>
      </c>
      <c r="B208" s="70"/>
      <c r="C208" s="71"/>
      <c r="D208" s="71"/>
      <c r="E208" s="71"/>
      <c r="F208" s="71"/>
      <c r="G208" s="71"/>
      <c r="H208" s="71"/>
      <c r="I208" s="71"/>
      <c r="J208" s="71"/>
      <c r="K208" s="198"/>
      <c r="L208" s="198"/>
      <c r="M208" s="71"/>
      <c r="N208" s="2"/>
      <c r="O208" s="2"/>
      <c r="P208" s="2"/>
      <c r="Q208" s="2"/>
      <c r="R208" s="2"/>
    </row>
    <row r="209" spans="1:18" ht="18" x14ac:dyDescent="0.25">
      <c r="A209" s="69"/>
      <c r="B209" s="70"/>
      <c r="C209" s="71"/>
      <c r="D209" s="71"/>
      <c r="E209" s="71"/>
      <c r="F209" s="71"/>
      <c r="G209" s="71"/>
      <c r="H209" s="71"/>
      <c r="I209" s="71"/>
      <c r="J209" s="71"/>
      <c r="K209" s="198"/>
      <c r="L209" s="198"/>
      <c r="M209" s="71"/>
      <c r="N209" s="2"/>
      <c r="O209" s="2"/>
      <c r="P209" s="2"/>
      <c r="Q209" s="2"/>
      <c r="R209" s="2"/>
    </row>
    <row r="210" spans="1:18" ht="15.75" x14ac:dyDescent="0.25">
      <c r="A210" s="72"/>
      <c r="B210" s="73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73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3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73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3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3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3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73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73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73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4"/>
      <c r="N219" s="2"/>
      <c r="O219" s="2"/>
      <c r="P219" s="2"/>
      <c r="Q219" s="2"/>
      <c r="R219" s="2"/>
    </row>
    <row r="220" spans="1:18" x14ac:dyDescent="0.2">
      <c r="A220" s="2"/>
      <c r="B220" s="73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4"/>
      <c r="N220" s="2"/>
      <c r="O220" s="2"/>
      <c r="P220" s="2"/>
      <c r="Q220" s="2"/>
      <c r="R220" s="2"/>
    </row>
    <row r="221" spans="1:18" x14ac:dyDescent="0.2">
      <c r="A221" s="2"/>
      <c r="B221" s="70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4"/>
      <c r="N221" s="2"/>
      <c r="O221" s="2"/>
      <c r="P221" s="2"/>
      <c r="Q221" s="2"/>
      <c r="R221" s="2"/>
    </row>
    <row r="222" spans="1:18" ht="15.75" x14ac:dyDescent="0.25">
      <c r="A222" s="76"/>
      <c r="B222" s="70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ht="15.75" x14ac:dyDescent="0.25">
      <c r="A223" s="76"/>
      <c r="B223" s="70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ht="15.75" x14ac:dyDescent="0.25">
      <c r="A224" s="76"/>
      <c r="B224" s="70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70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ht="15.75" x14ac:dyDescent="0.25">
      <c r="A226" s="76"/>
      <c r="B226" s="73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73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73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77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77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77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77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77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77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77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77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77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ht="15.75" x14ac:dyDescent="0.25">
      <c r="A239" s="76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ht="15.75" x14ac:dyDescent="0.25">
      <c r="A242" s="76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ht="15.75" x14ac:dyDescent="0.25">
      <c r="A243" s="76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ht="15.75" x14ac:dyDescent="0.25">
      <c r="A244" s="76"/>
      <c r="B244" s="77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77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77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77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77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77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77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77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77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77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77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77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ht="15.75" x14ac:dyDescent="0.25">
      <c r="A257" s="76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ht="15.75" x14ac:dyDescent="0.25">
      <c r="A260" s="76"/>
      <c r="B260" s="77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77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77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ht="15.75" x14ac:dyDescent="0.25">
      <c r="A266" s="76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ht="15.75" x14ac:dyDescent="0.25">
      <c r="A269" s="76"/>
      <c r="B269" s="76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74"/>
      <c r="D314" s="74"/>
      <c r="E314" s="74"/>
      <c r="F314" s="74"/>
      <c r="G314" s="74"/>
      <c r="H314" s="74"/>
      <c r="I314" s="74"/>
      <c r="J314" s="74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74"/>
      <c r="D315" s="74"/>
      <c r="E315" s="74"/>
      <c r="F315" s="74"/>
      <c r="G315" s="74"/>
      <c r="H315" s="74"/>
      <c r="I315" s="74"/>
      <c r="J315" s="74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74"/>
      <c r="D316" s="74"/>
      <c r="E316" s="74"/>
      <c r="F316" s="74"/>
      <c r="G316" s="74"/>
      <c r="H316" s="74"/>
      <c r="I316" s="74"/>
      <c r="J316" s="74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74"/>
      <c r="D317" s="74"/>
      <c r="E317" s="74"/>
      <c r="F317" s="74"/>
      <c r="G317" s="74"/>
      <c r="H317" s="74"/>
      <c r="I317" s="74"/>
      <c r="J317" s="74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74"/>
      <c r="D318" s="74"/>
      <c r="E318" s="74"/>
      <c r="F318" s="74"/>
      <c r="G318" s="74"/>
      <c r="H318" s="74"/>
      <c r="I318" s="74"/>
      <c r="J318" s="74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74"/>
      <c r="D319" s="74"/>
      <c r="E319" s="74"/>
      <c r="F319" s="74"/>
      <c r="G319" s="74"/>
      <c r="H319" s="74"/>
      <c r="I319" s="74"/>
      <c r="J319" s="74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74"/>
      <c r="D320" s="74"/>
      <c r="E320" s="74"/>
      <c r="F320" s="74"/>
      <c r="G320" s="74"/>
      <c r="H320" s="74"/>
      <c r="I320" s="74"/>
      <c r="J320" s="74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74"/>
      <c r="D321" s="74"/>
      <c r="E321" s="74"/>
      <c r="F321" s="74"/>
      <c r="G321" s="74"/>
      <c r="H321" s="74"/>
      <c r="I321" s="74"/>
      <c r="J321" s="74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74"/>
      <c r="D322" s="74"/>
      <c r="E322" s="74"/>
      <c r="F322" s="74"/>
      <c r="G322" s="74"/>
      <c r="H322" s="74"/>
      <c r="I322" s="74"/>
      <c r="J322" s="74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74"/>
      <c r="D323" s="74"/>
      <c r="E323" s="74"/>
      <c r="F323" s="74"/>
      <c r="G323" s="74"/>
      <c r="H323" s="74"/>
      <c r="I323" s="74"/>
      <c r="J323" s="74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74"/>
      <c r="D324" s="74"/>
      <c r="E324" s="74"/>
      <c r="F324" s="74"/>
      <c r="G324" s="74"/>
      <c r="H324" s="74"/>
      <c r="I324" s="74"/>
      <c r="J324" s="74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74"/>
      <c r="D325" s="74"/>
      <c r="E325" s="74"/>
      <c r="F325" s="74"/>
      <c r="G325" s="74"/>
      <c r="H325" s="74"/>
      <c r="I325" s="74"/>
      <c r="J325" s="74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74"/>
      <c r="D326" s="74"/>
      <c r="E326" s="74"/>
      <c r="F326" s="74"/>
      <c r="G326" s="74"/>
      <c r="H326" s="74"/>
      <c r="I326" s="74"/>
      <c r="J326" s="74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74"/>
      <c r="D327" s="74"/>
      <c r="E327" s="74"/>
      <c r="F327" s="74"/>
      <c r="G327" s="74"/>
      <c r="H327" s="74"/>
      <c r="I327" s="74"/>
      <c r="J327" s="74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74"/>
      <c r="D328" s="74"/>
      <c r="E328" s="74"/>
      <c r="F328" s="74"/>
      <c r="G328" s="74"/>
      <c r="H328" s="74"/>
      <c r="I328" s="74"/>
      <c r="J328" s="74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74"/>
      <c r="D329" s="74"/>
      <c r="E329" s="74"/>
      <c r="F329" s="74"/>
      <c r="G329" s="74"/>
      <c r="H329" s="74"/>
      <c r="I329" s="74"/>
      <c r="J329" s="74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74"/>
      <c r="D330" s="74"/>
      <c r="E330" s="74"/>
      <c r="F330" s="74"/>
      <c r="G330" s="74"/>
      <c r="H330" s="74"/>
      <c r="I330" s="74"/>
      <c r="J330" s="74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74"/>
      <c r="D331" s="74"/>
      <c r="E331" s="74"/>
      <c r="F331" s="74"/>
      <c r="G331" s="74"/>
      <c r="H331" s="74"/>
      <c r="I331" s="74"/>
      <c r="J331" s="74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74"/>
      <c r="D332" s="74"/>
      <c r="E332" s="74"/>
      <c r="F332" s="74"/>
      <c r="G332" s="74"/>
      <c r="H332" s="74"/>
      <c r="I332" s="74"/>
      <c r="J332" s="74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74"/>
      <c r="D333" s="74"/>
      <c r="E333" s="74"/>
      <c r="F333" s="74"/>
      <c r="G333" s="74"/>
      <c r="H333" s="74"/>
      <c r="I333" s="74"/>
      <c r="J333" s="74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74"/>
      <c r="D334" s="74"/>
      <c r="E334" s="74"/>
      <c r="F334" s="74"/>
      <c r="G334" s="74"/>
      <c r="H334" s="74"/>
      <c r="I334" s="74"/>
      <c r="J334" s="74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74"/>
      <c r="D335" s="74"/>
      <c r="E335" s="74"/>
      <c r="F335" s="74"/>
      <c r="G335" s="74"/>
      <c r="H335" s="74"/>
      <c r="I335" s="74"/>
      <c r="J335" s="74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74"/>
      <c r="D336" s="74"/>
      <c r="E336" s="74"/>
      <c r="F336" s="74"/>
      <c r="G336" s="74"/>
      <c r="H336" s="74"/>
      <c r="I336" s="74"/>
      <c r="J336" s="74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74"/>
      <c r="D337" s="74"/>
      <c r="E337" s="74"/>
      <c r="F337" s="74"/>
      <c r="G337" s="74"/>
      <c r="H337" s="74"/>
      <c r="I337" s="74"/>
      <c r="J337" s="74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74"/>
      <c r="D338" s="74"/>
      <c r="E338" s="74"/>
      <c r="F338" s="74"/>
      <c r="G338" s="74"/>
      <c r="H338" s="74"/>
      <c r="I338" s="74"/>
      <c r="J338" s="74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74"/>
      <c r="D339" s="74"/>
      <c r="E339" s="74"/>
      <c r="F339" s="74"/>
      <c r="G339" s="74"/>
      <c r="H339" s="74"/>
      <c r="I339" s="74"/>
      <c r="J339" s="74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74"/>
      <c r="D340" s="74"/>
      <c r="E340" s="74"/>
      <c r="F340" s="74"/>
      <c r="G340" s="74"/>
      <c r="H340" s="74"/>
      <c r="I340" s="74"/>
      <c r="J340" s="74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74"/>
      <c r="D341" s="74"/>
      <c r="E341" s="74"/>
      <c r="F341" s="74"/>
      <c r="G341" s="74"/>
      <c r="H341" s="74"/>
      <c r="I341" s="74"/>
      <c r="J341" s="74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74"/>
      <c r="D342" s="74"/>
      <c r="E342" s="74"/>
      <c r="F342" s="74"/>
      <c r="G342" s="74"/>
      <c r="H342" s="74"/>
      <c r="I342" s="74"/>
      <c r="J342" s="74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74"/>
      <c r="D343" s="74"/>
      <c r="E343" s="74"/>
      <c r="F343" s="74"/>
      <c r="G343" s="74"/>
      <c r="H343" s="74"/>
      <c r="I343" s="74"/>
      <c r="J343" s="74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74"/>
      <c r="D344" s="74"/>
      <c r="E344" s="74"/>
      <c r="F344" s="74"/>
      <c r="G344" s="74"/>
      <c r="H344" s="74"/>
      <c r="I344" s="74"/>
      <c r="J344" s="74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74"/>
      <c r="D345" s="74"/>
      <c r="E345" s="74"/>
      <c r="F345" s="74"/>
      <c r="G345" s="74"/>
      <c r="H345" s="74"/>
      <c r="I345" s="74"/>
      <c r="J345" s="74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74"/>
      <c r="D346" s="74"/>
      <c r="E346" s="74"/>
      <c r="F346" s="74"/>
      <c r="G346" s="74"/>
      <c r="H346" s="74"/>
      <c r="I346" s="74"/>
      <c r="J346" s="74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74"/>
      <c r="D347" s="74"/>
      <c r="E347" s="74"/>
      <c r="F347" s="74"/>
      <c r="G347" s="74"/>
      <c r="H347" s="74"/>
      <c r="I347" s="74"/>
      <c r="J347" s="74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74"/>
      <c r="D348" s="74"/>
      <c r="E348" s="74"/>
      <c r="F348" s="74"/>
      <c r="G348" s="74"/>
      <c r="H348" s="74"/>
      <c r="I348" s="74"/>
      <c r="J348" s="74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74"/>
      <c r="D349" s="74"/>
      <c r="E349" s="74"/>
      <c r="F349" s="74"/>
      <c r="G349" s="74"/>
      <c r="H349" s="74"/>
      <c r="I349" s="74"/>
      <c r="J349" s="74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74"/>
      <c r="D350" s="74"/>
      <c r="E350" s="74"/>
      <c r="F350" s="74"/>
      <c r="G350" s="74"/>
      <c r="H350" s="74"/>
      <c r="I350" s="74"/>
      <c r="J350" s="74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74"/>
      <c r="D351" s="74"/>
      <c r="E351" s="74"/>
      <c r="F351" s="74"/>
      <c r="G351" s="74"/>
      <c r="H351" s="74"/>
      <c r="I351" s="74"/>
      <c r="J351" s="74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74"/>
      <c r="D352" s="74"/>
      <c r="E352" s="74"/>
      <c r="F352" s="74"/>
      <c r="G352" s="74"/>
      <c r="H352" s="74"/>
      <c r="I352" s="74"/>
      <c r="J352" s="74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2"/>
      <c r="L440" s="192"/>
      <c r="M440" s="75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2"/>
      <c r="L441" s="192"/>
      <c r="M441" s="75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2"/>
      <c r="L442" s="192"/>
      <c r="M442" s="75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2"/>
      <c r="L443" s="192"/>
      <c r="M443" s="75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2"/>
      <c r="L444" s="192"/>
      <c r="M444" s="75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2"/>
      <c r="L445" s="192"/>
      <c r="M445" s="75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2"/>
      <c r="L446" s="192"/>
      <c r="M446" s="75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2"/>
      <c r="L447" s="192"/>
      <c r="M447" s="75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2"/>
      <c r="L448" s="192"/>
      <c r="M448" s="75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2"/>
      <c r="L449" s="192"/>
      <c r="M449" s="75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2"/>
      <c r="L450" s="192"/>
      <c r="M450" s="75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2"/>
      <c r="L451" s="192"/>
      <c r="M451" s="75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2"/>
      <c r="L452" s="192"/>
      <c r="M452" s="75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2"/>
      <c r="L453" s="192"/>
      <c r="M453" s="75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2"/>
      <c r="L454" s="192"/>
      <c r="M454" s="75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2"/>
      <c r="L455" s="192"/>
      <c r="M455" s="75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2"/>
      <c r="L456" s="192"/>
      <c r="M456" s="75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2"/>
      <c r="L457" s="192"/>
      <c r="M457" s="75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2"/>
      <c r="L458" s="192"/>
      <c r="M458" s="75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2"/>
      <c r="L459" s="192"/>
      <c r="M459" s="75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2"/>
      <c r="L460" s="192"/>
      <c r="M460" s="75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2"/>
      <c r="L461" s="192"/>
      <c r="M461" s="75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2"/>
      <c r="L462" s="192"/>
      <c r="M462" s="75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2"/>
      <c r="L463" s="192"/>
      <c r="M463" s="75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2"/>
      <c r="L464" s="192"/>
      <c r="M464" s="75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2"/>
      <c r="L465" s="192"/>
      <c r="M465" s="75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92"/>
      <c r="L466" s="192"/>
      <c r="M466" s="75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92"/>
      <c r="L467" s="192"/>
      <c r="M467" s="75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92"/>
      <c r="L468" s="192"/>
      <c r="M468" s="75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92"/>
      <c r="L469" s="192"/>
      <c r="M469" s="75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92"/>
      <c r="L470" s="192"/>
      <c r="M470" s="75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92"/>
      <c r="L471" s="192"/>
      <c r="M471" s="75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92"/>
      <c r="L472" s="192"/>
      <c r="M472" s="75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92"/>
      <c r="L473" s="192"/>
      <c r="M473" s="75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92"/>
      <c r="L474" s="192"/>
      <c r="M474" s="75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92"/>
      <c r="L475" s="192"/>
      <c r="M475" s="75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92"/>
      <c r="L476" s="192"/>
      <c r="M476" s="75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92"/>
      <c r="L477" s="192"/>
      <c r="M477" s="75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92"/>
      <c r="L478" s="192"/>
      <c r="M478" s="75"/>
      <c r="N478" s="2"/>
      <c r="O478" s="2"/>
      <c r="P478" s="2"/>
      <c r="Q478" s="2"/>
      <c r="R478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52" max="12" man="1"/>
    <brk id="97" max="12" man="1"/>
    <brk id="142" max="12" man="1"/>
    <brk id="18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STATS'!$C$24*2</f>
        <v>229528</v>
      </c>
      <c r="D10" s="89">
        <f>'MONTHLY STATS'!$C$39*2</f>
        <v>124414</v>
      </c>
      <c r="E10" s="89">
        <f>'MONTHLY STATS'!$C$54*2</f>
        <v>703680</v>
      </c>
      <c r="F10" s="89">
        <f>'MONTHLY STATS'!$C$69*2</f>
        <v>399396</v>
      </c>
      <c r="G10" s="89">
        <f>'MONTHLY STATS'!$C$84*2</f>
        <v>188900</v>
      </c>
      <c r="H10" s="89">
        <f>'MONTHLY STATS'!$C$99*2</f>
        <v>438240</v>
      </c>
      <c r="I10" s="89">
        <f>'MONTHLY STATS'!$C$114*2</f>
        <v>455910</v>
      </c>
      <c r="J10" s="89">
        <f>'MONTHLY STATS'!$C$129*2</f>
        <v>524176</v>
      </c>
      <c r="K10" s="89">
        <f>'MONTHLY STATS'!$C$144*2</f>
        <v>745328</v>
      </c>
      <c r="L10" s="89">
        <f>'MONTHLY STATS'!$C$159*2</f>
        <v>86244</v>
      </c>
      <c r="M10" s="89">
        <f>'MONTHLY STATS'!$C$174*2</f>
        <v>682716</v>
      </c>
      <c r="N10" s="89">
        <f>'MONTHLY STATS'!$C$189*2</f>
        <v>132646</v>
      </c>
      <c r="O10" s="90">
        <f t="shared" ref="O10:O15" si="0">SUM(B10:N10)</f>
        <v>5109120</v>
      </c>
      <c r="P10" s="83"/>
    </row>
    <row r="11" spans="1:16" ht="15.75" x14ac:dyDescent="0.25">
      <c r="A11" s="88">
        <f>DATE(2023,8,1)</f>
        <v>45139</v>
      </c>
      <c r="B11" s="89">
        <f>'MONTHLY STATS'!$C$10*2</f>
        <v>371172</v>
      </c>
      <c r="C11" s="89">
        <f>'MONTHLY STATS'!$C$25*2</f>
        <v>206976</v>
      </c>
      <c r="D11" s="89">
        <f>'MONTHLY STATS'!$C$40*2</f>
        <v>111582</v>
      </c>
      <c r="E11" s="89">
        <f>'MONTHLY STATS'!$C$55*2</f>
        <v>661644</v>
      </c>
      <c r="F11" s="89">
        <f>'MONTHLY STATS'!$C$70*2</f>
        <v>371724</v>
      </c>
      <c r="G11" s="89">
        <f>'MONTHLY STATS'!$C$85*2</f>
        <v>171280</v>
      </c>
      <c r="H11" s="89">
        <f>'MONTHLY STATS'!$C$100*2</f>
        <v>436176</v>
      </c>
      <c r="I11" s="89">
        <f>'MONTHLY STATS'!$C$115*2</f>
        <v>427886</v>
      </c>
      <c r="J11" s="89">
        <f>'MONTHLY STATS'!$C$130*2</f>
        <v>478446</v>
      </c>
      <c r="K11" s="89">
        <f>'MONTHLY STATS'!$C$145*2</f>
        <v>685290</v>
      </c>
      <c r="L11" s="89">
        <f>'MONTHLY STATS'!$C$160*2</f>
        <v>77588</v>
      </c>
      <c r="M11" s="89">
        <f>'MONTHLY STATS'!$C$175*2</f>
        <v>652506</v>
      </c>
      <c r="N11" s="89">
        <f>'MONTHLY STATS'!$C$190*2</f>
        <v>127788</v>
      </c>
      <c r="O11" s="90">
        <f t="shared" si="0"/>
        <v>4780058</v>
      </c>
      <c r="P11" s="83"/>
    </row>
    <row r="12" spans="1:16" ht="15.75" x14ac:dyDescent="0.25">
      <c r="A12" s="88">
        <f>DATE(2023,9,1)</f>
        <v>45170</v>
      </c>
      <c r="B12" s="89">
        <f>'MONTHLY STATS'!$C$11*2</f>
        <v>370982</v>
      </c>
      <c r="C12" s="89">
        <f>'MONTHLY STATS'!$C$26*2</f>
        <v>200608</v>
      </c>
      <c r="D12" s="89">
        <f>'MONTHLY STATS'!$C$41*2</f>
        <v>113374</v>
      </c>
      <c r="E12" s="89">
        <f>'MONTHLY STATS'!$C$56*2</f>
        <v>633924</v>
      </c>
      <c r="F12" s="89">
        <f>'MONTHLY STATS'!$C$71*2</f>
        <v>375262</v>
      </c>
      <c r="G12" s="89">
        <f>'MONTHLY STATS'!$C$86*2</f>
        <v>170280</v>
      </c>
      <c r="H12" s="89">
        <f>'MONTHLY STATS'!$C$101*2</f>
        <v>483586</v>
      </c>
      <c r="I12" s="89">
        <f>'MONTHLY STATS'!$C$116*2</f>
        <v>421612</v>
      </c>
      <c r="J12" s="89">
        <f>'MONTHLY STATS'!$C$131*2</f>
        <v>496626</v>
      </c>
      <c r="K12" s="89">
        <f>'MONTHLY STATS'!$C$146*2</f>
        <v>681256</v>
      </c>
      <c r="L12" s="89">
        <f>'MONTHLY STATS'!$C$161*2</f>
        <v>78048</v>
      </c>
      <c r="M12" s="89">
        <f>'MONTHLY STATS'!$C$176*2</f>
        <v>661610</v>
      </c>
      <c r="N12" s="89">
        <f>'MONTHLY STATS'!$C$191*2</f>
        <v>122756</v>
      </c>
      <c r="O12" s="90">
        <f t="shared" si="0"/>
        <v>4809924</v>
      </c>
      <c r="P12" s="83"/>
    </row>
    <row r="13" spans="1:16" ht="15.75" x14ac:dyDescent="0.25">
      <c r="A13" s="88">
        <f>DATE(2023,10,1)</f>
        <v>45200</v>
      </c>
      <c r="B13" s="89">
        <f>'MONTHLY STATS'!$C$12*2</f>
        <v>338300</v>
      </c>
      <c r="C13" s="89">
        <f>'MONTHLY STATS'!$C$27*2</f>
        <v>186356</v>
      </c>
      <c r="D13" s="89">
        <f>'MONTHLY STATS'!$C$42*2</f>
        <v>100636</v>
      </c>
      <c r="E13" s="89">
        <f>'MONTHLY STATS'!$C$57*2</f>
        <v>577604</v>
      </c>
      <c r="F13" s="89">
        <f>'MONTHLY STATS'!$C$72*2</f>
        <v>367450</v>
      </c>
      <c r="G13" s="89">
        <f>'MONTHLY STATS'!$C$87*2</f>
        <v>156624</v>
      </c>
      <c r="H13" s="89">
        <f>'MONTHLY STATS'!$C$102*2</f>
        <v>490124</v>
      </c>
      <c r="I13" s="89">
        <f>'MONTHLY STATS'!$C$117*2</f>
        <v>384400</v>
      </c>
      <c r="J13" s="89">
        <f>'MONTHLY STATS'!$C$132*2</f>
        <v>455924</v>
      </c>
      <c r="K13" s="89">
        <f>'MONTHLY STATS'!$C$147*2</f>
        <v>656872</v>
      </c>
      <c r="L13" s="89">
        <f>'MONTHLY STATS'!$C$162*2</f>
        <v>79152</v>
      </c>
      <c r="M13" s="89">
        <f>'MONTHLY STATS'!$C$177*2</f>
        <v>607330</v>
      </c>
      <c r="N13" s="89">
        <f>'MONTHLY STATS'!$C$192*2</f>
        <v>114994</v>
      </c>
      <c r="O13" s="90">
        <f t="shared" si="0"/>
        <v>4515766</v>
      </c>
      <c r="P13" s="83"/>
    </row>
    <row r="14" spans="1:16" ht="15.75" x14ac:dyDescent="0.25">
      <c r="A14" s="88">
        <f>DATE(2023,11,1)</f>
        <v>45231</v>
      </c>
      <c r="B14" s="89">
        <f>'MONTHLY STATS'!$C$13*2</f>
        <v>352150</v>
      </c>
      <c r="C14" s="89">
        <f>'MONTHLY STATS'!$C$28*2</f>
        <v>178640</v>
      </c>
      <c r="D14" s="89">
        <f>'MONTHLY STATS'!$C$43*2</f>
        <v>100526</v>
      </c>
      <c r="E14" s="89">
        <f>'MONTHLY STATS'!$C$58*2</f>
        <v>577830</v>
      </c>
      <c r="F14" s="89">
        <f>'MONTHLY STATS'!$C$73*2</f>
        <v>336434</v>
      </c>
      <c r="G14" s="89">
        <f>'MONTHLY STATS'!$C$88*2</f>
        <v>153312</v>
      </c>
      <c r="H14" s="89">
        <f>'MONTHLY STATS'!$C$103*2</f>
        <v>470798</v>
      </c>
      <c r="I14" s="89">
        <f>'MONTHLY STATS'!$C$118*2</f>
        <v>394122</v>
      </c>
      <c r="J14" s="89">
        <f>'MONTHLY STATS'!$C$133*2</f>
        <v>448550</v>
      </c>
      <c r="K14" s="89">
        <f>'MONTHLY STATS'!$C$148*2</f>
        <v>679836</v>
      </c>
      <c r="L14" s="89">
        <f>'MONTHLY STATS'!$C$163*2</f>
        <v>77840</v>
      </c>
      <c r="M14" s="89">
        <f>'MONTHLY STATS'!$C$178*2</f>
        <v>614606</v>
      </c>
      <c r="N14" s="89">
        <f>'MONTHLY STATS'!$C$193*2</f>
        <v>115906</v>
      </c>
      <c r="O14" s="90">
        <f t="shared" si="0"/>
        <v>4500550</v>
      </c>
      <c r="P14" s="83"/>
    </row>
    <row r="15" spans="1:16" ht="15.75" x14ac:dyDescent="0.25">
      <c r="A15" s="88">
        <f>DATE(2023,12,1)</f>
        <v>45261</v>
      </c>
      <c r="B15" s="89">
        <f>'MONTHLY STATS'!$C$14*2</f>
        <v>409390</v>
      </c>
      <c r="C15" s="89">
        <f>'MONTHLY STATS'!$C$29*2</f>
        <v>206564</v>
      </c>
      <c r="D15" s="89">
        <f>'MONTHLY STATS'!$C$44*2</f>
        <v>112680</v>
      </c>
      <c r="E15" s="89">
        <f>'MONTHLY STATS'!$C$59*2</f>
        <v>629486</v>
      </c>
      <c r="F15" s="89">
        <f>'MONTHLY STATS'!$C$74*2</f>
        <v>404448</v>
      </c>
      <c r="G15" s="89">
        <f>'MONTHLY STATS'!$C$89*2</f>
        <v>193580</v>
      </c>
      <c r="H15" s="89">
        <f>'MONTHLY STATS'!$C$104*2</f>
        <v>478824</v>
      </c>
      <c r="I15" s="89">
        <f>'MONTHLY STATS'!$C$119*2</f>
        <v>445790</v>
      </c>
      <c r="J15" s="89">
        <f>'MONTHLY STATS'!$C$134*2</f>
        <v>540104</v>
      </c>
      <c r="K15" s="89">
        <f>'MONTHLY STATS'!$C$149*2</f>
        <v>721190</v>
      </c>
      <c r="L15" s="89">
        <f>'MONTHLY STATS'!$C$164*2</f>
        <v>79872</v>
      </c>
      <c r="M15" s="89">
        <f>'MONTHLY STATS'!$C$179*2</f>
        <v>747934</v>
      </c>
      <c r="N15" s="89">
        <f>'MONTHLY STATS'!$C$194*2</f>
        <v>140488</v>
      </c>
      <c r="O15" s="90">
        <f t="shared" si="0"/>
        <v>5110350</v>
      </c>
      <c r="P15" s="83"/>
    </row>
    <row r="16" spans="1:16" ht="15.75" x14ac:dyDescent="0.25">
      <c r="A16" s="88">
        <f>DATE(2024,1,1)</f>
        <v>45292</v>
      </c>
      <c r="B16" s="89">
        <f>'MONTHLY STATS'!$C$15*2</f>
        <v>317626</v>
      </c>
      <c r="C16" s="89">
        <f>'MONTHLY STATS'!$C$30*2</f>
        <v>158782</v>
      </c>
      <c r="D16" s="89">
        <f>'MONTHLY STATS'!$C$45*2</f>
        <v>89280</v>
      </c>
      <c r="E16" s="89">
        <f>'MONTHLY STATS'!$C$60*2</f>
        <v>519646</v>
      </c>
      <c r="F16" s="89">
        <f>'MONTHLY STATS'!$C$75*2</f>
        <v>292266</v>
      </c>
      <c r="G16" s="89">
        <f>'MONTHLY STATS'!$C$90*2</f>
        <v>148668</v>
      </c>
      <c r="H16" s="89">
        <f>'MONTHLY STATS'!$C$105*2</f>
        <v>372704</v>
      </c>
      <c r="I16" s="89">
        <f>'MONTHLY STATS'!$C$120*2</f>
        <v>344018</v>
      </c>
      <c r="J16" s="89">
        <f>'MONTHLY STATS'!$C$135*2</f>
        <v>396628</v>
      </c>
      <c r="K16" s="89">
        <f>'MONTHLY STATS'!$C$150*2</f>
        <v>609944</v>
      </c>
      <c r="L16" s="89">
        <f>'MONTHLY STATS'!$C$165*2</f>
        <v>56846</v>
      </c>
      <c r="M16" s="89">
        <f>'MONTHLY STATS'!$C$180*2</f>
        <v>590914</v>
      </c>
      <c r="N16" s="89">
        <f>'MONTHLY STATS'!$C$195*2</f>
        <v>105642</v>
      </c>
      <c r="O16" s="90">
        <f t="shared" ref="O16:O21" si="1">SUM(B16:N16)</f>
        <v>4002964</v>
      </c>
      <c r="P16" s="83"/>
    </row>
    <row r="17" spans="1:16" ht="15.75" x14ac:dyDescent="0.25">
      <c r="A17" s="88">
        <f>DATE(2024,2,1)</f>
        <v>45323</v>
      </c>
      <c r="B17" s="89">
        <f>'MONTHLY STATS'!$C$16*2</f>
        <v>371406</v>
      </c>
      <c r="C17" s="89">
        <f>'MONTHLY STATS'!$C$31*2</f>
        <v>197702</v>
      </c>
      <c r="D17" s="89">
        <f>'MONTHLY STATS'!$C$46*2</f>
        <v>114286</v>
      </c>
      <c r="E17" s="89">
        <f>'MONTHLY STATS'!$C$61*2</f>
        <v>614936</v>
      </c>
      <c r="F17" s="89">
        <f>'MONTHLY STATS'!$C$76*2</f>
        <v>354060</v>
      </c>
      <c r="G17" s="89">
        <f>'MONTHLY STATS'!$C$91*2</f>
        <v>171910</v>
      </c>
      <c r="H17" s="89">
        <f>'MONTHLY STATS'!$C$106*2</f>
        <v>426790</v>
      </c>
      <c r="I17" s="89">
        <f>'MONTHLY STATS'!$C$121*2</f>
        <v>370338</v>
      </c>
      <c r="J17" s="89">
        <f>'MONTHLY STATS'!$C$136*2</f>
        <v>488296</v>
      </c>
      <c r="K17" s="89">
        <f>'MONTHLY STATS'!$C$151*2</f>
        <v>670384</v>
      </c>
      <c r="L17" s="89">
        <f>'MONTHLY STATS'!$C$166*2</f>
        <v>78888</v>
      </c>
      <c r="M17" s="89">
        <f>'MONTHLY STATS'!$C$181*2</f>
        <v>637000</v>
      </c>
      <c r="N17" s="89">
        <f>'MONTHLY STATS'!$C$196*2</f>
        <v>130456</v>
      </c>
      <c r="O17" s="90">
        <f t="shared" si="1"/>
        <v>4626452</v>
      </c>
      <c r="P17" s="83"/>
    </row>
    <row r="18" spans="1:16" ht="15.75" x14ac:dyDescent="0.25">
      <c r="A18" s="88">
        <f>DATE(2024,3,1)</f>
        <v>45352</v>
      </c>
      <c r="B18" s="89">
        <f>'MONTHLY STATS'!$C$17*2</f>
        <v>419118</v>
      </c>
      <c r="C18" s="89">
        <f>'MONTHLY STATS'!$C$32*2</f>
        <v>215118</v>
      </c>
      <c r="D18" s="89">
        <f>'MONTHLY STATS'!$C$47*2</f>
        <v>128116</v>
      </c>
      <c r="E18" s="89">
        <f>'MONTHLY STATS'!$C$62*2</f>
        <v>650448</v>
      </c>
      <c r="F18" s="89">
        <f>'MONTHLY STATS'!$C$77*2</f>
        <v>411976</v>
      </c>
      <c r="G18" s="89">
        <f>'MONTHLY STATS'!$C$92*2</f>
        <v>203808</v>
      </c>
      <c r="H18" s="89">
        <f>'MONTHLY STATS'!$C$107*2</f>
        <v>485794</v>
      </c>
      <c r="I18" s="89">
        <f>'MONTHLY STATS'!$C$122*2</f>
        <v>422942</v>
      </c>
      <c r="J18" s="89">
        <f>'MONTHLY STATS'!$C$137*2</f>
        <v>546864</v>
      </c>
      <c r="K18" s="89">
        <f>'MONTHLY STATS'!$C$152*2</f>
        <v>715334</v>
      </c>
      <c r="L18" s="89">
        <f>'MONTHLY STATS'!$C$167*2</f>
        <v>90896</v>
      </c>
      <c r="M18" s="89">
        <f>'MONTHLY STATS'!$C$182*2</f>
        <v>703860</v>
      </c>
      <c r="N18" s="89">
        <f>'MONTHLY STATS'!$C$197*2</f>
        <v>138418</v>
      </c>
      <c r="O18" s="90">
        <f t="shared" si="1"/>
        <v>5132692</v>
      </c>
      <c r="P18" s="83"/>
    </row>
    <row r="19" spans="1:16" ht="15.75" x14ac:dyDescent="0.25">
      <c r="A19" s="88">
        <f>DATE(2024,4,1)</f>
        <v>45383</v>
      </c>
      <c r="B19" s="89">
        <f>'MONTHLY STATS'!$C$18*2</f>
        <v>355626</v>
      </c>
      <c r="C19" s="89">
        <f>'MONTHLY STATS'!$C$33*2</f>
        <v>181934</v>
      </c>
      <c r="D19" s="89">
        <f>'MONTHLY STATS'!$C$48*2</f>
        <v>110198</v>
      </c>
      <c r="E19" s="89">
        <f>'MONTHLY STATS'!$C$63*2</f>
        <v>563966</v>
      </c>
      <c r="F19" s="89">
        <f>'MONTHLY STATS'!$C$78*2</f>
        <v>329674</v>
      </c>
      <c r="G19" s="89">
        <f>'MONTHLY STATS'!$C$93*2</f>
        <v>194842</v>
      </c>
      <c r="H19" s="89">
        <f>'MONTHLY STATS'!$C$108*2</f>
        <v>442390</v>
      </c>
      <c r="I19" s="89">
        <f>'MONTHLY STATS'!$C$123*2</f>
        <v>379056</v>
      </c>
      <c r="J19" s="89">
        <f>'MONTHLY STATS'!$C$138*2</f>
        <v>469518</v>
      </c>
      <c r="K19" s="89">
        <f>'MONTHLY STATS'!$C$153*2</f>
        <v>663200</v>
      </c>
      <c r="L19" s="89">
        <f>'MONTHLY STATS'!$C$168*2</f>
        <v>77040</v>
      </c>
      <c r="M19" s="89">
        <f>'MONTHLY STATS'!$C$183*2</f>
        <v>628704</v>
      </c>
      <c r="N19" s="89">
        <f>'MONTHLY STATS'!$C$198*2</f>
        <v>121254</v>
      </c>
      <c r="O19" s="90">
        <f t="shared" si="1"/>
        <v>4517402</v>
      </c>
      <c r="P19" s="83"/>
    </row>
    <row r="20" spans="1:16" ht="15.75" x14ac:dyDescent="0.25">
      <c r="A20" s="88">
        <f>DATE(2024,5,1)</f>
        <v>45413</v>
      </c>
      <c r="B20" s="89">
        <f>'MONTHLY STATS'!$C$19*2</f>
        <v>383622</v>
      </c>
      <c r="C20" s="89">
        <f>'MONTHLY STATS'!$C$34*2</f>
        <v>192426</v>
      </c>
      <c r="D20" s="89">
        <f>'MONTHLY STATS'!$C$49*2</f>
        <v>113134</v>
      </c>
      <c r="E20" s="89">
        <f>'MONTHLY STATS'!$C$64*2</f>
        <v>622646</v>
      </c>
      <c r="F20" s="89">
        <f>'MONTHLY STATS'!$C$79*2</f>
        <v>370874</v>
      </c>
      <c r="G20" s="89">
        <f>'MONTHLY STATS'!$C$94*2</f>
        <v>186266</v>
      </c>
      <c r="H20" s="89">
        <f>'MONTHLY STATS'!$C$109*2</f>
        <v>457838</v>
      </c>
      <c r="I20" s="89">
        <f>'MONTHLY STATS'!$C$124*2</f>
        <v>390568</v>
      </c>
      <c r="J20" s="89">
        <f>'MONTHLY STATS'!$C$139*2</f>
        <v>506284</v>
      </c>
      <c r="K20" s="89">
        <f>'MONTHLY STATS'!$C$154*2</f>
        <v>681418</v>
      </c>
      <c r="L20" s="89">
        <f>'MONTHLY STATS'!$C$169*2</f>
        <v>82486</v>
      </c>
      <c r="M20" s="89">
        <f>'MONTHLY STATS'!$C$184*2</f>
        <v>647654</v>
      </c>
      <c r="N20" s="89">
        <f>'MONTHLY STATS'!$C$199*2</f>
        <v>133142</v>
      </c>
      <c r="O20" s="90">
        <f t="shared" si="1"/>
        <v>4768358</v>
      </c>
      <c r="P20" s="83"/>
    </row>
    <row r="21" spans="1:16" ht="15.75" x14ac:dyDescent="0.25">
      <c r="A21" s="88">
        <f>DATE(2024,6,1)</f>
        <v>45444</v>
      </c>
      <c r="B21" s="89">
        <f>'MONTHLY STATS'!$C$20*2</f>
        <v>367370</v>
      </c>
      <c r="C21" s="89">
        <f>'MONTHLY STATS'!$C$35*2</f>
        <v>174680</v>
      </c>
      <c r="D21" s="89">
        <f>'MONTHLY STATS'!$C$50*2</f>
        <v>107932</v>
      </c>
      <c r="E21" s="89">
        <f>'MONTHLY STATS'!$C$65*2</f>
        <v>618556</v>
      </c>
      <c r="F21" s="89">
        <f>'MONTHLY STATS'!$C$80*2</f>
        <v>331958</v>
      </c>
      <c r="G21" s="89">
        <f>'MONTHLY STATS'!$C$95*2</f>
        <v>178938</v>
      </c>
      <c r="H21" s="89">
        <f>'MONTHLY STATS'!$C$110*2</f>
        <v>461518</v>
      </c>
      <c r="I21" s="89">
        <f>'MONTHLY STATS'!$C$125*2</f>
        <v>362006</v>
      </c>
      <c r="J21" s="89">
        <f>'MONTHLY STATS'!$C$140*2</f>
        <v>488430</v>
      </c>
      <c r="K21" s="89">
        <f>'MONTHLY STATS'!$C$155*2</f>
        <v>663360</v>
      </c>
      <c r="L21" s="89">
        <f>'MONTHLY STATS'!$C$170*2</f>
        <v>79308</v>
      </c>
      <c r="M21" s="89">
        <f>'MONTHLY STATS'!$C$185*2</f>
        <v>625686</v>
      </c>
      <c r="N21" s="89">
        <f>'MONTHLY STATS'!$C$200*2</f>
        <v>126916</v>
      </c>
      <c r="O21" s="90">
        <f t="shared" si="1"/>
        <v>4586658</v>
      </c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2">SUM(B10:B21)</f>
        <v>4454704</v>
      </c>
      <c r="C23" s="90">
        <f t="shared" si="2"/>
        <v>2329314</v>
      </c>
      <c r="D23" s="90">
        <f t="shared" si="2"/>
        <v>1326158</v>
      </c>
      <c r="E23" s="90">
        <f t="shared" si="2"/>
        <v>7374366</v>
      </c>
      <c r="F23" s="90">
        <f t="shared" si="2"/>
        <v>4345522</v>
      </c>
      <c r="G23" s="90">
        <f>SUM(G10:G21)</f>
        <v>2118408</v>
      </c>
      <c r="H23" s="90">
        <f t="shared" si="2"/>
        <v>5444782</v>
      </c>
      <c r="I23" s="90">
        <f>SUM(I10:I21)</f>
        <v>4798648</v>
      </c>
      <c r="J23" s="90">
        <f t="shared" si="2"/>
        <v>5839846</v>
      </c>
      <c r="K23" s="90">
        <f>SUM(K10:K21)</f>
        <v>8173412</v>
      </c>
      <c r="L23" s="90">
        <f t="shared" si="2"/>
        <v>944208</v>
      </c>
      <c r="M23" s="90">
        <f t="shared" si="2"/>
        <v>7800520</v>
      </c>
      <c r="N23" s="90">
        <f t="shared" si="2"/>
        <v>1510406</v>
      </c>
      <c r="O23" s="90">
        <f t="shared" si="2"/>
        <v>56460294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STATS'!$K$24*0.21</f>
        <v>1719921.4872000001</v>
      </c>
      <c r="D31" s="89">
        <f>'MONTHLY STATS'!$K$39*0.21</f>
        <v>817934.35290000006</v>
      </c>
      <c r="E31" s="89">
        <f>'MONTHLY STATS'!$K$54*0.21</f>
        <v>4674535.0217999993</v>
      </c>
      <c r="F31" s="89">
        <f>'MONTHLY STATS'!$K$69*0.21</f>
        <v>3228902.0589000001</v>
      </c>
      <c r="G31" s="89">
        <f>'MONTHLY STATS'!$K$84*0.21</f>
        <v>1319580.5342999999</v>
      </c>
      <c r="H31" s="89">
        <f>'MONTHLY STATS'!$K$99*0.21</f>
        <v>2268943.7148000002</v>
      </c>
      <c r="I31" s="89">
        <f>'MONTHLY STATS'!$K$114*0.21</f>
        <v>2947257.6987000001</v>
      </c>
      <c r="J31" s="89">
        <f>'MONTHLY STATS'!$K$129*0.21</f>
        <v>3704387.8221</v>
      </c>
      <c r="K31" s="89">
        <f>'MONTHLY STATS'!$K$144*0.21</f>
        <v>4669398.8481000001</v>
      </c>
      <c r="L31" s="89">
        <f>'MONTHLY STATS'!$K$159*0.21</f>
        <v>667459.5858</v>
      </c>
      <c r="M31" s="89">
        <f>'MONTHLY STATS'!$K$174*0.21</f>
        <v>5390929.9101</v>
      </c>
      <c r="N31" s="89">
        <f>'MONTHLY STATS'!$K$189*0.21</f>
        <v>821402.96069999994</v>
      </c>
      <c r="O31" s="90">
        <f t="shared" ref="O31:O36" si="3">SUM(B31:N31)</f>
        <v>35376870.064199999</v>
      </c>
      <c r="P31" s="83"/>
    </row>
    <row r="32" spans="1:16" ht="15.75" x14ac:dyDescent="0.25">
      <c r="A32" s="88">
        <f>DATE(2023,8,1)</f>
        <v>45139</v>
      </c>
      <c r="B32" s="89">
        <f>'MONTHLY STATS'!$K$10*0.21</f>
        <v>2966696.7791999998</v>
      </c>
      <c r="C32" s="89">
        <f>'MONTHLY STATS'!$K$25*0.21</f>
        <v>1570446.5763000001</v>
      </c>
      <c r="D32" s="89">
        <f>'MONTHLY STATS'!$K$40*0.21</f>
        <v>789048.26909999992</v>
      </c>
      <c r="E32" s="89">
        <f>'MONTHLY STATS'!$K$55*0.21</f>
        <v>4190646.3227999997</v>
      </c>
      <c r="F32" s="89">
        <f>'MONTHLY STATS'!$K$70*0.21</f>
        <v>2955351.3128999998</v>
      </c>
      <c r="G32" s="89">
        <f>'MONTHLY STATS'!$K$85*0.21</f>
        <v>1258922.0027999999</v>
      </c>
      <c r="H32" s="89">
        <f>'MONTHLY STATS'!$K$100*0.21</f>
        <v>2283147.1698000003</v>
      </c>
      <c r="I32" s="89">
        <f>'MONTHLY STATS'!$K$115*0.21</f>
        <v>2743960.2875999999</v>
      </c>
      <c r="J32" s="89">
        <f>'MONTHLY STATS'!$K$130*0.21</f>
        <v>3431592.2823000001</v>
      </c>
      <c r="K32" s="89">
        <f>'MONTHLY STATS'!$K$145*0.21</f>
        <v>4328763.0539999995</v>
      </c>
      <c r="L32" s="89">
        <f>'MONTHLY STATS'!$K$160*0.21</f>
        <v>603333.93329999992</v>
      </c>
      <c r="M32" s="89">
        <f>'MONTHLY STATS'!$K$175*0.21</f>
        <v>4902681.9807000002</v>
      </c>
      <c r="N32" s="89">
        <f>'MONTHLY STATS'!$K$190*0.21</f>
        <v>811071.1287</v>
      </c>
      <c r="O32" s="90">
        <f t="shared" si="3"/>
        <v>32835661.0995</v>
      </c>
      <c r="P32" s="83"/>
    </row>
    <row r="33" spans="1:16" ht="15.75" x14ac:dyDescent="0.25">
      <c r="A33" s="88">
        <f>DATE(2023,9,1)</f>
        <v>45170</v>
      </c>
      <c r="B33" s="89">
        <f>'MONTHLY STATS'!$K$11*0.21</f>
        <v>2684662.0877999999</v>
      </c>
      <c r="C33" s="89">
        <f>'MONTHLY STATS'!$K$26*0.21</f>
        <v>1512998.6402999999</v>
      </c>
      <c r="D33" s="89">
        <f>'MONTHLY STATS'!$K$41*0.21</f>
        <v>844931.44259999995</v>
      </c>
      <c r="E33" s="89">
        <f>'MONTHLY STATS'!$K$56*0.21</f>
        <v>4303547.5833000001</v>
      </c>
      <c r="F33" s="89">
        <f>'MONTHLY STATS'!$K$71*0.21</f>
        <v>2904963.7407</v>
      </c>
      <c r="G33" s="89">
        <f>'MONTHLY STATS'!$K$86*0.21</f>
        <v>1096871.5023000001</v>
      </c>
      <c r="H33" s="89">
        <f>'MONTHLY STATS'!$K$101*0.21</f>
        <v>2467416.0587999998</v>
      </c>
      <c r="I33" s="89">
        <f>'MONTHLY STATS'!$K$116*0.21</f>
        <v>2863533.4391999999</v>
      </c>
      <c r="J33" s="89">
        <f>'MONTHLY STATS'!$K$131*0.21</f>
        <v>3539927.4372</v>
      </c>
      <c r="K33" s="89">
        <f>'MONTHLY STATS'!$K$146*0.21</f>
        <v>4523369.9385000002</v>
      </c>
      <c r="L33" s="89">
        <f>'MONTHLY STATS'!$K$161*0.21</f>
        <v>603992.21609999996</v>
      </c>
      <c r="M33" s="89">
        <f>'MONTHLY STATS'!$K$176*0.21</f>
        <v>5166807.4521000003</v>
      </c>
      <c r="N33" s="89">
        <f>'MONTHLY STATS'!$K$191*0.21</f>
        <v>785676.32849999995</v>
      </c>
      <c r="O33" s="90">
        <f t="shared" si="3"/>
        <v>33298697.867399994</v>
      </c>
      <c r="P33" s="83"/>
    </row>
    <row r="34" spans="1:16" ht="15.75" x14ac:dyDescent="0.25">
      <c r="A34" s="88">
        <f>DATE(2023,10,1)</f>
        <v>45200</v>
      </c>
      <c r="B34" s="89">
        <f>'MONTHLY STATS'!$K$12*0.21</f>
        <v>2701032.6566999997</v>
      </c>
      <c r="C34" s="89">
        <f>'MONTHLY STATS'!$K$27*0.21</f>
        <v>1371526.7223</v>
      </c>
      <c r="D34" s="89">
        <f>'MONTHLY STATS'!$K$42*0.21</f>
        <v>777349.62899999996</v>
      </c>
      <c r="E34" s="89">
        <f>'MONTHLY STATS'!$K$57*0.21</f>
        <v>4062515.5997999995</v>
      </c>
      <c r="F34" s="89">
        <f>'MONTHLY STATS'!$K$72*0.21</f>
        <v>2814623.5781999999</v>
      </c>
      <c r="G34" s="89">
        <f>'MONTHLY STATS'!$K$87*0.21</f>
        <v>1101098.6049000002</v>
      </c>
      <c r="H34" s="89">
        <f>'MONTHLY STATS'!$K$102*0.21</f>
        <v>2466193.7201999999</v>
      </c>
      <c r="I34" s="89">
        <f>'MONTHLY STATS'!$K$117*0.21</f>
        <v>2430768.3078000001</v>
      </c>
      <c r="J34" s="89">
        <f>'MONTHLY STATS'!$K$132*0.21</f>
        <v>3345843.1041000001</v>
      </c>
      <c r="K34" s="89">
        <f>'MONTHLY STATS'!$K$147*0.21</f>
        <v>4094721.8969999999</v>
      </c>
      <c r="L34" s="89">
        <f>'MONTHLY STATS'!$K$162*0.21</f>
        <v>648912.18629999994</v>
      </c>
      <c r="M34" s="89">
        <f>'MONTHLY STATS'!$K$177*0.21</f>
        <v>4966779.1592999995</v>
      </c>
      <c r="N34" s="89">
        <f>'MONTHLY STATS'!$K$192*0.21</f>
        <v>743898.00659999996</v>
      </c>
      <c r="O34" s="90">
        <f t="shared" si="3"/>
        <v>31525263.172199998</v>
      </c>
      <c r="P34" s="83"/>
    </row>
    <row r="35" spans="1:16" ht="15.75" x14ac:dyDescent="0.25">
      <c r="A35" s="88">
        <f>DATE(2023,11,1)</f>
        <v>45231</v>
      </c>
      <c r="B35" s="89">
        <f>'MONTHLY STATS'!$K$13*0.21</f>
        <v>2650326.1154999998</v>
      </c>
      <c r="C35" s="89">
        <f>'MONTHLY STATS'!$K$28*0.21</f>
        <v>1426649.6768999998</v>
      </c>
      <c r="D35" s="89">
        <f>'MONTHLY STATS'!$K$43*0.21</f>
        <v>752210.83349999995</v>
      </c>
      <c r="E35" s="89">
        <f>'MONTHLY STATS'!$K$58*0.21</f>
        <v>4139318.5617</v>
      </c>
      <c r="F35" s="89">
        <f>'MONTHLY STATS'!$K$73*0.21</f>
        <v>2664497.5496999999</v>
      </c>
      <c r="G35" s="89">
        <f>'MONTHLY STATS'!$K$88*0.21</f>
        <v>1095222.4668000001</v>
      </c>
      <c r="H35" s="89">
        <f>'MONTHLY STATS'!$K$103*0.21</f>
        <v>2433806.1908999998</v>
      </c>
      <c r="I35" s="89">
        <f>'MONTHLY STATS'!$K$118*0.21</f>
        <v>2523864.6467999998</v>
      </c>
      <c r="J35" s="89">
        <f>'MONTHLY STATS'!$K$133*0.21</f>
        <v>3087141.1641000002</v>
      </c>
      <c r="K35" s="89">
        <f>'MONTHLY STATS'!$K$148*0.21</f>
        <v>4242167.8067999994</v>
      </c>
      <c r="L35" s="89">
        <f>'MONTHLY STATS'!$K$163*0.21</f>
        <v>579577.9584</v>
      </c>
      <c r="M35" s="89">
        <f>'MONTHLY STATS'!$K$178*0.21</f>
        <v>4634944.6227000002</v>
      </c>
      <c r="N35" s="89">
        <f>'MONTHLY STATS'!$K$193*0.21</f>
        <v>765300.58919999993</v>
      </c>
      <c r="O35" s="90">
        <f t="shared" si="3"/>
        <v>30995028.183000002</v>
      </c>
      <c r="P35" s="83"/>
    </row>
    <row r="36" spans="1:16" ht="15.75" x14ac:dyDescent="0.25">
      <c r="A36" s="88">
        <f>DATE(2023,12,1)</f>
        <v>45261</v>
      </c>
      <c r="B36" s="89">
        <f>'MONTHLY STATS'!$K$14*0.21</f>
        <v>2897479.6179</v>
      </c>
      <c r="C36" s="89">
        <f>'MONTHLY STATS'!$K$29*0.21</f>
        <v>1639249.6091999998</v>
      </c>
      <c r="D36" s="89">
        <f>'MONTHLY STATS'!$K$44*0.21</f>
        <v>853822.77119999996</v>
      </c>
      <c r="E36" s="89">
        <f>'MONTHLY STATS'!$K$59*0.21</f>
        <v>4488511.4315999998</v>
      </c>
      <c r="F36" s="89">
        <f>'MONTHLY STATS'!$K$74*0.21</f>
        <v>3270009.0359999998</v>
      </c>
      <c r="G36" s="89">
        <f>'MONTHLY STATS'!$K$89*0.21</f>
        <v>1258609.1531999998</v>
      </c>
      <c r="H36" s="89">
        <f>'MONTHLY STATS'!$K$104*0.21</f>
        <v>2498392.8122999999</v>
      </c>
      <c r="I36" s="89">
        <f>'MONTHLY STATS'!$K$119*0.21</f>
        <v>2935601.6487000003</v>
      </c>
      <c r="J36" s="89">
        <f>'MONTHLY STATS'!$K$134*0.21</f>
        <v>3911567.7027000003</v>
      </c>
      <c r="K36" s="89">
        <f>'MONTHLY STATS'!$K$149*0.21</f>
        <v>4523552.733</v>
      </c>
      <c r="L36" s="89">
        <f>'MONTHLY STATS'!$K$164*0.21</f>
        <v>672575.88509999996</v>
      </c>
      <c r="M36" s="89">
        <f>'MONTHLY STATS'!$K$179*0.21</f>
        <v>5580697.6407000003</v>
      </c>
      <c r="N36" s="89">
        <f>'MONTHLY STATS'!$K$194*0.21</f>
        <v>959752.53359999997</v>
      </c>
      <c r="O36" s="90">
        <f t="shared" si="3"/>
        <v>35489822.575199999</v>
      </c>
      <c r="P36" s="83"/>
    </row>
    <row r="37" spans="1:16" ht="15.75" x14ac:dyDescent="0.25">
      <c r="A37" s="88">
        <f>DATE(2024,1,1)</f>
        <v>45292</v>
      </c>
      <c r="B37" s="89">
        <f>'MONTHLY STATS'!$K$15*0.21</f>
        <v>2601939.4001999996</v>
      </c>
      <c r="C37" s="89">
        <f>'MONTHLY STATS'!$K$30*0.21</f>
        <v>1261256.1968999999</v>
      </c>
      <c r="D37" s="89">
        <f>'MONTHLY STATS'!$K$45*0.21</f>
        <v>708949.48739999998</v>
      </c>
      <c r="E37" s="89">
        <f>'MONTHLY STATS'!$K$60*0.21</f>
        <v>3782160.0053999997</v>
      </c>
      <c r="F37" s="89">
        <f>'MONTHLY STATS'!$K$75*0.21</f>
        <v>2372742.3615000001</v>
      </c>
      <c r="G37" s="89">
        <f>'MONTHLY STATS'!$K$90*0.21</f>
        <v>1004280.8684999999</v>
      </c>
      <c r="H37" s="89">
        <f>'MONTHLY STATS'!$K$105*0.21</f>
        <v>1982892.4646999999</v>
      </c>
      <c r="I37" s="89">
        <f>'MONTHLY STATS'!$K$120*0.21</f>
        <v>2291055.8852999997</v>
      </c>
      <c r="J37" s="89">
        <f>'MONTHLY STATS'!$K$135*0.21</f>
        <v>2957384.2766999998</v>
      </c>
      <c r="K37" s="89">
        <f>'MONTHLY STATS'!$K$150*0.21</f>
        <v>3735999.9914999995</v>
      </c>
      <c r="L37" s="89">
        <f>'MONTHLY STATS'!$K$165*0.21</f>
        <v>465027.45030000003</v>
      </c>
      <c r="M37" s="89">
        <f>'MONTHLY STATS'!$K$180*0.21</f>
        <v>4526947.6832999997</v>
      </c>
      <c r="N37" s="89">
        <f>'MONTHLY STATS'!$K$195*0.21</f>
        <v>698851.04729999998</v>
      </c>
      <c r="O37" s="90">
        <f t="shared" ref="O37:O42" si="4">SUM(B37:N37)</f>
        <v>28389487.119000003</v>
      </c>
      <c r="P37" s="83"/>
    </row>
    <row r="38" spans="1:16" ht="15.75" x14ac:dyDescent="0.25">
      <c r="A38" s="88">
        <f>DATE(2024,2,1)</f>
        <v>45323</v>
      </c>
      <c r="B38" s="89">
        <f>'MONTHLY STATS'!$K$16*0.21</f>
        <v>2874438.1805999996</v>
      </c>
      <c r="C38" s="89">
        <f>'MONTHLY STATS'!$K$31*0.21</f>
        <v>1488105.108</v>
      </c>
      <c r="D38" s="89">
        <f>'MONTHLY STATS'!$K$46*0.21</f>
        <v>853007.07030000002</v>
      </c>
      <c r="E38" s="89">
        <f>'MONTHLY STATS'!$K$61*0.21</f>
        <v>4339097.3577000005</v>
      </c>
      <c r="F38" s="89">
        <f>'MONTHLY STATS'!$K$76*0.21</f>
        <v>2856430.9724999997</v>
      </c>
      <c r="G38" s="89">
        <f>'MONTHLY STATS'!$K$91*0.21</f>
        <v>1208032.3458</v>
      </c>
      <c r="H38" s="89">
        <f>'MONTHLY STATS'!$K$106*0.21</f>
        <v>2361305.9210999999</v>
      </c>
      <c r="I38" s="89">
        <f>'MONTHLY STATS'!$K$121*0.21</f>
        <v>2585680.3958999999</v>
      </c>
      <c r="J38" s="89">
        <f>'MONTHLY STATS'!$K$136*0.21</f>
        <v>3543978.0053999997</v>
      </c>
      <c r="K38" s="89">
        <f>'MONTHLY STATS'!$K$151*0.21</f>
        <v>4277385.9827999994</v>
      </c>
      <c r="L38" s="89">
        <f>'MONTHLY STATS'!$K$166*0.21</f>
        <v>654201.42059999995</v>
      </c>
      <c r="M38" s="89">
        <f>'MONTHLY STATS'!$K$181*0.21</f>
        <v>5026638.3866999997</v>
      </c>
      <c r="N38" s="89">
        <f>'MONTHLY STATS'!$K$196*0.21</f>
        <v>901193.49810000008</v>
      </c>
      <c r="O38" s="90">
        <f t="shared" si="4"/>
        <v>32969494.645500001</v>
      </c>
      <c r="P38" s="83"/>
    </row>
    <row r="39" spans="1:16" ht="15.75" x14ac:dyDescent="0.25">
      <c r="A39" s="88">
        <f>DATE(2024,3,1)</f>
        <v>45352</v>
      </c>
      <c r="B39" s="89">
        <f>'MONTHLY STATS'!$K$17*0.21</f>
        <v>3435349.5791999996</v>
      </c>
      <c r="C39" s="89">
        <f>'MONTHLY STATS'!$K$32*0.21</f>
        <v>1676615.8857</v>
      </c>
      <c r="D39" s="89">
        <f>'MONTHLY STATS'!$K$47*0.21</f>
        <v>986851.43759999983</v>
      </c>
      <c r="E39" s="89">
        <f>'MONTHLY STATS'!$K$62*0.21</f>
        <v>4543183.9424999999</v>
      </c>
      <c r="F39" s="89">
        <f>'MONTHLY STATS'!$K$77*0.21</f>
        <v>3227699.3657999998</v>
      </c>
      <c r="G39" s="89">
        <f>'MONTHLY STATS'!$K$92*0.21</f>
        <v>1435782.0770999999</v>
      </c>
      <c r="H39" s="89">
        <f>'MONTHLY STATS'!$K$107*0.21</f>
        <v>2634121.0874999999</v>
      </c>
      <c r="I39" s="89">
        <f>'MONTHLY STATS'!$K$122*0.21</f>
        <v>2915563.0622999999</v>
      </c>
      <c r="J39" s="89">
        <f>'MONTHLY STATS'!$K$137*0.21</f>
        <v>3954917.9522999995</v>
      </c>
      <c r="K39" s="89">
        <f>'MONTHLY STATS'!$K$152*0.21</f>
        <v>4813518.8997</v>
      </c>
      <c r="L39" s="89">
        <f>'MONTHLY STATS'!$K$167*0.21</f>
        <v>727920.22169999999</v>
      </c>
      <c r="M39" s="89">
        <f>'MONTHLY STATS'!$K$182*0.21</f>
        <v>5545162.8161999993</v>
      </c>
      <c r="N39" s="89">
        <f>'MONTHLY STATS'!$K$197*0.21</f>
        <v>934894.47659999994</v>
      </c>
      <c r="O39" s="90">
        <f t="shared" si="4"/>
        <v>36831580.804200001</v>
      </c>
      <c r="P39" s="83"/>
    </row>
    <row r="40" spans="1:16" ht="15.75" x14ac:dyDescent="0.25">
      <c r="A40" s="88">
        <f>DATE(2024,4,1)</f>
        <v>45383</v>
      </c>
      <c r="B40" s="89">
        <f>'MONTHLY STATS'!$K$18*0.21</f>
        <v>2919444.0512999999</v>
      </c>
      <c r="C40" s="89">
        <f>'MONTHLY STATS'!$K$33*0.21</f>
        <v>1541832.0266999998</v>
      </c>
      <c r="D40" s="89">
        <f>'MONTHLY STATS'!$K$48*0.21</f>
        <v>843843.03149999992</v>
      </c>
      <c r="E40" s="89">
        <f>'MONTHLY STATS'!$K$63*0.21</f>
        <v>4151399.4017999996</v>
      </c>
      <c r="F40" s="89">
        <f>'MONTHLY STATS'!$K$78*0.21</f>
        <v>2685035.2851</v>
      </c>
      <c r="G40" s="89">
        <f>'MONTHLY STATS'!$K$93*0.21</f>
        <v>1281601.0766999999</v>
      </c>
      <c r="H40" s="89">
        <f>'MONTHLY STATS'!$K$108*0.21</f>
        <v>2328528.5583000001</v>
      </c>
      <c r="I40" s="89">
        <f>'MONTHLY STATS'!$K$123*0.21</f>
        <v>2561691.8187000002</v>
      </c>
      <c r="J40" s="89">
        <f>'MONTHLY STATS'!$K$138*0.21</f>
        <v>3430942.4309999999</v>
      </c>
      <c r="K40" s="89">
        <f>'MONTHLY STATS'!$K$153*0.21</f>
        <v>4469381.6601</v>
      </c>
      <c r="L40" s="89">
        <f>'MONTHLY STATS'!$K$168*0.21</f>
        <v>617898.40769999998</v>
      </c>
      <c r="M40" s="89">
        <f>'MONTHLY STATS'!$K$183*0.21</f>
        <v>5068484.5742999995</v>
      </c>
      <c r="N40" s="89">
        <f>'MONTHLY STATS'!$K$198*0.21</f>
        <v>843782.57459999993</v>
      </c>
      <c r="O40" s="90">
        <f t="shared" si="4"/>
        <v>32743864.897799991</v>
      </c>
      <c r="P40" s="83"/>
    </row>
    <row r="41" spans="1:16" ht="15.75" x14ac:dyDescent="0.25">
      <c r="A41" s="88">
        <f>DATE(2024,5,1)</f>
        <v>45413</v>
      </c>
      <c r="B41" s="89">
        <f>'MONTHLY STATS'!$K$19*0.21</f>
        <v>3133106.8083000001</v>
      </c>
      <c r="C41" s="89">
        <f>'MONTHLY STATS'!$K$34*0.21</f>
        <v>1595524.5138000001</v>
      </c>
      <c r="D41" s="89">
        <f>'MONTHLY STATS'!$K$49*0.21</f>
        <v>864995.10509999993</v>
      </c>
      <c r="E41" s="89">
        <f>'MONTHLY STATS'!$K$64*0.21</f>
        <v>4464913.3262999998</v>
      </c>
      <c r="F41" s="89">
        <f>'MONTHLY STATS'!$K$79*0.21</f>
        <v>2922335.5181999998</v>
      </c>
      <c r="G41" s="89">
        <f>'MONTHLY STATS'!$K$94*0.21</f>
        <v>1249655.3558999998</v>
      </c>
      <c r="H41" s="89">
        <f>'MONTHLY STATS'!$K$109*0.21</f>
        <v>2497594.6737000002</v>
      </c>
      <c r="I41" s="89">
        <f>'MONTHLY STATS'!$K$124*0.21</f>
        <v>2555960.7653999999</v>
      </c>
      <c r="J41" s="89">
        <f>'MONTHLY STATS'!$K$139*0.21</f>
        <v>3595324.4564999994</v>
      </c>
      <c r="K41" s="89">
        <f>'MONTHLY STATS'!$K$154*0.21</f>
        <v>4510785.3839999996</v>
      </c>
      <c r="L41" s="89">
        <f>'MONTHLY STATS'!$K$169*0.21</f>
        <v>662124.76260000002</v>
      </c>
      <c r="M41" s="89">
        <f>'MONTHLY STATS'!$K$184*0.21</f>
        <v>5306090.2860000003</v>
      </c>
      <c r="N41" s="89">
        <f>'MONTHLY STATS'!$K$199*0.21</f>
        <v>868613.3652</v>
      </c>
      <c r="O41" s="90">
        <f t="shared" si="4"/>
        <v>34227024.320999995</v>
      </c>
      <c r="P41" s="83"/>
    </row>
    <row r="42" spans="1:16" ht="15.75" x14ac:dyDescent="0.25">
      <c r="A42" s="88">
        <f>DATE(2024,6,1)</f>
        <v>45444</v>
      </c>
      <c r="B42" s="89">
        <f>'MONTHLY STATS'!$K$20*0.21</f>
        <v>2970505.4189999998</v>
      </c>
      <c r="C42" s="89">
        <f>'MONTHLY STATS'!$K$35*0.21</f>
        <v>1353706.2608999999</v>
      </c>
      <c r="D42" s="89">
        <f>'MONTHLY STATS'!$K$50*0.21</f>
        <v>807402.92850000004</v>
      </c>
      <c r="E42" s="89">
        <f>'MONTHLY STATS'!$K$65*0.21</f>
        <v>4337587.2225000001</v>
      </c>
      <c r="F42" s="89">
        <f>'MONTHLY STATS'!$K$80*0.21</f>
        <v>2637095.6828999999</v>
      </c>
      <c r="G42" s="89">
        <f>'MONTHLY STATS'!$K$95*0.21</f>
        <v>1244812.3652999999</v>
      </c>
      <c r="H42" s="89">
        <f>'MONTHLY STATS'!$K$110*0.21</f>
        <v>2342034.6998999999</v>
      </c>
      <c r="I42" s="89">
        <f>'MONTHLY STATS'!$K$125*0.21</f>
        <v>2308627.6352999997</v>
      </c>
      <c r="J42" s="89">
        <f>'MONTHLY STATS'!$K$140*0.21</f>
        <v>3431062.4964000001</v>
      </c>
      <c r="K42" s="89">
        <f>'MONTHLY STATS'!$K$155*0.21</f>
        <v>4404161.3342999993</v>
      </c>
      <c r="L42" s="89">
        <f>'MONTHLY STATS'!$K$170*0.21</f>
        <v>592816.24709999992</v>
      </c>
      <c r="M42" s="89">
        <f>'MONTHLY STATS'!$K$185*0.21</f>
        <v>5210495.7302999999</v>
      </c>
      <c r="N42" s="89">
        <f>'MONTHLY STATS'!$K$200*0.21</f>
        <v>854706.31680000003</v>
      </c>
      <c r="O42" s="90">
        <f t="shared" si="4"/>
        <v>32495014.339199997</v>
      </c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5">SUM(B31:B42)</f>
        <v>34981196.764499992</v>
      </c>
      <c r="C44" s="90">
        <f t="shared" si="5"/>
        <v>18157832.704199996</v>
      </c>
      <c r="D44" s="90">
        <f t="shared" si="5"/>
        <v>9900346.3586999997</v>
      </c>
      <c r="E44" s="90">
        <f t="shared" si="5"/>
        <v>51477415.777199998</v>
      </c>
      <c r="F44" s="90">
        <f t="shared" si="5"/>
        <v>34539686.462399997</v>
      </c>
      <c r="G44" s="90">
        <f t="shared" si="5"/>
        <v>14554468.353599999</v>
      </c>
      <c r="H44" s="90">
        <f t="shared" si="5"/>
        <v>28564377.072000001</v>
      </c>
      <c r="I44" s="90">
        <f>SUM(I31:I42)</f>
        <v>31663565.591700003</v>
      </c>
      <c r="J44" s="90">
        <f t="shared" si="5"/>
        <v>41934069.130800001</v>
      </c>
      <c r="K44" s="90">
        <f>SUM(K31:K42)</f>
        <v>52593207.529799998</v>
      </c>
      <c r="L44" s="90">
        <f t="shared" si="5"/>
        <v>7495840.2750000004</v>
      </c>
      <c r="M44" s="90">
        <f t="shared" si="5"/>
        <v>61326660.242399991</v>
      </c>
      <c r="N44" s="90">
        <f t="shared" si="5"/>
        <v>9989142.8258999996</v>
      </c>
      <c r="O44" s="90">
        <f t="shared" si="5"/>
        <v>397177809.08819997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09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 t="shared" ref="F9:F14" si="0">(+D9-E9)/E9</f>
        <v>-8.6604921297017204E-2</v>
      </c>
      <c r="G9" s="215">
        <f t="shared" ref="G9:G14" si="1">D9/C9</f>
        <v>0.16084298140916145</v>
      </c>
      <c r="H9" s="123"/>
    </row>
    <row r="10" spans="1:8" ht="15.75" x14ac:dyDescent="0.25">
      <c r="A10" s="130"/>
      <c r="B10" s="131">
        <f>DATE(2023,8,1)</f>
        <v>45139</v>
      </c>
      <c r="C10" s="204">
        <v>15153020</v>
      </c>
      <c r="D10" s="204">
        <v>2981923.5</v>
      </c>
      <c r="E10" s="204">
        <v>3237681.85</v>
      </c>
      <c r="F10" s="132">
        <f t="shared" si="0"/>
        <v>-7.8994281047101669E-2</v>
      </c>
      <c r="G10" s="215">
        <f t="shared" si="1"/>
        <v>0.19678740607482864</v>
      </c>
      <c r="H10" s="123"/>
    </row>
    <row r="11" spans="1:8" ht="15.75" x14ac:dyDescent="0.25">
      <c r="A11" s="130"/>
      <c r="B11" s="131">
        <f>DATE(2023,9,1)</f>
        <v>45170</v>
      </c>
      <c r="C11" s="204">
        <v>15570607</v>
      </c>
      <c r="D11" s="204">
        <v>1895240.5</v>
      </c>
      <c r="E11" s="204">
        <v>2018642</v>
      </c>
      <c r="F11" s="132">
        <f t="shared" si="0"/>
        <v>-6.1130948429686888E-2</v>
      </c>
      <c r="G11" s="215">
        <f t="shared" si="1"/>
        <v>0.12171911473971439</v>
      </c>
      <c r="H11" s="123"/>
    </row>
    <row r="12" spans="1:8" ht="15.75" x14ac:dyDescent="0.25">
      <c r="A12" s="130"/>
      <c r="B12" s="131">
        <f>DATE(2023,10,1)</f>
        <v>45200</v>
      </c>
      <c r="C12" s="204">
        <v>16463924</v>
      </c>
      <c r="D12" s="204">
        <v>2575274</v>
      </c>
      <c r="E12" s="204">
        <v>2709321</v>
      </c>
      <c r="F12" s="132">
        <f t="shared" si="0"/>
        <v>-4.9476234082266368E-2</v>
      </c>
      <c r="G12" s="215">
        <f t="shared" si="1"/>
        <v>0.15641921087585195</v>
      </c>
      <c r="H12" s="123"/>
    </row>
    <row r="13" spans="1:8" ht="15.75" x14ac:dyDescent="0.25">
      <c r="A13" s="130"/>
      <c r="B13" s="131">
        <f>DATE(2023,11,1)</f>
        <v>45231</v>
      </c>
      <c r="C13" s="204">
        <v>14441930</v>
      </c>
      <c r="D13" s="204">
        <v>1924101</v>
      </c>
      <c r="E13" s="204">
        <v>2936554</v>
      </c>
      <c r="F13" s="132">
        <f t="shared" si="0"/>
        <v>-0.34477588356965339</v>
      </c>
      <c r="G13" s="215">
        <f t="shared" si="1"/>
        <v>0.13323018460828989</v>
      </c>
      <c r="H13" s="123"/>
    </row>
    <row r="14" spans="1:8" ht="15.75" x14ac:dyDescent="0.25">
      <c r="A14" s="130"/>
      <c r="B14" s="131">
        <f>DATE(2023,12,1)</f>
        <v>45261</v>
      </c>
      <c r="C14" s="204">
        <v>16189391</v>
      </c>
      <c r="D14" s="204">
        <v>2377192</v>
      </c>
      <c r="E14" s="204">
        <v>2019034</v>
      </c>
      <c r="F14" s="132">
        <f t="shared" si="0"/>
        <v>0.17739077202266035</v>
      </c>
      <c r="G14" s="215">
        <f t="shared" si="1"/>
        <v>0.14683640663197275</v>
      </c>
      <c r="H14" s="123"/>
    </row>
    <row r="15" spans="1:8" ht="15.75" x14ac:dyDescent="0.25">
      <c r="A15" s="130"/>
      <c r="B15" s="131">
        <f>DATE(2024,1,1)</f>
        <v>45292</v>
      </c>
      <c r="C15" s="204">
        <v>15361915</v>
      </c>
      <c r="D15" s="204">
        <v>2557444</v>
      </c>
      <c r="E15" s="204">
        <v>3086761.5</v>
      </c>
      <c r="F15" s="132">
        <f t="shared" ref="F15:F20" si="2">(+D15-E15)/E15</f>
        <v>-0.17147988271850612</v>
      </c>
      <c r="G15" s="215">
        <f t="shared" ref="G15:G20" si="3">D15/C15</f>
        <v>0.16647950467112987</v>
      </c>
      <c r="H15" s="123"/>
    </row>
    <row r="16" spans="1:8" ht="15.75" x14ac:dyDescent="0.25">
      <c r="A16" s="130"/>
      <c r="B16" s="131">
        <f>DATE(2024,2,1)</f>
        <v>45323</v>
      </c>
      <c r="C16" s="204">
        <v>14656454</v>
      </c>
      <c r="D16" s="204">
        <v>1928252</v>
      </c>
      <c r="E16" s="204">
        <v>2473094.5</v>
      </c>
      <c r="F16" s="132">
        <f t="shared" si="2"/>
        <v>-0.22030799874408358</v>
      </c>
      <c r="G16" s="215">
        <f t="shared" si="3"/>
        <v>0.1315633372164918</v>
      </c>
      <c r="H16" s="123"/>
    </row>
    <row r="17" spans="1:8" ht="15.75" x14ac:dyDescent="0.25">
      <c r="A17" s="130"/>
      <c r="B17" s="131">
        <f>DATE(2024,3,1)</f>
        <v>45352</v>
      </c>
      <c r="C17" s="204">
        <v>16662090</v>
      </c>
      <c r="D17" s="204">
        <v>3073230</v>
      </c>
      <c r="E17" s="204">
        <v>2339779</v>
      </c>
      <c r="F17" s="132">
        <f t="shared" si="2"/>
        <v>0.31347020380984703</v>
      </c>
      <c r="G17" s="215">
        <f t="shared" si="3"/>
        <v>0.18444444844554314</v>
      </c>
      <c r="H17" s="123"/>
    </row>
    <row r="18" spans="1:8" ht="15.75" x14ac:dyDescent="0.25">
      <c r="A18" s="130"/>
      <c r="B18" s="131">
        <f>DATE(2024,4,1)</f>
        <v>45383</v>
      </c>
      <c r="C18" s="204">
        <v>14239943</v>
      </c>
      <c r="D18" s="204">
        <v>2535724</v>
      </c>
      <c r="E18" s="204">
        <v>2718840.5</v>
      </c>
      <c r="F18" s="132">
        <f t="shared" si="2"/>
        <v>-6.7350953467112173E-2</v>
      </c>
      <c r="G18" s="215">
        <f t="shared" si="3"/>
        <v>0.17807121840305118</v>
      </c>
      <c r="H18" s="123"/>
    </row>
    <row r="19" spans="1:8" ht="15.75" x14ac:dyDescent="0.25">
      <c r="A19" s="130"/>
      <c r="B19" s="131">
        <f>DATE(2024,5,1)</f>
        <v>45413</v>
      </c>
      <c r="C19" s="204">
        <v>15412971</v>
      </c>
      <c r="D19" s="204">
        <v>2459890</v>
      </c>
      <c r="E19" s="204">
        <v>2110455</v>
      </c>
      <c r="F19" s="132">
        <f t="shared" si="2"/>
        <v>0.16557330054419545</v>
      </c>
      <c r="G19" s="215">
        <f t="shared" si="3"/>
        <v>0.1595986912581617</v>
      </c>
      <c r="H19" s="123"/>
    </row>
    <row r="20" spans="1:8" ht="15.75" x14ac:dyDescent="0.25">
      <c r="A20" s="130"/>
      <c r="B20" s="131">
        <f>DATE(2024,6,1)</f>
        <v>45444</v>
      </c>
      <c r="C20" s="204">
        <v>13920626</v>
      </c>
      <c r="D20" s="204">
        <v>2388575</v>
      </c>
      <c r="E20" s="204">
        <v>1827884.5</v>
      </c>
      <c r="F20" s="132">
        <f t="shared" si="2"/>
        <v>0.30674284945246816</v>
      </c>
      <c r="G20" s="215">
        <f t="shared" si="3"/>
        <v>0.17158531520062387</v>
      </c>
      <c r="H20" s="123"/>
    </row>
    <row r="21" spans="1:8" ht="15.75" thickBot="1" x14ac:dyDescent="0.25">
      <c r="A21" s="133"/>
      <c r="B21" s="134"/>
      <c r="C21" s="204"/>
      <c r="D21" s="204"/>
      <c r="E21" s="204"/>
      <c r="F21" s="132"/>
      <c r="G21" s="215"/>
      <c r="H21" s="123"/>
    </row>
    <row r="22" spans="1:8" ht="17.25" thickTop="1" thickBot="1" x14ac:dyDescent="0.3">
      <c r="A22" s="135" t="s">
        <v>14</v>
      </c>
      <c r="B22" s="136"/>
      <c r="C22" s="201">
        <f>SUM(C9:C21)</f>
        <v>185213249</v>
      </c>
      <c r="D22" s="201">
        <f>SUM(D9:D21)</f>
        <v>29453755.5</v>
      </c>
      <c r="E22" s="201">
        <f>SUM(E9:E21)</f>
        <v>30496357.850000001</v>
      </c>
      <c r="F22" s="137">
        <f>(+D22-E22)/E22</f>
        <v>-3.418776613024304E-2</v>
      </c>
      <c r="G22" s="212">
        <f>D22/C22</f>
        <v>0.15902618014114098</v>
      </c>
      <c r="H22" s="123"/>
    </row>
    <row r="23" spans="1:8" ht="15.75" customHeight="1" thickTop="1" x14ac:dyDescent="0.25">
      <c r="A23" s="138"/>
      <c r="B23" s="139"/>
      <c r="C23" s="205"/>
      <c r="D23" s="205"/>
      <c r="E23" s="205"/>
      <c r="F23" s="140"/>
      <c r="G23" s="216"/>
      <c r="H23" s="123"/>
    </row>
    <row r="24" spans="1:8" ht="15.75" x14ac:dyDescent="0.25">
      <c r="A24" s="19" t="s">
        <v>15</v>
      </c>
      <c r="B24" s="131">
        <f>DATE(2023,7,1)</f>
        <v>45108</v>
      </c>
      <c r="C24" s="204">
        <v>2471937</v>
      </c>
      <c r="D24" s="204">
        <v>614728</v>
      </c>
      <c r="E24" s="204">
        <v>637839.5</v>
      </c>
      <c r="F24" s="132">
        <f t="shared" ref="F24:F29" si="4">(+D24-E24)/E24</f>
        <v>-3.62340369324885E-2</v>
      </c>
      <c r="G24" s="215">
        <f t="shared" ref="G24:G29" si="5">D24/C24</f>
        <v>0.24868271319212423</v>
      </c>
      <c r="H24" s="123"/>
    </row>
    <row r="25" spans="1:8" ht="15.75" x14ac:dyDescent="0.25">
      <c r="A25" s="19"/>
      <c r="B25" s="131">
        <f>DATE(2023,8,1)</f>
        <v>45139</v>
      </c>
      <c r="C25" s="204">
        <v>2248291</v>
      </c>
      <c r="D25" s="204">
        <v>388628</v>
      </c>
      <c r="E25" s="204">
        <v>695761.5</v>
      </c>
      <c r="F25" s="132">
        <f t="shared" si="4"/>
        <v>-0.44143503197575606</v>
      </c>
      <c r="G25" s="215">
        <f t="shared" si="5"/>
        <v>0.17285484841597462</v>
      </c>
      <c r="H25" s="123"/>
    </row>
    <row r="26" spans="1:8" ht="15.75" x14ac:dyDescent="0.25">
      <c r="A26" s="19"/>
      <c r="B26" s="131">
        <f>DATE(2023,9,1)</f>
        <v>45170</v>
      </c>
      <c r="C26" s="204">
        <v>2515180</v>
      </c>
      <c r="D26" s="204">
        <v>596038.5</v>
      </c>
      <c r="E26" s="204">
        <v>780368</v>
      </c>
      <c r="F26" s="132">
        <f t="shared" si="4"/>
        <v>-0.23620842986898488</v>
      </c>
      <c r="G26" s="215">
        <f t="shared" si="5"/>
        <v>0.2369764788206013</v>
      </c>
      <c r="H26" s="123"/>
    </row>
    <row r="27" spans="1:8" ht="15.75" x14ac:dyDescent="0.25">
      <c r="A27" s="19"/>
      <c r="B27" s="131">
        <f>DATE(2023,10,1)</f>
        <v>45200</v>
      </c>
      <c r="C27" s="204">
        <v>2462749</v>
      </c>
      <c r="D27" s="204">
        <v>457507</v>
      </c>
      <c r="E27" s="204">
        <v>868243</v>
      </c>
      <c r="F27" s="132">
        <f t="shared" si="4"/>
        <v>-0.47306572008066866</v>
      </c>
      <c r="G27" s="215">
        <f t="shared" si="5"/>
        <v>0.18577086012419455</v>
      </c>
      <c r="H27" s="123"/>
    </row>
    <row r="28" spans="1:8" ht="15.75" x14ac:dyDescent="0.25">
      <c r="A28" s="19"/>
      <c r="B28" s="131">
        <f>DATE(2023,11,1)</f>
        <v>45231</v>
      </c>
      <c r="C28" s="204">
        <v>2333327</v>
      </c>
      <c r="D28" s="204">
        <v>573968</v>
      </c>
      <c r="E28" s="204">
        <v>714136.5</v>
      </c>
      <c r="F28" s="132">
        <f t="shared" si="4"/>
        <v>-0.19627690224487895</v>
      </c>
      <c r="G28" s="215">
        <f t="shared" si="5"/>
        <v>0.24598695339315921</v>
      </c>
      <c r="H28" s="123"/>
    </row>
    <row r="29" spans="1:8" ht="15.75" x14ac:dyDescent="0.25">
      <c r="A29" s="19"/>
      <c r="B29" s="131">
        <f>DATE(2023,12,1)</f>
        <v>45261</v>
      </c>
      <c r="C29" s="204">
        <v>2421990</v>
      </c>
      <c r="D29" s="204">
        <v>676389.5</v>
      </c>
      <c r="E29" s="204">
        <v>736054</v>
      </c>
      <c r="F29" s="132">
        <f t="shared" si="4"/>
        <v>-8.1059949405885984E-2</v>
      </c>
      <c r="G29" s="215">
        <f t="shared" si="5"/>
        <v>0.27927014562405295</v>
      </c>
      <c r="H29" s="123"/>
    </row>
    <row r="30" spans="1:8" ht="15.75" x14ac:dyDescent="0.25">
      <c r="A30" s="19"/>
      <c r="B30" s="131">
        <f>DATE(2024,1,1)</f>
        <v>45292</v>
      </c>
      <c r="C30" s="204">
        <v>2145869</v>
      </c>
      <c r="D30" s="204">
        <v>621740</v>
      </c>
      <c r="E30" s="204">
        <v>620241</v>
      </c>
      <c r="F30" s="132">
        <f t="shared" ref="F30:F35" si="6">(+D30-E30)/E30</f>
        <v>2.4168025009633351E-3</v>
      </c>
      <c r="G30" s="215">
        <f t="shared" ref="G30:G35" si="7">D30/C30</f>
        <v>0.28973809678037193</v>
      </c>
      <c r="H30" s="123"/>
    </row>
    <row r="31" spans="1:8" ht="15.75" x14ac:dyDescent="0.25">
      <c r="A31" s="19"/>
      <c r="B31" s="131">
        <f>DATE(2024,2,1)</f>
        <v>45323</v>
      </c>
      <c r="C31" s="204">
        <v>2278925</v>
      </c>
      <c r="D31" s="204">
        <v>529666</v>
      </c>
      <c r="E31" s="204">
        <v>564375.5</v>
      </c>
      <c r="F31" s="132">
        <f t="shared" si="6"/>
        <v>-6.1500720708110114E-2</v>
      </c>
      <c r="G31" s="215">
        <f t="shared" si="7"/>
        <v>0.23241923275228452</v>
      </c>
      <c r="H31" s="123"/>
    </row>
    <row r="32" spans="1:8" ht="15.75" x14ac:dyDescent="0.25">
      <c r="A32" s="19"/>
      <c r="B32" s="131">
        <f>DATE(2024,3,1)</f>
        <v>45352</v>
      </c>
      <c r="C32" s="204">
        <v>2741615</v>
      </c>
      <c r="D32" s="204">
        <v>724612.5</v>
      </c>
      <c r="E32" s="204">
        <v>903835</v>
      </c>
      <c r="F32" s="132">
        <f t="shared" si="6"/>
        <v>-0.19829117040167729</v>
      </c>
      <c r="G32" s="215">
        <f t="shared" si="7"/>
        <v>0.26430133333819666</v>
      </c>
      <c r="H32" s="123"/>
    </row>
    <row r="33" spans="1:8" ht="15.75" x14ac:dyDescent="0.25">
      <c r="A33" s="19"/>
      <c r="B33" s="131">
        <f>DATE(2024,4,1)</f>
        <v>45383</v>
      </c>
      <c r="C33" s="204">
        <v>2267682</v>
      </c>
      <c r="D33" s="204">
        <v>732887</v>
      </c>
      <c r="E33" s="204">
        <v>724571</v>
      </c>
      <c r="F33" s="132">
        <f t="shared" si="6"/>
        <v>1.1477136126066321E-2</v>
      </c>
      <c r="G33" s="215">
        <f t="shared" si="7"/>
        <v>0.32318773090759639</v>
      </c>
      <c r="H33" s="123"/>
    </row>
    <row r="34" spans="1:8" ht="15.75" x14ac:dyDescent="0.25">
      <c r="A34" s="19"/>
      <c r="B34" s="131">
        <f>DATE(2024,5,1)</f>
        <v>45413</v>
      </c>
      <c r="C34" s="204">
        <v>2338712</v>
      </c>
      <c r="D34" s="204">
        <v>762443</v>
      </c>
      <c r="E34" s="204">
        <v>625242</v>
      </c>
      <c r="F34" s="132">
        <f t="shared" si="6"/>
        <v>0.21943663413526282</v>
      </c>
      <c r="G34" s="215">
        <f t="shared" si="7"/>
        <v>0.32600978658338436</v>
      </c>
      <c r="H34" s="123"/>
    </row>
    <row r="35" spans="1:8" ht="15.75" x14ac:dyDescent="0.25">
      <c r="A35" s="19"/>
      <c r="B35" s="131">
        <f>DATE(2024,6,1)</f>
        <v>45444</v>
      </c>
      <c r="C35" s="204">
        <v>1990843</v>
      </c>
      <c r="D35" s="204">
        <v>643249</v>
      </c>
      <c r="E35" s="204">
        <v>616880</v>
      </c>
      <c r="F35" s="132">
        <f t="shared" si="6"/>
        <v>4.2745752820645834E-2</v>
      </c>
      <c r="G35" s="215">
        <f t="shared" si="7"/>
        <v>0.3231038308897286</v>
      </c>
      <c r="H35" s="123"/>
    </row>
    <row r="36" spans="1:8" ht="15.75" thickBot="1" x14ac:dyDescent="0.25">
      <c r="A36" s="133"/>
      <c r="B36" s="131"/>
      <c r="C36" s="204"/>
      <c r="D36" s="204"/>
      <c r="E36" s="204"/>
      <c r="F36" s="132"/>
      <c r="G36" s="215"/>
      <c r="H36" s="123"/>
    </row>
    <row r="37" spans="1:8" ht="17.25" thickTop="1" thickBot="1" x14ac:dyDescent="0.3">
      <c r="A37" s="135" t="s">
        <v>14</v>
      </c>
      <c r="B37" s="136"/>
      <c r="C37" s="201">
        <f>SUM(C24:C36)</f>
        <v>28217120</v>
      </c>
      <c r="D37" s="201">
        <f>SUM(D24:D36)</f>
        <v>7321856.5</v>
      </c>
      <c r="E37" s="201">
        <f>SUM(E24:E36)</f>
        <v>8487547</v>
      </c>
      <c r="F37" s="137">
        <f>(+D37-E37)/E37</f>
        <v>-0.13734127186571102</v>
      </c>
      <c r="G37" s="212">
        <f>D37/C37</f>
        <v>0.25948277145222476</v>
      </c>
      <c r="H37" s="123"/>
    </row>
    <row r="38" spans="1:8" ht="15.75" customHeight="1" thickTop="1" x14ac:dyDescent="0.25">
      <c r="A38" s="255"/>
      <c r="B38" s="139"/>
      <c r="C38" s="205"/>
      <c r="D38" s="205"/>
      <c r="E38" s="205"/>
      <c r="F38" s="140"/>
      <c r="G38" s="219"/>
      <c r="H38" s="123"/>
    </row>
    <row r="39" spans="1:8" ht="15.75" x14ac:dyDescent="0.25">
      <c r="A39" s="19" t="s">
        <v>62</v>
      </c>
      <c r="B39" s="131">
        <f>DATE(2023,7,1)</f>
        <v>45108</v>
      </c>
      <c r="C39" s="204">
        <v>1300276</v>
      </c>
      <c r="D39" s="204">
        <v>166322.5</v>
      </c>
      <c r="E39" s="204">
        <v>249087.5</v>
      </c>
      <c r="F39" s="132">
        <f t="shared" ref="F39:F44" si="8">(+D39-E39)/E39</f>
        <v>-0.33227279570432078</v>
      </c>
      <c r="G39" s="215">
        <f t="shared" ref="G39:G44" si="9">D39/C39</f>
        <v>0.12791322765320592</v>
      </c>
      <c r="H39" s="123"/>
    </row>
    <row r="40" spans="1:8" ht="15.75" x14ac:dyDescent="0.25">
      <c r="A40" s="19"/>
      <c r="B40" s="131">
        <f>DATE(2023,8,1)</f>
        <v>45139</v>
      </c>
      <c r="C40" s="204">
        <v>1380793</v>
      </c>
      <c r="D40" s="204">
        <v>264487</v>
      </c>
      <c r="E40" s="204">
        <v>272495.5</v>
      </c>
      <c r="F40" s="132">
        <f t="shared" si="8"/>
        <v>-2.9389476156486988E-2</v>
      </c>
      <c r="G40" s="215">
        <f t="shared" si="9"/>
        <v>0.19154717615167516</v>
      </c>
      <c r="H40" s="123"/>
    </row>
    <row r="41" spans="1:8" ht="15.75" x14ac:dyDescent="0.25">
      <c r="A41" s="19"/>
      <c r="B41" s="131">
        <f>DATE(2023,9,1)</f>
        <v>45170</v>
      </c>
      <c r="C41" s="204">
        <v>1331049</v>
      </c>
      <c r="D41" s="204">
        <v>353812</v>
      </c>
      <c r="E41" s="204">
        <v>310850</v>
      </c>
      <c r="F41" s="132">
        <f t="shared" si="8"/>
        <v>0.13820813897378156</v>
      </c>
      <c r="G41" s="215">
        <f t="shared" si="9"/>
        <v>0.26581440653199095</v>
      </c>
      <c r="H41" s="123"/>
    </row>
    <row r="42" spans="1:8" ht="15.75" x14ac:dyDescent="0.25">
      <c r="A42" s="19"/>
      <c r="B42" s="131">
        <f>DATE(2023,10,1)</f>
        <v>45200</v>
      </c>
      <c r="C42" s="204">
        <v>1247669</v>
      </c>
      <c r="D42" s="204">
        <v>292380</v>
      </c>
      <c r="E42" s="204">
        <v>204149.5</v>
      </c>
      <c r="F42" s="132">
        <f t="shared" si="8"/>
        <v>0.43218572663660698</v>
      </c>
      <c r="G42" s="215">
        <f t="shared" si="9"/>
        <v>0.23434099909511258</v>
      </c>
      <c r="H42" s="123"/>
    </row>
    <row r="43" spans="1:8" ht="15.75" x14ac:dyDescent="0.25">
      <c r="A43" s="19"/>
      <c r="B43" s="131">
        <f>DATE(2023,11,1)</f>
        <v>45231</v>
      </c>
      <c r="C43" s="204">
        <v>1223816</v>
      </c>
      <c r="D43" s="204">
        <v>305629</v>
      </c>
      <c r="E43" s="204">
        <v>292609</v>
      </c>
      <c r="F43" s="132">
        <f t="shared" si="8"/>
        <v>4.4496239008369527E-2</v>
      </c>
      <c r="G43" s="215">
        <f t="shared" si="9"/>
        <v>0.24973443720297822</v>
      </c>
      <c r="H43" s="123"/>
    </row>
    <row r="44" spans="1:8" ht="15.75" x14ac:dyDescent="0.25">
      <c r="A44" s="19"/>
      <c r="B44" s="131">
        <f>DATE(2023,12,1)</f>
        <v>45261</v>
      </c>
      <c r="C44" s="204">
        <v>1442415</v>
      </c>
      <c r="D44" s="204">
        <v>320450.5</v>
      </c>
      <c r="E44" s="204">
        <v>300188</v>
      </c>
      <c r="F44" s="132">
        <f t="shared" si="8"/>
        <v>6.7499367063306989E-2</v>
      </c>
      <c r="G44" s="215">
        <f t="shared" si="9"/>
        <v>0.22216248444449066</v>
      </c>
      <c r="H44" s="123"/>
    </row>
    <row r="45" spans="1:8" ht="15.75" x14ac:dyDescent="0.25">
      <c r="A45" s="19"/>
      <c r="B45" s="131">
        <f>DATE(2024,1,1)</f>
        <v>45292</v>
      </c>
      <c r="C45" s="204">
        <v>1112050</v>
      </c>
      <c r="D45" s="204">
        <v>358643</v>
      </c>
      <c r="E45" s="204">
        <v>379305</v>
      </c>
      <c r="F45" s="132">
        <f t="shared" ref="F45:F50" si="10">(+D45-E45)/E45</f>
        <v>-5.4473313033047283E-2</v>
      </c>
      <c r="G45" s="215">
        <f t="shared" ref="G45:G50" si="11">D45/C45</f>
        <v>0.32250618227597683</v>
      </c>
      <c r="H45" s="123"/>
    </row>
    <row r="46" spans="1:8" ht="15.75" x14ac:dyDescent="0.25">
      <c r="A46" s="19"/>
      <c r="B46" s="131">
        <f>DATE(2024,2,1)</f>
        <v>45323</v>
      </c>
      <c r="C46" s="204">
        <v>1212041</v>
      </c>
      <c r="D46" s="204">
        <v>243898.5</v>
      </c>
      <c r="E46" s="204">
        <v>255416</v>
      </c>
      <c r="F46" s="132">
        <f t="shared" si="10"/>
        <v>-4.5093103016255832E-2</v>
      </c>
      <c r="G46" s="215">
        <f t="shared" si="11"/>
        <v>0.20122957886738155</v>
      </c>
      <c r="H46" s="123"/>
    </row>
    <row r="47" spans="1:8" ht="15.75" x14ac:dyDescent="0.25">
      <c r="A47" s="19"/>
      <c r="B47" s="131">
        <f>DATE(2024,3,1)</f>
        <v>45352</v>
      </c>
      <c r="C47" s="204">
        <v>1447739</v>
      </c>
      <c r="D47" s="204">
        <v>301625</v>
      </c>
      <c r="E47" s="204">
        <v>323646</v>
      </c>
      <c r="F47" s="132">
        <f t="shared" si="10"/>
        <v>-6.8040389808618054E-2</v>
      </c>
      <c r="G47" s="215">
        <f t="shared" si="11"/>
        <v>0.20834211138886222</v>
      </c>
      <c r="H47" s="123"/>
    </row>
    <row r="48" spans="1:8" ht="15.75" x14ac:dyDescent="0.25">
      <c r="A48" s="19"/>
      <c r="B48" s="131">
        <f>DATE(2024,4,1)</f>
        <v>45383</v>
      </c>
      <c r="C48" s="204">
        <v>1431526</v>
      </c>
      <c r="D48" s="204">
        <v>315992</v>
      </c>
      <c r="E48" s="204">
        <v>368001.5</v>
      </c>
      <c r="F48" s="132">
        <f t="shared" si="10"/>
        <v>-0.14132958697179224</v>
      </c>
      <c r="G48" s="215">
        <f t="shared" si="11"/>
        <v>0.22073786993739547</v>
      </c>
      <c r="H48" s="123"/>
    </row>
    <row r="49" spans="1:8" ht="15.75" x14ac:dyDescent="0.25">
      <c r="A49" s="19"/>
      <c r="B49" s="131">
        <f>DATE(2024,5,1)</f>
        <v>45413</v>
      </c>
      <c r="C49" s="204">
        <v>1367237</v>
      </c>
      <c r="D49" s="204">
        <v>266783</v>
      </c>
      <c r="E49" s="204">
        <v>288532</v>
      </c>
      <c r="F49" s="132">
        <f t="shared" si="10"/>
        <v>-7.5378120970984161E-2</v>
      </c>
      <c r="G49" s="215">
        <f t="shared" si="11"/>
        <v>0.19512564390811543</v>
      </c>
      <c r="H49" s="123"/>
    </row>
    <row r="50" spans="1:8" ht="15.75" x14ac:dyDescent="0.25">
      <c r="A50" s="19"/>
      <c r="B50" s="131">
        <f>DATE(2024,6,1)</f>
        <v>45444</v>
      </c>
      <c r="C50" s="204">
        <v>1165629</v>
      </c>
      <c r="D50" s="204">
        <v>379838</v>
      </c>
      <c r="E50" s="204">
        <v>203736.5</v>
      </c>
      <c r="F50" s="132">
        <f t="shared" si="10"/>
        <v>0.86435911091041617</v>
      </c>
      <c r="G50" s="215">
        <f t="shared" si="11"/>
        <v>0.32586526244628439</v>
      </c>
      <c r="H50" s="123"/>
    </row>
    <row r="51" spans="1:8" ht="15.75" thickBot="1" x14ac:dyDescent="0.25">
      <c r="A51" s="133"/>
      <c r="B51" s="131"/>
      <c r="C51" s="204"/>
      <c r="D51" s="204"/>
      <c r="E51" s="204"/>
      <c r="F51" s="132"/>
      <c r="G51" s="215"/>
      <c r="H51" s="123"/>
    </row>
    <row r="52" spans="1:8" ht="17.25" thickTop="1" thickBot="1" x14ac:dyDescent="0.3">
      <c r="A52" s="141" t="s">
        <v>14</v>
      </c>
      <c r="B52" s="142"/>
      <c r="C52" s="206">
        <f>SUM(C39:C51)</f>
        <v>15662240</v>
      </c>
      <c r="D52" s="206">
        <f>SUM(D39:D51)</f>
        <v>3569860.5</v>
      </c>
      <c r="E52" s="206">
        <f>SUM(E39:E51)</f>
        <v>3448016.5</v>
      </c>
      <c r="F52" s="143">
        <f>(+D52-E52)/E52</f>
        <v>3.5337417903887641E-2</v>
      </c>
      <c r="G52" s="217">
        <f>D52/C52</f>
        <v>0.227927837908243</v>
      </c>
      <c r="H52" s="123"/>
    </row>
    <row r="53" spans="1:8" ht="15.75" thickTop="1" x14ac:dyDescent="0.2">
      <c r="A53" s="133"/>
      <c r="B53" s="134"/>
      <c r="C53" s="204"/>
      <c r="D53" s="204"/>
      <c r="E53" s="204"/>
      <c r="F53" s="132"/>
      <c r="G53" s="218"/>
      <c r="H53" s="123"/>
    </row>
    <row r="54" spans="1:8" ht="15.75" x14ac:dyDescent="0.25">
      <c r="A54" s="177" t="s">
        <v>58</v>
      </c>
      <c r="B54" s="131">
        <f>DATE(2023,7,1)</f>
        <v>45108</v>
      </c>
      <c r="C54" s="204">
        <v>17665032</v>
      </c>
      <c r="D54" s="204">
        <v>3803022</v>
      </c>
      <c r="E54" s="204">
        <v>3390213</v>
      </c>
      <c r="F54" s="132">
        <f t="shared" ref="F54:F59" si="12">(+D54-E54)/E54</f>
        <v>0.12176491565574199</v>
      </c>
      <c r="G54" s="215">
        <f t="shared" ref="G54:G59" si="13">D54/C54</f>
        <v>0.21528531621114527</v>
      </c>
      <c r="H54" s="123"/>
    </row>
    <row r="55" spans="1:8" ht="15.75" x14ac:dyDescent="0.25">
      <c r="A55" s="177"/>
      <c r="B55" s="131">
        <f>DATE(2023,8,1)</f>
        <v>45139</v>
      </c>
      <c r="C55" s="204">
        <v>17268495</v>
      </c>
      <c r="D55" s="204">
        <v>2558007.38</v>
      </c>
      <c r="E55" s="204">
        <v>2096973.67</v>
      </c>
      <c r="F55" s="132">
        <f t="shared" si="12"/>
        <v>0.21985669948826778</v>
      </c>
      <c r="G55" s="215">
        <f t="shared" si="13"/>
        <v>0.14813146021121121</v>
      </c>
      <c r="H55" s="123"/>
    </row>
    <row r="56" spans="1:8" ht="15.75" x14ac:dyDescent="0.25">
      <c r="A56" s="177"/>
      <c r="B56" s="131">
        <f>DATE(2023,9,1)</f>
        <v>45170</v>
      </c>
      <c r="C56" s="204">
        <v>15882513</v>
      </c>
      <c r="D56" s="204">
        <v>3090684.15</v>
      </c>
      <c r="E56" s="204">
        <v>3937084.53</v>
      </c>
      <c r="F56" s="132">
        <f t="shared" si="12"/>
        <v>-0.21498151069669819</v>
      </c>
      <c r="G56" s="215">
        <f t="shared" si="13"/>
        <v>0.19459667056466443</v>
      </c>
      <c r="H56" s="123"/>
    </row>
    <row r="57" spans="1:8" ht="15.75" x14ac:dyDescent="0.25">
      <c r="A57" s="177"/>
      <c r="B57" s="131">
        <f>DATE(2023,10,1)</f>
        <v>45200</v>
      </c>
      <c r="C57" s="204">
        <v>14805478</v>
      </c>
      <c r="D57" s="204">
        <v>2879319</v>
      </c>
      <c r="E57" s="204">
        <v>2819327.04</v>
      </c>
      <c r="F57" s="132">
        <f t="shared" si="12"/>
        <v>2.1278822622862497E-2</v>
      </c>
      <c r="G57" s="215">
        <f t="shared" si="13"/>
        <v>0.19447659845902981</v>
      </c>
      <c r="H57" s="123"/>
    </row>
    <row r="58" spans="1:8" ht="15.75" x14ac:dyDescent="0.25">
      <c r="A58" s="177"/>
      <c r="B58" s="131">
        <f>DATE(2023,11,1)</f>
        <v>45231</v>
      </c>
      <c r="C58" s="204">
        <v>14098672</v>
      </c>
      <c r="D58" s="204">
        <v>3291435.87</v>
      </c>
      <c r="E58" s="204">
        <v>2876740.26</v>
      </c>
      <c r="F58" s="132">
        <f t="shared" si="12"/>
        <v>0.1441546933403019</v>
      </c>
      <c r="G58" s="215">
        <f t="shared" si="13"/>
        <v>0.23345715610661771</v>
      </c>
      <c r="H58" s="123"/>
    </row>
    <row r="59" spans="1:8" ht="15.75" x14ac:dyDescent="0.25">
      <c r="A59" s="177"/>
      <c r="B59" s="131">
        <f>DATE(2023,12,1)</f>
        <v>45261</v>
      </c>
      <c r="C59" s="204">
        <v>16834383</v>
      </c>
      <c r="D59" s="204">
        <v>3310603.9</v>
      </c>
      <c r="E59" s="204">
        <v>3108188.89</v>
      </c>
      <c r="F59" s="132">
        <f t="shared" si="12"/>
        <v>6.5123136708721635E-2</v>
      </c>
      <c r="G59" s="215">
        <f t="shared" si="13"/>
        <v>0.19665727576710118</v>
      </c>
      <c r="H59" s="123"/>
    </row>
    <row r="60" spans="1:8" ht="15.75" x14ac:dyDescent="0.25">
      <c r="A60" s="177"/>
      <c r="B60" s="131">
        <f>DATE(2024,1,1)</f>
        <v>45292</v>
      </c>
      <c r="C60" s="204">
        <v>13747903</v>
      </c>
      <c r="D60" s="204">
        <v>2763966.36</v>
      </c>
      <c r="E60" s="204">
        <v>2951407.99</v>
      </c>
      <c r="F60" s="132">
        <f t="shared" ref="F60:F65" si="14">(+D60-E60)/E60</f>
        <v>-6.3509223609576365E-2</v>
      </c>
      <c r="G60" s="215">
        <f t="shared" ref="G60:G65" si="15">D60/C60</f>
        <v>0.20104639667591487</v>
      </c>
      <c r="H60" s="123"/>
    </row>
    <row r="61" spans="1:8" ht="15.75" x14ac:dyDescent="0.25">
      <c r="A61" s="177"/>
      <c r="B61" s="131">
        <f>DATE(2024,2,1)</f>
        <v>45323</v>
      </c>
      <c r="C61" s="204">
        <v>15696429.5</v>
      </c>
      <c r="D61" s="204">
        <v>3510721.02</v>
      </c>
      <c r="E61" s="204">
        <v>2375220.2999999998</v>
      </c>
      <c r="F61" s="132">
        <f t="shared" si="14"/>
        <v>0.47806122236324788</v>
      </c>
      <c r="G61" s="215">
        <f t="shared" si="15"/>
        <v>0.22366366949885005</v>
      </c>
      <c r="H61" s="123"/>
    </row>
    <row r="62" spans="1:8" ht="15.75" x14ac:dyDescent="0.25">
      <c r="A62" s="177"/>
      <c r="B62" s="131">
        <f>DATE(2024,3,1)</f>
        <v>45352</v>
      </c>
      <c r="C62" s="204">
        <v>14704061</v>
      </c>
      <c r="D62" s="204">
        <v>3147102.97</v>
      </c>
      <c r="E62" s="204">
        <v>3353751.65</v>
      </c>
      <c r="F62" s="132">
        <f t="shared" si="14"/>
        <v>-6.1617168343398268E-2</v>
      </c>
      <c r="G62" s="215">
        <f t="shared" si="15"/>
        <v>0.21402950994286546</v>
      </c>
      <c r="H62" s="123"/>
    </row>
    <row r="63" spans="1:8" ht="15.75" x14ac:dyDescent="0.25">
      <c r="A63" s="177"/>
      <c r="B63" s="131">
        <f>DATE(2024,4,1)</f>
        <v>45383</v>
      </c>
      <c r="C63" s="204">
        <v>14806755.51</v>
      </c>
      <c r="D63" s="204">
        <v>2837889.17</v>
      </c>
      <c r="E63" s="204">
        <v>3123735.42</v>
      </c>
      <c r="F63" s="132">
        <f t="shared" si="14"/>
        <v>-9.1507830070960361E-2</v>
      </c>
      <c r="G63" s="215">
        <f t="shared" si="15"/>
        <v>0.19166178357462457</v>
      </c>
      <c r="H63" s="123"/>
    </row>
    <row r="64" spans="1:8" ht="15.75" x14ac:dyDescent="0.25">
      <c r="A64" s="177"/>
      <c r="B64" s="131">
        <f>DATE(2024,5,1)</f>
        <v>45413</v>
      </c>
      <c r="C64" s="204">
        <v>15641856</v>
      </c>
      <c r="D64" s="204">
        <v>3389978.57</v>
      </c>
      <c r="E64" s="204">
        <v>3737478</v>
      </c>
      <c r="F64" s="132">
        <f t="shared" si="14"/>
        <v>-9.2976983409668271E-2</v>
      </c>
      <c r="G64" s="215">
        <f t="shared" si="15"/>
        <v>0.21672482920185429</v>
      </c>
      <c r="H64" s="123"/>
    </row>
    <row r="65" spans="1:8" ht="15.75" x14ac:dyDescent="0.25">
      <c r="A65" s="177"/>
      <c r="B65" s="131">
        <f>DATE(2024,6,1)</f>
        <v>45444</v>
      </c>
      <c r="C65" s="204">
        <v>14987306</v>
      </c>
      <c r="D65" s="204">
        <v>3272148.5</v>
      </c>
      <c r="E65" s="204">
        <v>3092329</v>
      </c>
      <c r="F65" s="132">
        <f t="shared" si="14"/>
        <v>5.815018389052394E-2</v>
      </c>
      <c r="G65" s="215">
        <f t="shared" si="15"/>
        <v>0.21832799703962807</v>
      </c>
      <c r="H65" s="123"/>
    </row>
    <row r="66" spans="1:8" ht="15.75" customHeight="1" thickBot="1" x14ac:dyDescent="0.25">
      <c r="A66" s="133"/>
      <c r="B66" s="134"/>
      <c r="C66" s="204"/>
      <c r="D66" s="204"/>
      <c r="E66" s="204"/>
      <c r="F66" s="132"/>
      <c r="G66" s="215"/>
      <c r="H66" s="123"/>
    </row>
    <row r="67" spans="1:8" ht="17.25" customHeight="1" thickTop="1" thickBot="1" x14ac:dyDescent="0.3">
      <c r="A67" s="141" t="s">
        <v>14</v>
      </c>
      <c r="B67" s="142"/>
      <c r="C67" s="206">
        <f>SUM(C54:C66)</f>
        <v>186138884.00999999</v>
      </c>
      <c r="D67" s="206">
        <f>SUM(D54:D66)</f>
        <v>37854878.889999993</v>
      </c>
      <c r="E67" s="206">
        <f>SUM(E54:E66)</f>
        <v>36862449.749999993</v>
      </c>
      <c r="F67" s="143">
        <f>(+D67-E67)/E67</f>
        <v>2.6922495567457527E-2</v>
      </c>
      <c r="G67" s="217">
        <f>D67/C67</f>
        <v>0.20336900100876454</v>
      </c>
      <c r="H67" s="123"/>
    </row>
    <row r="68" spans="1:8" ht="15.75" customHeight="1" thickTop="1" x14ac:dyDescent="0.2">
      <c r="A68" s="133"/>
      <c r="B68" s="134"/>
      <c r="C68" s="204"/>
      <c r="D68" s="204"/>
      <c r="E68" s="204"/>
      <c r="F68" s="132"/>
      <c r="G68" s="218"/>
      <c r="H68" s="123"/>
    </row>
    <row r="69" spans="1:8" ht="15" customHeight="1" x14ac:dyDescent="0.25">
      <c r="A69" s="130" t="s">
        <v>60</v>
      </c>
      <c r="B69" s="131">
        <f>DATE(2023,7,1)</f>
        <v>45108</v>
      </c>
      <c r="C69" s="204">
        <v>12723732</v>
      </c>
      <c r="D69" s="204">
        <v>3308388.5</v>
      </c>
      <c r="E69" s="204">
        <v>3195567.5</v>
      </c>
      <c r="F69" s="132">
        <f t="shared" ref="F69:F74" si="16">(+D69-E69)/E69</f>
        <v>3.5305466087009588E-2</v>
      </c>
      <c r="G69" s="215">
        <f t="shared" ref="G69:G74" si="17">D69/C69</f>
        <v>0.26001714748471594</v>
      </c>
      <c r="H69" s="123"/>
    </row>
    <row r="70" spans="1:8" ht="15" customHeight="1" x14ac:dyDescent="0.25">
      <c r="A70" s="130"/>
      <c r="B70" s="131">
        <f>DATE(2023,8,1)</f>
        <v>45139</v>
      </c>
      <c r="C70" s="204">
        <v>11628258</v>
      </c>
      <c r="D70" s="204">
        <v>3099426.5</v>
      </c>
      <c r="E70" s="204">
        <v>3909171</v>
      </c>
      <c r="F70" s="132">
        <f t="shared" si="16"/>
        <v>-0.20713969790525918</v>
      </c>
      <c r="G70" s="215">
        <f t="shared" si="17"/>
        <v>0.26654263261100675</v>
      </c>
      <c r="H70" s="123"/>
    </row>
    <row r="71" spans="1:8" ht="15" customHeight="1" x14ac:dyDescent="0.25">
      <c r="A71" s="130"/>
      <c r="B71" s="131">
        <f>DATE(2023,9,1)</f>
        <v>45170</v>
      </c>
      <c r="C71" s="204">
        <v>11873656</v>
      </c>
      <c r="D71" s="204">
        <v>3032057</v>
      </c>
      <c r="E71" s="204">
        <v>3778062.5</v>
      </c>
      <c r="F71" s="132">
        <f t="shared" si="16"/>
        <v>-0.19745716223593443</v>
      </c>
      <c r="G71" s="215">
        <f t="shared" si="17"/>
        <v>0.25536001716741669</v>
      </c>
      <c r="H71" s="123"/>
    </row>
    <row r="72" spans="1:8" ht="15" customHeight="1" x14ac:dyDescent="0.25">
      <c r="A72" s="130"/>
      <c r="B72" s="131">
        <f>DATE(2023,10,1)</f>
        <v>45200</v>
      </c>
      <c r="C72" s="204">
        <v>12435915</v>
      </c>
      <c r="D72" s="204">
        <v>2838722.5</v>
      </c>
      <c r="E72" s="204">
        <v>1234436</v>
      </c>
      <c r="F72" s="132">
        <f t="shared" si="16"/>
        <v>1.2996109154302045</v>
      </c>
      <c r="G72" s="215">
        <f t="shared" si="17"/>
        <v>0.22826808481724103</v>
      </c>
      <c r="H72" s="123"/>
    </row>
    <row r="73" spans="1:8" ht="15" customHeight="1" x14ac:dyDescent="0.25">
      <c r="A73" s="130"/>
      <c r="B73" s="131">
        <f>DATE(2023,11,1)</f>
        <v>45231</v>
      </c>
      <c r="C73" s="204">
        <v>12500603</v>
      </c>
      <c r="D73" s="204">
        <v>2777794</v>
      </c>
      <c r="E73" s="204">
        <v>3487549</v>
      </c>
      <c r="F73" s="132">
        <f t="shared" si="16"/>
        <v>-0.2035111191269284</v>
      </c>
      <c r="G73" s="215">
        <f t="shared" si="17"/>
        <v>0.22221280045450609</v>
      </c>
      <c r="H73" s="123"/>
    </row>
    <row r="74" spans="1:8" ht="15" customHeight="1" x14ac:dyDescent="0.25">
      <c r="A74" s="130"/>
      <c r="B74" s="131">
        <f>DATE(2023,12,1)</f>
        <v>45261</v>
      </c>
      <c r="C74" s="204">
        <v>13701598</v>
      </c>
      <c r="D74" s="204">
        <v>3754286.5</v>
      </c>
      <c r="E74" s="204">
        <v>3689598</v>
      </c>
      <c r="F74" s="132">
        <f t="shared" si="16"/>
        <v>1.7532668870700818E-2</v>
      </c>
      <c r="G74" s="215">
        <f t="shared" si="17"/>
        <v>0.27400355053476244</v>
      </c>
      <c r="H74" s="123"/>
    </row>
    <row r="75" spans="1:8" ht="15" customHeight="1" x14ac:dyDescent="0.25">
      <c r="A75" s="130"/>
      <c r="B75" s="131">
        <f>DATE(2024,1,1)</f>
        <v>45292</v>
      </c>
      <c r="C75" s="204">
        <v>11556877</v>
      </c>
      <c r="D75" s="204">
        <v>2662409</v>
      </c>
      <c r="E75" s="204">
        <v>3432704.75</v>
      </c>
      <c r="F75" s="132">
        <f t="shared" ref="F75:F80" si="18">(+D75-E75)/E75</f>
        <v>-0.22439906898488721</v>
      </c>
      <c r="G75" s="215">
        <f t="shared" ref="G75:G80" si="19">D75/C75</f>
        <v>0.23037443420051973</v>
      </c>
      <c r="H75" s="123"/>
    </row>
    <row r="76" spans="1:8" ht="15" customHeight="1" x14ac:dyDescent="0.25">
      <c r="A76" s="130"/>
      <c r="B76" s="131">
        <f>DATE(2024,2,1)</f>
        <v>45323</v>
      </c>
      <c r="C76" s="204">
        <v>11951229.5</v>
      </c>
      <c r="D76" s="204">
        <v>3058546</v>
      </c>
      <c r="E76" s="204">
        <v>3123761.5</v>
      </c>
      <c r="F76" s="132">
        <f t="shared" si="18"/>
        <v>-2.0877234065404801E-2</v>
      </c>
      <c r="G76" s="215">
        <f t="shared" si="19"/>
        <v>0.25591894122692566</v>
      </c>
      <c r="H76" s="123"/>
    </row>
    <row r="77" spans="1:8" ht="15" customHeight="1" x14ac:dyDescent="0.25">
      <c r="A77" s="130"/>
      <c r="B77" s="131">
        <f>DATE(2024,3,1)</f>
        <v>45352</v>
      </c>
      <c r="C77" s="204">
        <v>13848065</v>
      </c>
      <c r="D77" s="204">
        <v>3219364.5</v>
      </c>
      <c r="E77" s="204">
        <v>3779533.5</v>
      </c>
      <c r="F77" s="132">
        <f t="shared" si="18"/>
        <v>-0.14821114828060131</v>
      </c>
      <c r="G77" s="215">
        <f t="shared" si="19"/>
        <v>0.23247756997096705</v>
      </c>
      <c r="H77" s="123"/>
    </row>
    <row r="78" spans="1:8" ht="15" customHeight="1" x14ac:dyDescent="0.25">
      <c r="A78" s="130"/>
      <c r="B78" s="131">
        <f>DATE(2024,4,1)</f>
        <v>45383</v>
      </c>
      <c r="C78" s="204">
        <v>12902700</v>
      </c>
      <c r="D78" s="204">
        <v>2927825.5</v>
      </c>
      <c r="E78" s="204">
        <v>2915753.5</v>
      </c>
      <c r="F78" s="132">
        <f t="shared" si="18"/>
        <v>4.1402676872376214E-3</v>
      </c>
      <c r="G78" s="215">
        <f t="shared" si="19"/>
        <v>0.22691572306571492</v>
      </c>
      <c r="H78" s="123"/>
    </row>
    <row r="79" spans="1:8" ht="15" customHeight="1" x14ac:dyDescent="0.25">
      <c r="A79" s="130"/>
      <c r="B79" s="131">
        <f>DATE(2024,5,1)</f>
        <v>45413</v>
      </c>
      <c r="C79" s="204">
        <v>15009633</v>
      </c>
      <c r="D79" s="204">
        <v>3282944.5</v>
      </c>
      <c r="E79" s="204">
        <v>3470947.5</v>
      </c>
      <c r="F79" s="132">
        <f t="shared" si="18"/>
        <v>-5.4164748962639162E-2</v>
      </c>
      <c r="G79" s="215">
        <f t="shared" si="19"/>
        <v>0.21872250307519178</v>
      </c>
      <c r="H79" s="123"/>
    </row>
    <row r="80" spans="1:8" ht="15" customHeight="1" x14ac:dyDescent="0.25">
      <c r="A80" s="130"/>
      <c r="B80" s="131">
        <f>DATE(2024,6,1)</f>
        <v>45444</v>
      </c>
      <c r="C80" s="204">
        <v>13349462.5</v>
      </c>
      <c r="D80" s="204">
        <v>2660702.5</v>
      </c>
      <c r="E80" s="204">
        <v>2957620</v>
      </c>
      <c r="F80" s="132">
        <f t="shared" si="18"/>
        <v>-0.10039068575408605</v>
      </c>
      <c r="G80" s="215">
        <f t="shared" si="19"/>
        <v>0.19931158276971825</v>
      </c>
      <c r="H80" s="123"/>
    </row>
    <row r="81" spans="1:8" ht="15.75" thickBot="1" x14ac:dyDescent="0.25">
      <c r="A81" s="133"/>
      <c r="B81" s="131"/>
      <c r="C81" s="204"/>
      <c r="D81" s="204"/>
      <c r="E81" s="204"/>
      <c r="F81" s="132"/>
      <c r="G81" s="215"/>
      <c r="H81" s="123"/>
    </row>
    <row r="82" spans="1:8" ht="17.25" customHeight="1" thickTop="1" thickBot="1" x14ac:dyDescent="0.3">
      <c r="A82" s="141" t="s">
        <v>14</v>
      </c>
      <c r="B82" s="142"/>
      <c r="C82" s="207">
        <f>SUM(C69:C81)</f>
        <v>153481729</v>
      </c>
      <c r="D82" s="261">
        <f>SUM(D69:D81)</f>
        <v>36622467</v>
      </c>
      <c r="E82" s="206">
        <f>SUM(E69:E81)</f>
        <v>38974704.75</v>
      </c>
      <c r="F82" s="268">
        <f>(+D82-E82)/E82</f>
        <v>-6.0352933141847601E-2</v>
      </c>
      <c r="G82" s="267">
        <f>D82/C82</f>
        <v>0.23861124863924357</v>
      </c>
      <c r="H82" s="123"/>
    </row>
    <row r="83" spans="1:8" ht="15.75" customHeight="1" thickTop="1" x14ac:dyDescent="0.25">
      <c r="A83" s="130"/>
      <c r="B83" s="134"/>
      <c r="C83" s="204"/>
      <c r="D83" s="204"/>
      <c r="E83" s="204"/>
      <c r="F83" s="132"/>
      <c r="G83" s="218"/>
      <c r="H83" s="123"/>
    </row>
    <row r="84" spans="1:8" ht="15.75" x14ac:dyDescent="0.25">
      <c r="A84" s="130" t="s">
        <v>64</v>
      </c>
      <c r="B84" s="131">
        <f>DATE(2023,7,1)</f>
        <v>45108</v>
      </c>
      <c r="C84" s="204">
        <v>3361117</v>
      </c>
      <c r="D84" s="204">
        <v>707897</v>
      </c>
      <c r="E84" s="204">
        <v>700930</v>
      </c>
      <c r="F84" s="132">
        <f t="shared" ref="F84:F89" si="20">(+D84-E84)/E84</f>
        <v>9.9396516057238243E-3</v>
      </c>
      <c r="G84" s="215">
        <f t="shared" ref="G84:G89" si="21">D84/C84</f>
        <v>0.21061361446209698</v>
      </c>
      <c r="H84" s="123"/>
    </row>
    <row r="85" spans="1:8" ht="15.75" x14ac:dyDescent="0.25">
      <c r="A85" s="130"/>
      <c r="B85" s="131">
        <f>DATE(2023,8,1)</f>
        <v>45139</v>
      </c>
      <c r="C85" s="204">
        <v>2951366</v>
      </c>
      <c r="D85" s="204">
        <v>871889</v>
      </c>
      <c r="E85" s="204">
        <v>630145.5</v>
      </c>
      <c r="F85" s="132">
        <f t="shared" si="20"/>
        <v>0.38363124072138893</v>
      </c>
      <c r="G85" s="215">
        <f t="shared" si="21"/>
        <v>0.29541879929497056</v>
      </c>
      <c r="H85" s="123"/>
    </row>
    <row r="86" spans="1:8" ht="15.75" x14ac:dyDescent="0.25">
      <c r="A86" s="130"/>
      <c r="B86" s="131">
        <f>DATE(2023,9,1)</f>
        <v>45170</v>
      </c>
      <c r="C86" s="204">
        <v>2512048</v>
      </c>
      <c r="D86" s="204">
        <v>529240.5</v>
      </c>
      <c r="E86" s="204">
        <v>538940</v>
      </c>
      <c r="F86" s="132">
        <f t="shared" si="20"/>
        <v>-1.7997365198352322E-2</v>
      </c>
      <c r="G86" s="215">
        <f t="shared" si="21"/>
        <v>0.21068088667095533</v>
      </c>
      <c r="H86" s="123"/>
    </row>
    <row r="87" spans="1:8" ht="15.75" x14ac:dyDescent="0.25">
      <c r="A87" s="130"/>
      <c r="B87" s="131">
        <f>DATE(2023,10,1)</f>
        <v>45200</v>
      </c>
      <c r="C87" s="204">
        <v>2477871</v>
      </c>
      <c r="D87" s="204">
        <v>555726</v>
      </c>
      <c r="E87" s="204">
        <v>664586</v>
      </c>
      <c r="F87" s="132">
        <f t="shared" si="20"/>
        <v>-0.16380122361891464</v>
      </c>
      <c r="G87" s="215">
        <f t="shared" si="21"/>
        <v>0.22427559788221421</v>
      </c>
      <c r="H87" s="123"/>
    </row>
    <row r="88" spans="1:8" ht="15.75" x14ac:dyDescent="0.25">
      <c r="A88" s="130"/>
      <c r="B88" s="131">
        <f>DATE(2023,11,1)</f>
        <v>45231</v>
      </c>
      <c r="C88" s="204">
        <v>2620270</v>
      </c>
      <c r="D88" s="204">
        <v>618313.5</v>
      </c>
      <c r="E88" s="204">
        <v>644592.5</v>
      </c>
      <c r="F88" s="132">
        <f t="shared" si="20"/>
        <v>-4.076839243397961E-2</v>
      </c>
      <c r="G88" s="215">
        <f t="shared" si="21"/>
        <v>0.23597320123498725</v>
      </c>
      <c r="H88" s="123"/>
    </row>
    <row r="89" spans="1:8" ht="15.75" x14ac:dyDescent="0.25">
      <c r="A89" s="130"/>
      <c r="B89" s="131">
        <f>DATE(2023,12,1)</f>
        <v>45261</v>
      </c>
      <c r="C89" s="204">
        <v>3237541</v>
      </c>
      <c r="D89" s="204">
        <v>684848</v>
      </c>
      <c r="E89" s="204">
        <v>621789.5</v>
      </c>
      <c r="F89" s="132">
        <f t="shared" si="20"/>
        <v>0.10141454624113144</v>
      </c>
      <c r="G89" s="215">
        <f t="shared" si="21"/>
        <v>0.21153338289769921</v>
      </c>
      <c r="H89" s="123"/>
    </row>
    <row r="90" spans="1:8" ht="15.75" x14ac:dyDescent="0.25">
      <c r="A90" s="130"/>
      <c r="B90" s="131">
        <f>DATE(2024,1,1)</f>
        <v>45292</v>
      </c>
      <c r="C90" s="204">
        <v>2483414</v>
      </c>
      <c r="D90" s="204">
        <v>610254.26</v>
      </c>
      <c r="E90" s="204">
        <v>561543</v>
      </c>
      <c r="F90" s="132">
        <f t="shared" ref="F90:F95" si="22">(+D90-E90)/E90</f>
        <v>8.6745378359270806E-2</v>
      </c>
      <c r="G90" s="215">
        <f t="shared" ref="G90:G95" si="23">D90/C90</f>
        <v>0.24573198830319876</v>
      </c>
      <c r="H90" s="123"/>
    </row>
    <row r="91" spans="1:8" ht="15.75" x14ac:dyDescent="0.25">
      <c r="A91" s="130"/>
      <c r="B91" s="131">
        <f>DATE(2024,2,1)</f>
        <v>45323</v>
      </c>
      <c r="C91" s="204">
        <v>3182905</v>
      </c>
      <c r="D91" s="204">
        <v>692581.7</v>
      </c>
      <c r="E91" s="204">
        <v>653096</v>
      </c>
      <c r="F91" s="132">
        <f t="shared" si="22"/>
        <v>6.0459258669475782E-2</v>
      </c>
      <c r="G91" s="215">
        <f t="shared" si="23"/>
        <v>0.21759421032044624</v>
      </c>
      <c r="H91" s="123"/>
    </row>
    <row r="92" spans="1:8" ht="15.75" x14ac:dyDescent="0.25">
      <c r="A92" s="130"/>
      <c r="B92" s="131">
        <f>DATE(2024,3,1)</f>
        <v>45352</v>
      </c>
      <c r="C92" s="204">
        <v>3597454</v>
      </c>
      <c r="D92" s="204">
        <v>1048030</v>
      </c>
      <c r="E92" s="204">
        <v>665245.5</v>
      </c>
      <c r="F92" s="132">
        <f t="shared" si="22"/>
        <v>0.5754033661257385</v>
      </c>
      <c r="G92" s="215">
        <f t="shared" si="23"/>
        <v>0.29132547629517985</v>
      </c>
      <c r="H92" s="123"/>
    </row>
    <row r="93" spans="1:8" ht="15.75" x14ac:dyDescent="0.25">
      <c r="A93" s="130"/>
      <c r="B93" s="131">
        <f>DATE(2024,4,1)</f>
        <v>45383</v>
      </c>
      <c r="C93" s="204">
        <v>3045005</v>
      </c>
      <c r="D93" s="204">
        <v>890402</v>
      </c>
      <c r="E93" s="204">
        <v>455284</v>
      </c>
      <c r="F93" s="132">
        <f t="shared" si="22"/>
        <v>0.95570676764393214</v>
      </c>
      <c r="G93" s="215">
        <f t="shared" si="23"/>
        <v>0.29241396976359646</v>
      </c>
      <c r="H93" s="123"/>
    </row>
    <row r="94" spans="1:8" ht="15.75" x14ac:dyDescent="0.25">
      <c r="A94" s="130"/>
      <c r="B94" s="131">
        <f>DATE(2024,5,1)</f>
        <v>45413</v>
      </c>
      <c r="C94" s="204">
        <v>3093978</v>
      </c>
      <c r="D94" s="204">
        <v>583612</v>
      </c>
      <c r="E94" s="204">
        <v>694793.5</v>
      </c>
      <c r="F94" s="132">
        <f t="shared" si="22"/>
        <v>-0.16002092708121191</v>
      </c>
      <c r="G94" s="215">
        <f t="shared" si="23"/>
        <v>0.18862836128763683</v>
      </c>
      <c r="H94" s="123"/>
    </row>
    <row r="95" spans="1:8" ht="15.75" x14ac:dyDescent="0.25">
      <c r="A95" s="130"/>
      <c r="B95" s="131">
        <f>DATE(2024,6,1)</f>
        <v>45444</v>
      </c>
      <c r="C95" s="204">
        <v>3061203</v>
      </c>
      <c r="D95" s="204">
        <v>649424.39</v>
      </c>
      <c r="E95" s="204">
        <v>568688.5</v>
      </c>
      <c r="F95" s="132">
        <f t="shared" si="22"/>
        <v>0.14196856451290998</v>
      </c>
      <c r="G95" s="215">
        <f t="shared" si="23"/>
        <v>0.21214679000379916</v>
      </c>
      <c r="H95" s="123"/>
    </row>
    <row r="96" spans="1:8" ht="15.75" customHeight="1" thickBot="1" x14ac:dyDescent="0.3">
      <c r="A96" s="130"/>
      <c r="B96" s="131"/>
      <c r="C96" s="204"/>
      <c r="D96" s="204"/>
      <c r="E96" s="204"/>
      <c r="F96" s="132"/>
      <c r="G96" s="215"/>
      <c r="H96" s="123"/>
    </row>
    <row r="97" spans="1:8" ht="17.25" thickTop="1" thickBot="1" x14ac:dyDescent="0.3">
      <c r="A97" s="141" t="s">
        <v>14</v>
      </c>
      <c r="B97" s="142"/>
      <c r="C97" s="207">
        <f>SUM(C84:C96)</f>
        <v>35624172</v>
      </c>
      <c r="D97" s="261">
        <f>SUM(D84:D96)</f>
        <v>8442218.3499999996</v>
      </c>
      <c r="E97" s="207">
        <f>SUM(E84:E96)</f>
        <v>7399634</v>
      </c>
      <c r="F97" s="268">
        <f>(+D97-E97)/E97</f>
        <v>0.14089674570390909</v>
      </c>
      <c r="G97" s="267">
        <f>D97/C97</f>
        <v>0.23698005809089401</v>
      </c>
      <c r="H97" s="123"/>
    </row>
    <row r="98" spans="1:8" ht="15.75" customHeight="1" thickTop="1" x14ac:dyDescent="0.25">
      <c r="A98" s="130"/>
      <c r="B98" s="134"/>
      <c r="C98" s="204"/>
      <c r="D98" s="204"/>
      <c r="E98" s="204"/>
      <c r="F98" s="132"/>
      <c r="G98" s="218"/>
      <c r="H98" s="123"/>
    </row>
    <row r="99" spans="1:8" ht="15.75" x14ac:dyDescent="0.25">
      <c r="A99" s="130" t="s">
        <v>67</v>
      </c>
      <c r="B99" s="131">
        <f>DATE(2023,7,1)</f>
        <v>45108</v>
      </c>
      <c r="C99" s="204">
        <v>8239268</v>
      </c>
      <c r="D99" s="204">
        <v>826564</v>
      </c>
      <c r="E99" s="204">
        <v>951854</v>
      </c>
      <c r="F99" s="132">
        <f t="shared" ref="F99:F104" si="24">(+D99-E99)/E99</f>
        <v>-0.13162732940135777</v>
      </c>
      <c r="G99" s="215">
        <f t="shared" ref="G99:G104" si="25">D99/C99</f>
        <v>0.1003200769777121</v>
      </c>
      <c r="H99" s="123"/>
    </row>
    <row r="100" spans="1:8" ht="15.75" x14ac:dyDescent="0.25">
      <c r="A100" s="130"/>
      <c r="B100" s="131">
        <f>DATE(2023,8,1)</f>
        <v>45139</v>
      </c>
      <c r="C100" s="204">
        <v>7087572</v>
      </c>
      <c r="D100" s="204">
        <v>916100.5</v>
      </c>
      <c r="E100" s="204">
        <v>1029739</v>
      </c>
      <c r="F100" s="132">
        <f t="shared" si="24"/>
        <v>-0.11035660492610264</v>
      </c>
      <c r="G100" s="215">
        <f t="shared" si="25"/>
        <v>0.1292544894076561</v>
      </c>
      <c r="H100" s="123"/>
    </row>
    <row r="101" spans="1:8" ht="15.75" x14ac:dyDescent="0.25">
      <c r="A101" s="130"/>
      <c r="B101" s="131">
        <f>DATE(2023,9,1)</f>
        <v>45170</v>
      </c>
      <c r="C101" s="204">
        <v>7246519</v>
      </c>
      <c r="D101" s="204">
        <v>1270044.5</v>
      </c>
      <c r="E101" s="204">
        <v>389281</v>
      </c>
      <c r="F101" s="132">
        <f t="shared" si="24"/>
        <v>2.2625391426758563</v>
      </c>
      <c r="G101" s="215">
        <f t="shared" si="25"/>
        <v>0.17526270199526145</v>
      </c>
      <c r="H101" s="123"/>
    </row>
    <row r="102" spans="1:8" ht="15.75" x14ac:dyDescent="0.25">
      <c r="A102" s="130"/>
      <c r="B102" s="131">
        <f>DATE(2023,10,1)</f>
        <v>45200</v>
      </c>
      <c r="C102" s="204">
        <v>7936605</v>
      </c>
      <c r="D102" s="204">
        <v>1035111.5</v>
      </c>
      <c r="E102" s="204">
        <v>1134882.5</v>
      </c>
      <c r="F102" s="132">
        <f t="shared" si="24"/>
        <v>-8.7913065890081132E-2</v>
      </c>
      <c r="G102" s="215">
        <f t="shared" si="25"/>
        <v>0.13042245393338839</v>
      </c>
      <c r="H102" s="123"/>
    </row>
    <row r="103" spans="1:8" ht="15.75" x14ac:dyDescent="0.25">
      <c r="A103" s="130"/>
      <c r="B103" s="131">
        <f>DATE(2023,11,1)</f>
        <v>45231</v>
      </c>
      <c r="C103" s="204">
        <v>7753074</v>
      </c>
      <c r="D103" s="204">
        <v>1066773</v>
      </c>
      <c r="E103" s="204">
        <v>1197761</v>
      </c>
      <c r="F103" s="132">
        <f t="shared" si="24"/>
        <v>-0.10936071553506918</v>
      </c>
      <c r="G103" s="215">
        <f t="shared" si="25"/>
        <v>0.13759355321515054</v>
      </c>
      <c r="H103" s="123"/>
    </row>
    <row r="104" spans="1:8" ht="15.75" x14ac:dyDescent="0.25">
      <c r="A104" s="130"/>
      <c r="B104" s="131">
        <f>DATE(2023,12,1)</f>
        <v>45261</v>
      </c>
      <c r="C104" s="204">
        <v>7263263</v>
      </c>
      <c r="D104" s="204">
        <v>1133463</v>
      </c>
      <c r="E104" s="204">
        <v>867843</v>
      </c>
      <c r="F104" s="132">
        <f t="shared" si="24"/>
        <v>0.30606918532499544</v>
      </c>
      <c r="G104" s="215">
        <f t="shared" si="25"/>
        <v>0.15605424173680618</v>
      </c>
      <c r="H104" s="123"/>
    </row>
    <row r="105" spans="1:8" ht="15.75" x14ac:dyDescent="0.25">
      <c r="A105" s="130"/>
      <c r="B105" s="131">
        <f>DATE(2024,1,1)</f>
        <v>45292</v>
      </c>
      <c r="C105" s="204">
        <v>5843655</v>
      </c>
      <c r="D105" s="204">
        <v>937413.5</v>
      </c>
      <c r="E105" s="204">
        <v>1084536.5</v>
      </c>
      <c r="F105" s="132">
        <f t="shared" ref="F105:F110" si="26">(+D105-E105)/E105</f>
        <v>-0.13565518541791816</v>
      </c>
      <c r="G105" s="215">
        <f t="shared" ref="G105:G110" si="27">D105/C105</f>
        <v>0.16041561317360453</v>
      </c>
      <c r="H105" s="123"/>
    </row>
    <row r="106" spans="1:8" ht="15.75" x14ac:dyDescent="0.25">
      <c r="A106" s="130"/>
      <c r="B106" s="131">
        <f>DATE(2024,2,1)</f>
        <v>45323</v>
      </c>
      <c r="C106" s="204">
        <v>6756303</v>
      </c>
      <c r="D106" s="204">
        <v>1237946</v>
      </c>
      <c r="E106" s="204">
        <v>924380.5</v>
      </c>
      <c r="F106" s="132">
        <f t="shared" si="26"/>
        <v>0.33921691338144844</v>
      </c>
      <c r="G106" s="215">
        <f t="shared" si="27"/>
        <v>0.18322831288057981</v>
      </c>
      <c r="H106" s="123"/>
    </row>
    <row r="107" spans="1:8" ht="15.75" x14ac:dyDescent="0.25">
      <c r="A107" s="130"/>
      <c r="B107" s="131">
        <f>DATE(2024,3,1)</f>
        <v>45352</v>
      </c>
      <c r="C107" s="204">
        <v>9480030</v>
      </c>
      <c r="D107" s="204">
        <v>1487693</v>
      </c>
      <c r="E107" s="204">
        <v>1007342.5</v>
      </c>
      <c r="F107" s="132">
        <f t="shared" si="26"/>
        <v>0.4768492344957152</v>
      </c>
      <c r="G107" s="215">
        <f t="shared" si="27"/>
        <v>0.15692914473899344</v>
      </c>
      <c r="H107" s="123"/>
    </row>
    <row r="108" spans="1:8" ht="15.75" x14ac:dyDescent="0.25">
      <c r="A108" s="130"/>
      <c r="B108" s="131">
        <f>DATE(2024,4,1)</f>
        <v>45383</v>
      </c>
      <c r="C108" s="204">
        <v>10368680</v>
      </c>
      <c r="D108" s="204">
        <v>1080222.5</v>
      </c>
      <c r="E108" s="204">
        <v>1326409</v>
      </c>
      <c r="F108" s="132">
        <f t="shared" si="26"/>
        <v>-0.18560376173563359</v>
      </c>
      <c r="G108" s="215">
        <f t="shared" si="27"/>
        <v>0.1041812940509303</v>
      </c>
      <c r="H108" s="123"/>
    </row>
    <row r="109" spans="1:8" ht="15.75" x14ac:dyDescent="0.25">
      <c r="A109" s="130"/>
      <c r="B109" s="131">
        <f>DATE(2024,5,1)</f>
        <v>45413</v>
      </c>
      <c r="C109" s="204">
        <v>10829175</v>
      </c>
      <c r="D109" s="204">
        <v>1543866.5</v>
      </c>
      <c r="E109" s="204">
        <v>1151481.5</v>
      </c>
      <c r="F109" s="132">
        <f t="shared" si="26"/>
        <v>0.34076535315591261</v>
      </c>
      <c r="G109" s="215">
        <f t="shared" si="27"/>
        <v>0.1425654770561931</v>
      </c>
      <c r="H109" s="123"/>
    </row>
    <row r="110" spans="1:8" ht="15.75" x14ac:dyDescent="0.25">
      <c r="A110" s="130"/>
      <c r="B110" s="131">
        <f>DATE(2024,6,1)</f>
        <v>45444</v>
      </c>
      <c r="C110" s="204">
        <v>10793264</v>
      </c>
      <c r="D110" s="204">
        <v>1131376</v>
      </c>
      <c r="E110" s="204">
        <v>1443307.5</v>
      </c>
      <c r="F110" s="132">
        <f t="shared" si="26"/>
        <v>-0.21612269041766913</v>
      </c>
      <c r="G110" s="215">
        <f t="shared" si="27"/>
        <v>0.10482241516560699</v>
      </c>
      <c r="H110" s="123"/>
    </row>
    <row r="111" spans="1:8" ht="15.75" customHeight="1" thickBot="1" x14ac:dyDescent="0.3">
      <c r="A111" s="130"/>
      <c r="B111" s="131"/>
      <c r="C111" s="204"/>
      <c r="D111" s="204"/>
      <c r="E111" s="204"/>
      <c r="F111" s="132"/>
      <c r="G111" s="215"/>
      <c r="H111" s="123"/>
    </row>
    <row r="112" spans="1:8" ht="17.25" thickTop="1" thickBot="1" x14ac:dyDescent="0.3">
      <c r="A112" s="141" t="s">
        <v>14</v>
      </c>
      <c r="B112" s="142"/>
      <c r="C112" s="207">
        <f>SUM(C99:C111)</f>
        <v>99597408</v>
      </c>
      <c r="D112" s="261">
        <f>SUM(D99:D111)</f>
        <v>13666574</v>
      </c>
      <c r="E112" s="207">
        <f>SUM(E99:E111)</f>
        <v>12508818</v>
      </c>
      <c r="F112" s="269">
        <f>(+D112-E112)/E112</f>
        <v>9.2555187868270203E-2</v>
      </c>
      <c r="G112" s="267">
        <f>D112/C112</f>
        <v>0.13721816937243989</v>
      </c>
      <c r="H112" s="123"/>
    </row>
    <row r="113" spans="1:8" ht="15.75" customHeight="1" thickTop="1" x14ac:dyDescent="0.25">
      <c r="A113" s="130"/>
      <c r="B113" s="139"/>
      <c r="C113" s="205"/>
      <c r="D113" s="205"/>
      <c r="E113" s="205"/>
      <c r="F113" s="140"/>
      <c r="G113" s="216"/>
      <c r="H113" s="123"/>
    </row>
    <row r="114" spans="1:8" ht="15.75" x14ac:dyDescent="0.25">
      <c r="A114" s="130" t="s">
        <v>69</v>
      </c>
      <c r="B114" s="131">
        <f>DATE(2023,7,1)</f>
        <v>45108</v>
      </c>
      <c r="C114" s="204">
        <v>6583612</v>
      </c>
      <c r="D114" s="204">
        <v>1705016.95</v>
      </c>
      <c r="E114" s="204">
        <v>1405783</v>
      </c>
      <c r="F114" s="132">
        <f t="shared" ref="F114:F119" si="28">(+D114-E114)/E114</f>
        <v>0.21285927486674683</v>
      </c>
      <c r="G114" s="215">
        <f t="shared" ref="G114:G119" si="29">D114/C114</f>
        <v>0.25897895410604393</v>
      </c>
      <c r="H114" s="123"/>
    </row>
    <row r="115" spans="1:8" ht="15.75" x14ac:dyDescent="0.25">
      <c r="A115" s="130"/>
      <c r="B115" s="131">
        <f>DATE(2023,8,1)</f>
        <v>45139</v>
      </c>
      <c r="C115" s="204">
        <v>6682064</v>
      </c>
      <c r="D115" s="204">
        <v>1401382.35</v>
      </c>
      <c r="E115" s="204">
        <v>1387184.42</v>
      </c>
      <c r="F115" s="132">
        <f t="shared" si="28"/>
        <v>1.0235070258358415E-2</v>
      </c>
      <c r="G115" s="215">
        <f t="shared" si="29"/>
        <v>0.20972297631390541</v>
      </c>
      <c r="H115" s="123"/>
    </row>
    <row r="116" spans="1:8" ht="15.75" x14ac:dyDescent="0.25">
      <c r="A116" s="130"/>
      <c r="B116" s="131">
        <f>DATE(2023,9,1)</f>
        <v>45170</v>
      </c>
      <c r="C116" s="204">
        <v>6212275</v>
      </c>
      <c r="D116" s="204">
        <v>1626153.96</v>
      </c>
      <c r="E116" s="204">
        <v>1318470</v>
      </c>
      <c r="F116" s="132">
        <f t="shared" si="28"/>
        <v>0.2333643996450431</v>
      </c>
      <c r="G116" s="215">
        <f t="shared" si="29"/>
        <v>0.26176464499720309</v>
      </c>
      <c r="H116" s="123"/>
    </row>
    <row r="117" spans="1:8" ht="15.75" x14ac:dyDescent="0.25">
      <c r="A117" s="130"/>
      <c r="B117" s="131">
        <f>DATE(2023,10,1)</f>
        <v>45200</v>
      </c>
      <c r="C117" s="204">
        <v>5515298</v>
      </c>
      <c r="D117" s="204">
        <v>1039039</v>
      </c>
      <c r="E117" s="204">
        <v>1379988.01</v>
      </c>
      <c r="F117" s="132">
        <f t="shared" si="28"/>
        <v>-0.24706664661528474</v>
      </c>
      <c r="G117" s="215">
        <f t="shared" si="29"/>
        <v>0.18839217753963611</v>
      </c>
      <c r="H117" s="123"/>
    </row>
    <row r="118" spans="1:8" ht="15.75" x14ac:dyDescent="0.25">
      <c r="A118" s="130"/>
      <c r="B118" s="131">
        <f>DATE(2023,11,1)</f>
        <v>45231</v>
      </c>
      <c r="C118" s="204">
        <v>5590365</v>
      </c>
      <c r="D118" s="204">
        <v>1359520</v>
      </c>
      <c r="E118" s="204">
        <v>1234881.42</v>
      </c>
      <c r="F118" s="132">
        <f t="shared" si="28"/>
        <v>0.10093161819537302</v>
      </c>
      <c r="G118" s="215">
        <f t="shared" si="29"/>
        <v>0.24318984538576641</v>
      </c>
      <c r="H118" s="123"/>
    </row>
    <row r="119" spans="1:8" ht="15.75" x14ac:dyDescent="0.25">
      <c r="A119" s="130"/>
      <c r="B119" s="131">
        <f>DATE(2023,12,1)</f>
        <v>45261</v>
      </c>
      <c r="C119" s="204">
        <v>6722180</v>
      </c>
      <c r="D119" s="204">
        <v>1397248.95</v>
      </c>
      <c r="E119" s="204">
        <v>1290058.78</v>
      </c>
      <c r="F119" s="132">
        <f t="shared" si="28"/>
        <v>8.3089368997589341E-2</v>
      </c>
      <c r="G119" s="215">
        <f t="shared" si="29"/>
        <v>0.20785652124757145</v>
      </c>
      <c r="H119" s="123"/>
    </row>
    <row r="120" spans="1:8" ht="15.75" x14ac:dyDescent="0.25">
      <c r="A120" s="130"/>
      <c r="B120" s="131">
        <f>DATE(2024,1,1)</f>
        <v>45292</v>
      </c>
      <c r="C120" s="204">
        <v>5789716</v>
      </c>
      <c r="D120" s="204">
        <v>1471960.42</v>
      </c>
      <c r="E120" s="204">
        <v>1422588.36</v>
      </c>
      <c r="F120" s="132">
        <f t="shared" ref="F120:F125" si="30">(+D120-E120)/E120</f>
        <v>3.4705795005942425E-2</v>
      </c>
      <c r="G120" s="215">
        <f t="shared" ref="G120:G125" si="31">D120/C120</f>
        <v>0.25423706793217488</v>
      </c>
      <c r="H120" s="123"/>
    </row>
    <row r="121" spans="1:8" ht="15.75" x14ac:dyDescent="0.25">
      <c r="A121" s="130"/>
      <c r="B121" s="131">
        <f>DATE(2024,2,1)</f>
        <v>45323</v>
      </c>
      <c r="C121" s="204">
        <v>6194369</v>
      </c>
      <c r="D121" s="204">
        <v>1426796.76</v>
      </c>
      <c r="E121" s="204">
        <v>1163658.3</v>
      </c>
      <c r="F121" s="132">
        <f t="shared" si="30"/>
        <v>0.22613035115205207</v>
      </c>
      <c r="G121" s="215">
        <f t="shared" si="31"/>
        <v>0.23033770832832207</v>
      </c>
      <c r="H121" s="123"/>
    </row>
    <row r="122" spans="1:8" ht="15.75" x14ac:dyDescent="0.25">
      <c r="A122" s="130"/>
      <c r="B122" s="131">
        <f>DATE(2024,3,1)</f>
        <v>45352</v>
      </c>
      <c r="C122" s="204">
        <v>6754369</v>
      </c>
      <c r="D122" s="204">
        <v>1623792.5</v>
      </c>
      <c r="E122" s="204">
        <v>1328707.6599999999</v>
      </c>
      <c r="F122" s="132">
        <f t="shared" si="30"/>
        <v>0.22208409636172347</v>
      </c>
      <c r="G122" s="215">
        <f t="shared" si="31"/>
        <v>0.24040624668270272</v>
      </c>
      <c r="H122" s="123"/>
    </row>
    <row r="123" spans="1:8" ht="15.75" x14ac:dyDescent="0.25">
      <c r="A123" s="130"/>
      <c r="B123" s="131">
        <f>DATE(2024,4,1)</f>
        <v>45383</v>
      </c>
      <c r="C123" s="204">
        <v>6142948</v>
      </c>
      <c r="D123" s="204">
        <v>1586957.78</v>
      </c>
      <c r="E123" s="204">
        <v>1720849.86</v>
      </c>
      <c r="F123" s="132">
        <f t="shared" si="30"/>
        <v>-7.7805788356225369E-2</v>
      </c>
      <c r="G123" s="215">
        <f t="shared" si="31"/>
        <v>0.25833814318467291</v>
      </c>
      <c r="H123" s="123"/>
    </row>
    <row r="124" spans="1:8" ht="15.75" x14ac:dyDescent="0.25">
      <c r="A124" s="130"/>
      <c r="B124" s="131">
        <f>DATE(2024,5,1)</f>
        <v>45413</v>
      </c>
      <c r="C124" s="204">
        <v>6359727</v>
      </c>
      <c r="D124" s="204">
        <v>1241488.94</v>
      </c>
      <c r="E124" s="204">
        <v>1600180.71</v>
      </c>
      <c r="F124" s="132">
        <f t="shared" si="30"/>
        <v>-0.22415703911341364</v>
      </c>
      <c r="G124" s="215">
        <f t="shared" si="31"/>
        <v>0.19521104286394683</v>
      </c>
      <c r="H124" s="123"/>
    </row>
    <row r="125" spans="1:8" ht="15.75" x14ac:dyDescent="0.25">
      <c r="A125" s="130"/>
      <c r="B125" s="131">
        <f>DATE(2024,6,1)</f>
        <v>45444</v>
      </c>
      <c r="C125" s="204">
        <v>5717420</v>
      </c>
      <c r="D125" s="204">
        <v>1216153.07</v>
      </c>
      <c r="E125" s="204">
        <v>1462243.56</v>
      </c>
      <c r="F125" s="132">
        <f t="shared" si="30"/>
        <v>-0.16829651142385607</v>
      </c>
      <c r="G125" s="215">
        <f t="shared" si="31"/>
        <v>0.2127101157515103</v>
      </c>
      <c r="H125" s="123"/>
    </row>
    <row r="126" spans="1:8" ht="15.75" customHeight="1" thickBot="1" x14ac:dyDescent="0.3">
      <c r="A126" s="130"/>
      <c r="B126" s="131"/>
      <c r="C126" s="204"/>
      <c r="D126" s="204"/>
      <c r="E126" s="204"/>
      <c r="F126" s="132"/>
      <c r="G126" s="215"/>
      <c r="H126" s="123"/>
    </row>
    <row r="127" spans="1:8" ht="17.25" thickTop="1" thickBot="1" x14ac:dyDescent="0.3">
      <c r="A127" s="141" t="s">
        <v>14</v>
      </c>
      <c r="B127" s="142"/>
      <c r="C127" s="206">
        <f>SUM(C114:C126)</f>
        <v>74264343</v>
      </c>
      <c r="D127" s="206">
        <f>SUM(D114:D126)</f>
        <v>17095510.679999996</v>
      </c>
      <c r="E127" s="206">
        <f>SUM(E114:E126)</f>
        <v>16714594.08</v>
      </c>
      <c r="F127" s="143">
        <f>(+D127-E127)/E127</f>
        <v>2.2789461603245582E-2</v>
      </c>
      <c r="G127" s="217">
        <f>D127/C127</f>
        <v>0.23019810031847984</v>
      </c>
      <c r="H127" s="123"/>
    </row>
    <row r="128" spans="1:8" ht="15.75" customHeight="1" thickTop="1" x14ac:dyDescent="0.25">
      <c r="A128" s="138"/>
      <c r="B128" s="139"/>
      <c r="C128" s="205"/>
      <c r="D128" s="205"/>
      <c r="E128" s="205"/>
      <c r="F128" s="140"/>
      <c r="G128" s="216"/>
      <c r="H128" s="123"/>
    </row>
    <row r="129" spans="1:8" ht="15.75" x14ac:dyDescent="0.25">
      <c r="A129" s="130" t="s">
        <v>16</v>
      </c>
      <c r="B129" s="131">
        <f>DATE(2023,7,1)</f>
        <v>45108</v>
      </c>
      <c r="C129" s="204">
        <v>10870339</v>
      </c>
      <c r="D129" s="204">
        <v>2105009.5</v>
      </c>
      <c r="E129" s="204">
        <v>2289729.5</v>
      </c>
      <c r="F129" s="132">
        <f t="shared" ref="F129:F134" si="32">(+D129-E129)/E129</f>
        <v>-8.0673284770100578E-2</v>
      </c>
      <c r="G129" s="215">
        <f t="shared" ref="G129:G134" si="33">D129/C129</f>
        <v>0.1936470886510531</v>
      </c>
      <c r="H129" s="123"/>
    </row>
    <row r="130" spans="1:8" ht="15.75" x14ac:dyDescent="0.25">
      <c r="A130" s="130"/>
      <c r="B130" s="131">
        <f>DATE(2023,8,1)</f>
        <v>45139</v>
      </c>
      <c r="C130" s="204">
        <v>10577694.15</v>
      </c>
      <c r="D130" s="204">
        <v>1767561.15</v>
      </c>
      <c r="E130" s="204">
        <v>2099615</v>
      </c>
      <c r="F130" s="132">
        <f t="shared" si="32"/>
        <v>-0.15814987509614861</v>
      </c>
      <c r="G130" s="215">
        <f t="shared" si="33"/>
        <v>0.16710269033445252</v>
      </c>
      <c r="H130" s="123"/>
    </row>
    <row r="131" spans="1:8" ht="15.75" x14ac:dyDescent="0.25">
      <c r="A131" s="130"/>
      <c r="B131" s="131">
        <f>DATE(2023,9,1)</f>
        <v>45170</v>
      </c>
      <c r="C131" s="204">
        <v>11010233</v>
      </c>
      <c r="D131" s="204">
        <v>2123175</v>
      </c>
      <c r="E131" s="204">
        <v>1892853.5</v>
      </c>
      <c r="F131" s="132">
        <f t="shared" si="32"/>
        <v>0.12167951719454252</v>
      </c>
      <c r="G131" s="215">
        <f t="shared" si="33"/>
        <v>0.19283651853689199</v>
      </c>
      <c r="H131" s="123"/>
    </row>
    <row r="132" spans="1:8" ht="15.75" x14ac:dyDescent="0.25">
      <c r="A132" s="130"/>
      <c r="B132" s="131">
        <f>DATE(2023,10,1)</f>
        <v>45200</v>
      </c>
      <c r="C132" s="204">
        <v>10359340</v>
      </c>
      <c r="D132" s="204">
        <v>1980886.5</v>
      </c>
      <c r="E132" s="204">
        <v>1720920</v>
      </c>
      <c r="F132" s="132">
        <f t="shared" si="32"/>
        <v>0.15106251307440208</v>
      </c>
      <c r="G132" s="215">
        <f t="shared" si="33"/>
        <v>0.19121744242393821</v>
      </c>
      <c r="H132" s="123"/>
    </row>
    <row r="133" spans="1:8" ht="15.75" x14ac:dyDescent="0.25">
      <c r="A133" s="130"/>
      <c r="B133" s="131">
        <f>DATE(2023,11,1)</f>
        <v>45231</v>
      </c>
      <c r="C133" s="204">
        <v>10158371</v>
      </c>
      <c r="D133" s="204">
        <v>1965425</v>
      </c>
      <c r="E133" s="204">
        <v>1878662</v>
      </c>
      <c r="F133" s="132">
        <f t="shared" si="32"/>
        <v>4.6183400739462449E-2</v>
      </c>
      <c r="G133" s="215">
        <f t="shared" si="33"/>
        <v>0.19347836380459033</v>
      </c>
      <c r="H133" s="123"/>
    </row>
    <row r="134" spans="1:8" ht="15.75" x14ac:dyDescent="0.25">
      <c r="A134" s="130"/>
      <c r="B134" s="131">
        <f>DATE(2023,12,1)</f>
        <v>45261</v>
      </c>
      <c r="C134" s="204">
        <v>11753235</v>
      </c>
      <c r="D134" s="204">
        <v>2809146</v>
      </c>
      <c r="E134" s="204">
        <v>2169033.7999999998</v>
      </c>
      <c r="F134" s="132">
        <f t="shared" si="32"/>
        <v>0.29511398116525445</v>
      </c>
      <c r="G134" s="215">
        <f t="shared" si="33"/>
        <v>0.2390104511651473</v>
      </c>
      <c r="H134" s="123"/>
    </row>
    <row r="135" spans="1:8" ht="15.75" x14ac:dyDescent="0.25">
      <c r="A135" s="130"/>
      <c r="B135" s="131">
        <f>DATE(2024,1,1)</f>
        <v>45292</v>
      </c>
      <c r="C135" s="204">
        <v>9271778</v>
      </c>
      <c r="D135" s="204">
        <v>1768692.5</v>
      </c>
      <c r="E135" s="204">
        <v>2093677.04</v>
      </c>
      <c r="F135" s="132">
        <f t="shared" ref="F135:F140" si="34">(+D135-E135)/E135</f>
        <v>-0.1552219056669791</v>
      </c>
      <c r="G135" s="215">
        <f t="shared" ref="G135:G140" si="35">D135/C135</f>
        <v>0.19076087671641836</v>
      </c>
      <c r="H135" s="123"/>
    </row>
    <row r="136" spans="1:8" ht="15.75" x14ac:dyDescent="0.25">
      <c r="A136" s="130"/>
      <c r="B136" s="131">
        <f>DATE(2024,2,1)</f>
        <v>45323</v>
      </c>
      <c r="C136" s="204">
        <v>9943689</v>
      </c>
      <c r="D136" s="204">
        <v>2319014</v>
      </c>
      <c r="E136" s="204">
        <v>1592170</v>
      </c>
      <c r="F136" s="132">
        <f t="shared" si="34"/>
        <v>0.45651155341452232</v>
      </c>
      <c r="G136" s="215">
        <f t="shared" si="35"/>
        <v>0.23321465504401837</v>
      </c>
      <c r="H136" s="123"/>
    </row>
    <row r="137" spans="1:8" ht="15.75" x14ac:dyDescent="0.25">
      <c r="A137" s="130"/>
      <c r="B137" s="131">
        <f>DATE(2024,3,1)</f>
        <v>45352</v>
      </c>
      <c r="C137" s="204">
        <v>11419979</v>
      </c>
      <c r="D137" s="204">
        <v>1989362</v>
      </c>
      <c r="E137" s="204">
        <v>1970288.5</v>
      </c>
      <c r="F137" s="132">
        <f t="shared" si="34"/>
        <v>9.6805620090661855E-3</v>
      </c>
      <c r="G137" s="215">
        <f t="shared" si="35"/>
        <v>0.17420014520166807</v>
      </c>
      <c r="H137" s="123"/>
    </row>
    <row r="138" spans="1:8" ht="15.75" x14ac:dyDescent="0.25">
      <c r="A138" s="130"/>
      <c r="B138" s="131">
        <f>DATE(2024,4,1)</f>
        <v>45383</v>
      </c>
      <c r="C138" s="204">
        <v>10241052</v>
      </c>
      <c r="D138" s="204">
        <v>1698873</v>
      </c>
      <c r="E138" s="204">
        <v>2451828.5</v>
      </c>
      <c r="F138" s="132">
        <f t="shared" si="34"/>
        <v>-0.30709957894689616</v>
      </c>
      <c r="G138" s="215">
        <f t="shared" si="35"/>
        <v>0.16588852395242207</v>
      </c>
      <c r="H138" s="123"/>
    </row>
    <row r="139" spans="1:8" ht="15.75" x14ac:dyDescent="0.25">
      <c r="A139" s="130"/>
      <c r="B139" s="131">
        <f>DATE(2024,5,1)</f>
        <v>45413</v>
      </c>
      <c r="C139" s="204">
        <v>10478739</v>
      </c>
      <c r="D139" s="204">
        <v>1689940.5</v>
      </c>
      <c r="E139" s="204">
        <v>2247968.5</v>
      </c>
      <c r="F139" s="132">
        <f t="shared" si="34"/>
        <v>-0.24823657448936673</v>
      </c>
      <c r="G139" s="215">
        <f t="shared" si="35"/>
        <v>0.16127326961765151</v>
      </c>
      <c r="H139" s="123"/>
    </row>
    <row r="140" spans="1:8" ht="15.75" x14ac:dyDescent="0.25">
      <c r="A140" s="130"/>
      <c r="B140" s="131">
        <f>DATE(2024,6,1)</f>
        <v>45444</v>
      </c>
      <c r="C140" s="204">
        <v>9835330</v>
      </c>
      <c r="D140" s="204">
        <v>1454440</v>
      </c>
      <c r="E140" s="204">
        <v>2172972.5</v>
      </c>
      <c r="F140" s="132">
        <f t="shared" si="34"/>
        <v>-0.33066801351604774</v>
      </c>
      <c r="G140" s="215">
        <f t="shared" si="35"/>
        <v>0.14787912556060651</v>
      </c>
      <c r="H140" s="123"/>
    </row>
    <row r="141" spans="1:8" ht="15.75" customHeight="1" thickBot="1" x14ac:dyDescent="0.3">
      <c r="A141" s="130"/>
      <c r="B141" s="131"/>
      <c r="C141" s="204"/>
      <c r="D141" s="204"/>
      <c r="E141" s="204"/>
      <c r="F141" s="132"/>
      <c r="G141" s="215"/>
      <c r="H141" s="123"/>
    </row>
    <row r="142" spans="1:8" ht="17.25" thickTop="1" thickBot="1" x14ac:dyDescent="0.3">
      <c r="A142" s="141" t="s">
        <v>14</v>
      </c>
      <c r="B142" s="142"/>
      <c r="C142" s="206">
        <f>SUM(C129:C141)</f>
        <v>125919779.15000001</v>
      </c>
      <c r="D142" s="206">
        <f>SUM(D129:D141)</f>
        <v>23671525.149999999</v>
      </c>
      <c r="E142" s="206">
        <f>SUM(E129:E141)</f>
        <v>24579718.84</v>
      </c>
      <c r="F142" s="143">
        <f>(+D142-E142)/E142</f>
        <v>-3.6948904741825002E-2</v>
      </c>
      <c r="G142" s="217">
        <f>D142/C142</f>
        <v>0.1879889347788774</v>
      </c>
      <c r="H142" s="123"/>
    </row>
    <row r="143" spans="1:8" ht="15.75" customHeight="1" thickTop="1" x14ac:dyDescent="0.25">
      <c r="A143" s="138"/>
      <c r="B143" s="139"/>
      <c r="C143" s="205"/>
      <c r="D143" s="205"/>
      <c r="E143" s="205"/>
      <c r="F143" s="140"/>
      <c r="G143" s="216"/>
      <c r="H143" s="123"/>
    </row>
    <row r="144" spans="1:8" ht="15.75" x14ac:dyDescent="0.25">
      <c r="A144" s="130" t="s">
        <v>53</v>
      </c>
      <c r="B144" s="131">
        <f>DATE(2023,7,1)</f>
        <v>45108</v>
      </c>
      <c r="C144" s="204">
        <v>14493632</v>
      </c>
      <c r="D144" s="204">
        <v>2697018.32</v>
      </c>
      <c r="E144" s="204">
        <v>2740415.54</v>
      </c>
      <c r="F144" s="132">
        <f t="shared" ref="F144:F149" si="36">(+D144-E144)/E144</f>
        <v>-1.5835999820669609E-2</v>
      </c>
      <c r="G144" s="215">
        <f t="shared" ref="G144:G149" si="37">D144/C144</f>
        <v>0.18608298596238679</v>
      </c>
      <c r="H144" s="123"/>
    </row>
    <row r="145" spans="1:8" ht="15.75" x14ac:dyDescent="0.25">
      <c r="A145" s="130"/>
      <c r="B145" s="131">
        <f>DATE(2023,8,1)</f>
        <v>45139</v>
      </c>
      <c r="C145" s="204">
        <v>13342517</v>
      </c>
      <c r="D145" s="204">
        <v>2176274.1</v>
      </c>
      <c r="E145" s="204">
        <v>2942976.84</v>
      </c>
      <c r="F145" s="132">
        <f t="shared" si="36"/>
        <v>-0.26051946096864281</v>
      </c>
      <c r="G145" s="215">
        <f t="shared" si="37"/>
        <v>0.1631082126408383</v>
      </c>
      <c r="H145" s="123"/>
    </row>
    <row r="146" spans="1:8" ht="15.75" x14ac:dyDescent="0.25">
      <c r="A146" s="130"/>
      <c r="B146" s="131">
        <f>DATE(2023,9,1)</f>
        <v>45170</v>
      </c>
      <c r="C146" s="204">
        <v>12919096</v>
      </c>
      <c r="D146" s="204">
        <v>3641267.7</v>
      </c>
      <c r="E146" s="204">
        <v>2470080.11</v>
      </c>
      <c r="F146" s="132">
        <f t="shared" si="36"/>
        <v>0.47414963800506066</v>
      </c>
      <c r="G146" s="215">
        <f t="shared" si="37"/>
        <v>0.28185158621005679</v>
      </c>
      <c r="H146" s="123"/>
    </row>
    <row r="147" spans="1:8" ht="15.75" x14ac:dyDescent="0.25">
      <c r="A147" s="130"/>
      <c r="B147" s="131">
        <f>DATE(2023,10,1)</f>
        <v>45200</v>
      </c>
      <c r="C147" s="204">
        <v>12747730</v>
      </c>
      <c r="D147" s="204">
        <v>2255484.27</v>
      </c>
      <c r="E147" s="204">
        <v>3215532.42</v>
      </c>
      <c r="F147" s="132">
        <f t="shared" si="36"/>
        <v>-0.29856584372425637</v>
      </c>
      <c r="G147" s="215">
        <f t="shared" si="37"/>
        <v>0.1769322279339145</v>
      </c>
      <c r="H147" s="123"/>
    </row>
    <row r="148" spans="1:8" ht="15.75" x14ac:dyDescent="0.25">
      <c r="A148" s="130"/>
      <c r="B148" s="131">
        <f>DATE(2023,11,1)</f>
        <v>45231</v>
      </c>
      <c r="C148" s="204">
        <v>12382493</v>
      </c>
      <c r="D148" s="204">
        <v>2883631.5</v>
      </c>
      <c r="E148" s="204">
        <v>3258473.52</v>
      </c>
      <c r="F148" s="132">
        <f t="shared" si="36"/>
        <v>-0.11503607983900388</v>
      </c>
      <c r="G148" s="215">
        <f t="shared" si="37"/>
        <v>0.23287971977856156</v>
      </c>
      <c r="H148" s="123"/>
    </row>
    <row r="149" spans="1:8" ht="15.75" x14ac:dyDescent="0.25">
      <c r="A149" s="130"/>
      <c r="B149" s="131">
        <f>DATE(2023,12,1)</f>
        <v>45261</v>
      </c>
      <c r="C149" s="204">
        <v>13069344</v>
      </c>
      <c r="D149" s="204">
        <v>2283089.39</v>
      </c>
      <c r="E149" s="204">
        <v>2403855.66</v>
      </c>
      <c r="F149" s="132">
        <f t="shared" si="36"/>
        <v>-5.0238569648562013E-2</v>
      </c>
      <c r="G149" s="215">
        <f t="shared" si="37"/>
        <v>0.17469043511288709</v>
      </c>
      <c r="H149" s="123"/>
    </row>
    <row r="150" spans="1:8" ht="15.75" x14ac:dyDescent="0.25">
      <c r="A150" s="130"/>
      <c r="B150" s="131">
        <f>DATE(2024,1,1)</f>
        <v>45292</v>
      </c>
      <c r="C150" s="204">
        <v>11538016</v>
      </c>
      <c r="D150" s="204">
        <v>1993320.36</v>
      </c>
      <c r="E150" s="204">
        <v>3153729.45</v>
      </c>
      <c r="F150" s="132">
        <f t="shared" ref="F150:F155" si="38">(+D150-E150)/E150</f>
        <v>-0.36794820494192992</v>
      </c>
      <c r="G150" s="215">
        <f t="shared" ref="G150:G155" si="39">D150/C150</f>
        <v>0.17276110208202172</v>
      </c>
      <c r="H150" s="123"/>
    </row>
    <row r="151" spans="1:8" ht="15.75" x14ac:dyDescent="0.25">
      <c r="A151" s="130"/>
      <c r="B151" s="131">
        <f>DATE(2024,2,1)</f>
        <v>45323</v>
      </c>
      <c r="C151" s="204">
        <v>11252008</v>
      </c>
      <c r="D151" s="204">
        <v>2104947.1800000002</v>
      </c>
      <c r="E151" s="204">
        <v>2846898.89</v>
      </c>
      <c r="F151" s="132">
        <f t="shared" si="38"/>
        <v>-0.26061751353593027</v>
      </c>
      <c r="G151" s="215">
        <f t="shared" si="39"/>
        <v>0.18707302554352967</v>
      </c>
      <c r="H151" s="123"/>
    </row>
    <row r="152" spans="1:8" ht="15.75" x14ac:dyDescent="0.25">
      <c r="A152" s="130"/>
      <c r="B152" s="131">
        <f>DATE(2024,3,1)</f>
        <v>45352</v>
      </c>
      <c r="C152" s="204">
        <v>13330207.1</v>
      </c>
      <c r="D152" s="204">
        <v>2682909.0099999998</v>
      </c>
      <c r="E152" s="204">
        <v>3199533</v>
      </c>
      <c r="F152" s="132">
        <f t="shared" si="38"/>
        <v>-0.1614685611931492</v>
      </c>
      <c r="G152" s="215">
        <f t="shared" si="39"/>
        <v>0.20126536593718786</v>
      </c>
      <c r="H152" s="123"/>
    </row>
    <row r="153" spans="1:8" ht="15.75" x14ac:dyDescent="0.25">
      <c r="A153" s="130"/>
      <c r="B153" s="131">
        <f>DATE(2024,4,1)</f>
        <v>45383</v>
      </c>
      <c r="C153" s="204">
        <v>11697079</v>
      </c>
      <c r="D153" s="204">
        <v>2487838.5499999998</v>
      </c>
      <c r="E153" s="204">
        <v>2871825.14</v>
      </c>
      <c r="F153" s="132">
        <f t="shared" si="38"/>
        <v>-0.13370820690009014</v>
      </c>
      <c r="G153" s="215">
        <f t="shared" si="39"/>
        <v>0.21268887300838096</v>
      </c>
      <c r="H153" s="123"/>
    </row>
    <row r="154" spans="1:8" ht="15.75" x14ac:dyDescent="0.25">
      <c r="A154" s="130"/>
      <c r="B154" s="131">
        <f>DATE(2024,5,1)</f>
        <v>45413</v>
      </c>
      <c r="C154" s="204">
        <v>12624159</v>
      </c>
      <c r="D154" s="204">
        <v>2695465.78</v>
      </c>
      <c r="E154" s="204">
        <v>2573031.38</v>
      </c>
      <c r="F154" s="132">
        <f t="shared" si="38"/>
        <v>4.7583718158928909E-2</v>
      </c>
      <c r="G154" s="215">
        <f t="shared" si="39"/>
        <v>0.21351646315608033</v>
      </c>
      <c r="H154" s="123"/>
    </row>
    <row r="155" spans="1:8" ht="15.75" x14ac:dyDescent="0.25">
      <c r="A155" s="130"/>
      <c r="B155" s="131">
        <f>DATE(2024,6,1)</f>
        <v>45444</v>
      </c>
      <c r="C155" s="204">
        <v>12510944</v>
      </c>
      <c r="D155" s="204">
        <v>2865219.5</v>
      </c>
      <c r="E155" s="204">
        <v>2587273.37</v>
      </c>
      <c r="F155" s="132">
        <f t="shared" si="38"/>
        <v>0.10742820346038651</v>
      </c>
      <c r="G155" s="215">
        <f t="shared" si="39"/>
        <v>0.2290170509915159</v>
      </c>
      <c r="H155" s="123"/>
    </row>
    <row r="156" spans="1:8" ht="15.75" thickBot="1" x14ac:dyDescent="0.25">
      <c r="A156" s="133"/>
      <c r="B156" s="131"/>
      <c r="C156" s="204"/>
      <c r="D156" s="204"/>
      <c r="E156" s="204"/>
      <c r="F156" s="132"/>
      <c r="G156" s="215"/>
      <c r="H156" s="123"/>
    </row>
    <row r="157" spans="1:8" ht="17.25" thickTop="1" thickBot="1" x14ac:dyDescent="0.3">
      <c r="A157" s="141" t="s">
        <v>14</v>
      </c>
      <c r="B157" s="142"/>
      <c r="C157" s="207">
        <f>SUM(C144:C156)</f>
        <v>151907225.09999999</v>
      </c>
      <c r="D157" s="207">
        <f>SUM(D144:D156)</f>
        <v>30766465.66</v>
      </c>
      <c r="E157" s="207">
        <f>SUM(E144:E156)</f>
        <v>34263625.32</v>
      </c>
      <c r="F157" s="143">
        <f>(+D157-E157)/E157</f>
        <v>-0.10206624743700647</v>
      </c>
      <c r="G157" s="267">
        <f>D157/C157</f>
        <v>0.20253457753406096</v>
      </c>
      <c r="H157" s="123"/>
    </row>
    <row r="158" spans="1:8" ht="15.75" customHeight="1" thickTop="1" x14ac:dyDescent="0.25">
      <c r="A158" s="138"/>
      <c r="B158" s="139"/>
      <c r="C158" s="205"/>
      <c r="D158" s="205"/>
      <c r="E158" s="205"/>
      <c r="F158" s="140"/>
      <c r="G158" s="219"/>
      <c r="H158" s="123"/>
    </row>
    <row r="159" spans="1:8" ht="15.75" x14ac:dyDescent="0.25">
      <c r="A159" s="130" t="s">
        <v>54</v>
      </c>
      <c r="B159" s="131">
        <f>DATE(2023,7,1)</f>
        <v>45108</v>
      </c>
      <c r="C159" s="204">
        <v>199161</v>
      </c>
      <c r="D159" s="204">
        <v>54168.5</v>
      </c>
      <c r="E159" s="204">
        <v>33672.5</v>
      </c>
      <c r="F159" s="132">
        <f t="shared" ref="F159:F164" si="40">(+D159-E159)/E159</f>
        <v>0.60868661370554611</v>
      </c>
      <c r="G159" s="215">
        <f>D159/C159</f>
        <v>0.27198347065941625</v>
      </c>
      <c r="H159" s="123"/>
    </row>
    <row r="160" spans="1:8" ht="15.75" x14ac:dyDescent="0.25">
      <c r="A160" s="130"/>
      <c r="B160" s="131">
        <f>DATE(2023,8,1)</f>
        <v>45139</v>
      </c>
      <c r="C160" s="204">
        <v>175878</v>
      </c>
      <c r="D160" s="204">
        <v>48279.5</v>
      </c>
      <c r="E160" s="204">
        <v>43554</v>
      </c>
      <c r="F160" s="132">
        <f t="shared" si="40"/>
        <v>0.10849749735959957</v>
      </c>
      <c r="G160" s="215">
        <f>D160/C160</f>
        <v>0.27450562321609295</v>
      </c>
      <c r="H160" s="123"/>
    </row>
    <row r="161" spans="1:8" ht="15.75" x14ac:dyDescent="0.25">
      <c r="A161" s="130"/>
      <c r="B161" s="131">
        <f>DATE(2023,9,1)</f>
        <v>45170</v>
      </c>
      <c r="C161" s="204">
        <v>172935</v>
      </c>
      <c r="D161" s="204">
        <v>44777.5</v>
      </c>
      <c r="E161" s="204">
        <v>21940.5</v>
      </c>
      <c r="F161" s="132">
        <f t="shared" si="40"/>
        <v>1.0408605091041681</v>
      </c>
      <c r="G161" s="215">
        <f>D161/C161</f>
        <v>0.25892676439124529</v>
      </c>
      <c r="H161" s="123"/>
    </row>
    <row r="162" spans="1:8" ht="15.75" x14ac:dyDescent="0.25">
      <c r="A162" s="130"/>
      <c r="B162" s="131">
        <f>DATE(2023,10,1)</f>
        <v>45200</v>
      </c>
      <c r="C162" s="204">
        <v>199343</v>
      </c>
      <c r="D162" s="204">
        <v>43819.5</v>
      </c>
      <c r="E162" s="204">
        <v>23452.5</v>
      </c>
      <c r="F162" s="132">
        <f t="shared" si="40"/>
        <v>0.86843620083146789</v>
      </c>
      <c r="G162" s="215">
        <f>D162/C162</f>
        <v>0.21981960741034298</v>
      </c>
      <c r="H162" s="123"/>
    </row>
    <row r="163" spans="1:8" ht="15.75" x14ac:dyDescent="0.25">
      <c r="A163" s="130"/>
      <c r="B163" s="131">
        <f>DATE(2023,11,1)</f>
        <v>45231</v>
      </c>
      <c r="C163" s="204">
        <v>159884</v>
      </c>
      <c r="D163" s="204">
        <v>38077.5</v>
      </c>
      <c r="E163" s="204">
        <v>27986</v>
      </c>
      <c r="F163" s="132">
        <f t="shared" si="40"/>
        <v>0.3605910097906096</v>
      </c>
      <c r="G163" s="215">
        <f>D163/C163</f>
        <v>0.23815703885316855</v>
      </c>
      <c r="H163" s="123"/>
    </row>
    <row r="164" spans="1:8" ht="15.75" x14ac:dyDescent="0.25">
      <c r="A164" s="130"/>
      <c r="B164" s="131">
        <f>DATE(2023,12,1)</f>
        <v>45261</v>
      </c>
      <c r="C164" s="204">
        <v>0</v>
      </c>
      <c r="D164" s="204">
        <v>0</v>
      </c>
      <c r="E164" s="204">
        <v>31936</v>
      </c>
      <c r="F164" s="132">
        <f t="shared" si="40"/>
        <v>-1</v>
      </c>
      <c r="G164" s="215">
        <v>0</v>
      </c>
      <c r="H164" s="123"/>
    </row>
    <row r="165" spans="1:8" ht="15.75" x14ac:dyDescent="0.25">
      <c r="A165" s="130"/>
      <c r="B165" s="131">
        <f>DATE(2024,1,1)</f>
        <v>45292</v>
      </c>
      <c r="C165" s="204">
        <v>0</v>
      </c>
      <c r="D165" s="204">
        <v>0</v>
      </c>
      <c r="E165" s="204">
        <v>19398.5</v>
      </c>
      <c r="F165" s="132">
        <f t="shared" ref="F165:F170" si="41">(+D165-E165)/E165</f>
        <v>-1</v>
      </c>
      <c r="G165" s="215">
        <v>0</v>
      </c>
      <c r="H165" s="123"/>
    </row>
    <row r="166" spans="1:8" ht="15.75" x14ac:dyDescent="0.25">
      <c r="A166" s="130"/>
      <c r="B166" s="131">
        <f>DATE(2024,2,1)</f>
        <v>45323</v>
      </c>
      <c r="C166" s="204">
        <v>0</v>
      </c>
      <c r="D166" s="204">
        <v>0</v>
      </c>
      <c r="E166" s="204">
        <v>38642.5</v>
      </c>
      <c r="F166" s="132">
        <f t="shared" si="41"/>
        <v>-1</v>
      </c>
      <c r="G166" s="215">
        <v>0</v>
      </c>
      <c r="H166" s="123"/>
    </row>
    <row r="167" spans="1:8" ht="15.75" x14ac:dyDescent="0.25">
      <c r="A167" s="130"/>
      <c r="B167" s="131">
        <f>DATE(2024,3,1)</f>
        <v>45352</v>
      </c>
      <c r="C167" s="204">
        <v>0</v>
      </c>
      <c r="D167" s="204">
        <v>0</v>
      </c>
      <c r="E167" s="204">
        <v>57536.5</v>
      </c>
      <c r="F167" s="132">
        <f t="shared" si="41"/>
        <v>-1</v>
      </c>
      <c r="G167" s="215">
        <v>0</v>
      </c>
      <c r="H167" s="123"/>
    </row>
    <row r="168" spans="1:8" ht="15.75" x14ac:dyDescent="0.25">
      <c r="A168" s="130"/>
      <c r="B168" s="131">
        <f>DATE(2024,4,1)</f>
        <v>45383</v>
      </c>
      <c r="C168" s="204">
        <v>0</v>
      </c>
      <c r="D168" s="204">
        <v>0</v>
      </c>
      <c r="E168" s="204">
        <v>40604.5</v>
      </c>
      <c r="F168" s="132">
        <f t="shared" si="41"/>
        <v>-1</v>
      </c>
      <c r="G168" s="215">
        <v>0</v>
      </c>
      <c r="H168" s="123"/>
    </row>
    <row r="169" spans="1:8" ht="15.75" x14ac:dyDescent="0.25">
      <c r="A169" s="130"/>
      <c r="B169" s="131">
        <f>DATE(2024,5,1)</f>
        <v>45413</v>
      </c>
      <c r="C169" s="204">
        <v>0</v>
      </c>
      <c r="D169" s="204">
        <v>0</v>
      </c>
      <c r="E169" s="204">
        <v>34609</v>
      </c>
      <c r="F169" s="132">
        <f t="shared" si="41"/>
        <v>-1</v>
      </c>
      <c r="G169" s="215">
        <v>0</v>
      </c>
      <c r="H169" s="123"/>
    </row>
    <row r="170" spans="1:8" ht="15.75" x14ac:dyDescent="0.25">
      <c r="A170" s="130"/>
      <c r="B170" s="131">
        <f>DATE(2024,6,1)</f>
        <v>45444</v>
      </c>
      <c r="C170" s="204">
        <v>0</v>
      </c>
      <c r="D170" s="204">
        <v>0</v>
      </c>
      <c r="E170" s="204">
        <v>60719</v>
      </c>
      <c r="F170" s="132">
        <f t="shared" si="41"/>
        <v>-1</v>
      </c>
      <c r="G170" s="215">
        <v>0</v>
      </c>
      <c r="H170" s="123"/>
    </row>
    <row r="171" spans="1:8" ht="15.75" thickBot="1" x14ac:dyDescent="0.25">
      <c r="A171" s="133"/>
      <c r="B171" s="134"/>
      <c r="C171" s="204"/>
      <c r="D171" s="204"/>
      <c r="E171" s="204"/>
      <c r="F171" s="132"/>
      <c r="G171" s="215"/>
      <c r="H171" s="123"/>
    </row>
    <row r="172" spans="1:8" ht="17.25" thickTop="1" thickBot="1" x14ac:dyDescent="0.3">
      <c r="A172" s="144" t="s">
        <v>14</v>
      </c>
      <c r="B172" s="145"/>
      <c r="C172" s="207">
        <f>SUM(C159:C171)</f>
        <v>907201</v>
      </c>
      <c r="D172" s="207">
        <f>SUM(D159:D171)</f>
        <v>229122.5</v>
      </c>
      <c r="E172" s="207">
        <f>SUM(E159:E171)</f>
        <v>434051.5</v>
      </c>
      <c r="F172" s="143">
        <f>(+D172-E172)/E172</f>
        <v>-0.47213061122931266</v>
      </c>
      <c r="G172" s="217">
        <f>D172/C172</f>
        <v>0.2525597965610708</v>
      </c>
      <c r="H172" s="123"/>
    </row>
    <row r="173" spans="1:8" ht="15.75" customHeight="1" thickTop="1" x14ac:dyDescent="0.25">
      <c r="A173" s="130"/>
      <c r="B173" s="134"/>
      <c r="C173" s="204"/>
      <c r="D173" s="204"/>
      <c r="E173" s="204"/>
      <c r="F173" s="132"/>
      <c r="G173" s="218"/>
      <c r="H173" s="123"/>
    </row>
    <row r="174" spans="1:8" ht="15.75" x14ac:dyDescent="0.25">
      <c r="A174" s="130" t="s">
        <v>37</v>
      </c>
      <c r="B174" s="131">
        <f>DATE(2023,7,1)</f>
        <v>45108</v>
      </c>
      <c r="C174" s="204">
        <v>20709684</v>
      </c>
      <c r="D174" s="204">
        <v>4690410.88</v>
      </c>
      <c r="E174" s="204">
        <v>4747644.93</v>
      </c>
      <c r="F174" s="132">
        <f t="shared" ref="F174:F179" si="42">(+D174-E174)/E174</f>
        <v>-1.2055250728280519E-2</v>
      </c>
      <c r="G174" s="215">
        <f t="shared" ref="G174:G179" si="43">D174/C174</f>
        <v>0.22648394248796844</v>
      </c>
      <c r="H174" s="123"/>
    </row>
    <row r="175" spans="1:8" ht="15.75" x14ac:dyDescent="0.25">
      <c r="A175" s="130"/>
      <c r="B175" s="131">
        <f>DATE(2023,8,1)</f>
        <v>45139</v>
      </c>
      <c r="C175" s="204">
        <v>20362139</v>
      </c>
      <c r="D175" s="204">
        <v>3109199.97</v>
      </c>
      <c r="E175" s="204">
        <v>5944421.2300000004</v>
      </c>
      <c r="F175" s="132">
        <f t="shared" si="42"/>
        <v>-0.47695497177948137</v>
      </c>
      <c r="G175" s="215">
        <f t="shared" si="43"/>
        <v>0.15269515496382774</v>
      </c>
      <c r="H175" s="123"/>
    </row>
    <row r="176" spans="1:8" ht="15.75" x14ac:dyDescent="0.25">
      <c r="A176" s="130"/>
      <c r="B176" s="131">
        <f>DATE(2023,9,1)</f>
        <v>45170</v>
      </c>
      <c r="C176" s="204">
        <v>21392075</v>
      </c>
      <c r="D176" s="204">
        <v>4835353.0999999996</v>
      </c>
      <c r="E176" s="204">
        <v>4482002.3499999996</v>
      </c>
      <c r="F176" s="132">
        <f t="shared" si="42"/>
        <v>7.8837698512139343E-2</v>
      </c>
      <c r="G176" s="215">
        <f t="shared" si="43"/>
        <v>0.22603478624677595</v>
      </c>
      <c r="H176" s="123"/>
    </row>
    <row r="177" spans="1:8" ht="15.75" x14ac:dyDescent="0.25">
      <c r="A177" s="130"/>
      <c r="B177" s="131">
        <f>DATE(2023,10,1)</f>
        <v>45200</v>
      </c>
      <c r="C177" s="204">
        <v>19934793</v>
      </c>
      <c r="D177" s="204">
        <v>4925406.22</v>
      </c>
      <c r="E177" s="204">
        <v>4856222.42</v>
      </c>
      <c r="F177" s="132">
        <f t="shared" si="42"/>
        <v>1.4246423251758681E-2</v>
      </c>
      <c r="G177" s="215">
        <f t="shared" si="43"/>
        <v>0.24707586479578694</v>
      </c>
      <c r="H177" s="123"/>
    </row>
    <row r="178" spans="1:8" ht="15.75" x14ac:dyDescent="0.25">
      <c r="A178" s="130"/>
      <c r="B178" s="131">
        <f>DATE(2023,11,1)</f>
        <v>45231</v>
      </c>
      <c r="C178" s="204">
        <v>20304922</v>
      </c>
      <c r="D178" s="204">
        <v>3625420.69</v>
      </c>
      <c r="E178" s="204">
        <v>4475648.3499999996</v>
      </c>
      <c r="F178" s="132">
        <f t="shared" si="42"/>
        <v>-0.18996748482261788</v>
      </c>
      <c r="G178" s="215">
        <f t="shared" si="43"/>
        <v>0.17854886071465825</v>
      </c>
      <c r="H178" s="123"/>
    </row>
    <row r="179" spans="1:8" ht="15.75" x14ac:dyDescent="0.25">
      <c r="A179" s="130"/>
      <c r="B179" s="131">
        <f>DATE(2023,12,1)</f>
        <v>45261</v>
      </c>
      <c r="C179" s="204">
        <v>23730013</v>
      </c>
      <c r="D179" s="204">
        <v>5033601.1500000004</v>
      </c>
      <c r="E179" s="204">
        <v>4385866.74</v>
      </c>
      <c r="F179" s="132">
        <f t="shared" si="42"/>
        <v>0.14768675119390429</v>
      </c>
      <c r="G179" s="215">
        <f t="shared" si="43"/>
        <v>0.21211961198672755</v>
      </c>
      <c r="H179" s="123"/>
    </row>
    <row r="180" spans="1:8" ht="15.75" x14ac:dyDescent="0.25">
      <c r="A180" s="130"/>
      <c r="B180" s="131">
        <f>DATE(2024,1,1)</f>
        <v>45292</v>
      </c>
      <c r="C180" s="204">
        <v>22155236</v>
      </c>
      <c r="D180" s="204">
        <v>4031282.04</v>
      </c>
      <c r="E180" s="204">
        <v>4078609.4</v>
      </c>
      <c r="F180" s="132">
        <f t="shared" ref="F180:F185" si="44">(+D180-E180)/E180</f>
        <v>-1.1603798098440088E-2</v>
      </c>
      <c r="G180" s="215">
        <f t="shared" ref="G180:G185" si="45">D180/C180</f>
        <v>0.18195617686040447</v>
      </c>
      <c r="H180" s="123"/>
    </row>
    <row r="181" spans="1:8" ht="15.75" x14ac:dyDescent="0.25">
      <c r="A181" s="130"/>
      <c r="B181" s="131">
        <f>DATE(2024,2,1)</f>
        <v>45323</v>
      </c>
      <c r="C181" s="204">
        <v>20554023</v>
      </c>
      <c r="D181" s="204">
        <v>4101154.55</v>
      </c>
      <c r="E181" s="204">
        <v>5567189.9299999997</v>
      </c>
      <c r="F181" s="132">
        <f t="shared" si="44"/>
        <v>-0.26333489577927871</v>
      </c>
      <c r="G181" s="215">
        <f t="shared" si="45"/>
        <v>0.19953050310394221</v>
      </c>
      <c r="H181" s="123"/>
    </row>
    <row r="182" spans="1:8" ht="15.75" x14ac:dyDescent="0.25">
      <c r="A182" s="130"/>
      <c r="B182" s="131">
        <f>DATE(2024,3,1)</f>
        <v>45352</v>
      </c>
      <c r="C182" s="204">
        <v>23574838</v>
      </c>
      <c r="D182" s="204">
        <v>4751168.29</v>
      </c>
      <c r="E182" s="204">
        <v>4791404.6399999997</v>
      </c>
      <c r="F182" s="132">
        <f t="shared" si="44"/>
        <v>-8.397610517820852E-3</v>
      </c>
      <c r="G182" s="215">
        <f t="shared" si="45"/>
        <v>0.20153556474067819</v>
      </c>
      <c r="H182" s="123"/>
    </row>
    <row r="183" spans="1:8" ht="15.75" x14ac:dyDescent="0.25">
      <c r="A183" s="130"/>
      <c r="B183" s="131">
        <f>DATE(2024,4,1)</f>
        <v>45383</v>
      </c>
      <c r="C183" s="204">
        <v>22140681</v>
      </c>
      <c r="D183" s="204">
        <v>4168058.85</v>
      </c>
      <c r="E183" s="204">
        <v>4936530.01</v>
      </c>
      <c r="F183" s="132">
        <f t="shared" si="44"/>
        <v>-0.1556703106115625</v>
      </c>
      <c r="G183" s="215">
        <f t="shared" si="45"/>
        <v>0.18825341686644598</v>
      </c>
      <c r="H183" s="123"/>
    </row>
    <row r="184" spans="1:8" ht="15.75" x14ac:dyDescent="0.25">
      <c r="A184" s="130"/>
      <c r="B184" s="131">
        <f>DATE(2024,5,1)</f>
        <v>45413</v>
      </c>
      <c r="C184" s="204">
        <v>21204576</v>
      </c>
      <c r="D184" s="204">
        <v>4590200.3</v>
      </c>
      <c r="E184" s="204">
        <v>4531382.07</v>
      </c>
      <c r="F184" s="132">
        <f t="shared" si="44"/>
        <v>1.2980196569476101E-2</v>
      </c>
      <c r="G184" s="215">
        <f t="shared" si="45"/>
        <v>0.21647215676465306</v>
      </c>
      <c r="H184" s="123"/>
    </row>
    <row r="185" spans="1:8" ht="15.75" x14ac:dyDescent="0.25">
      <c r="A185" s="130"/>
      <c r="B185" s="131">
        <f>DATE(2024,6,1)</f>
        <v>45444</v>
      </c>
      <c r="C185" s="204">
        <v>20254435</v>
      </c>
      <c r="D185" s="204">
        <v>5118714.68</v>
      </c>
      <c r="E185" s="204">
        <v>4279617.5999999996</v>
      </c>
      <c r="F185" s="132">
        <f t="shared" si="44"/>
        <v>0.19606823749860272</v>
      </c>
      <c r="G185" s="215">
        <f t="shared" si="45"/>
        <v>0.25272068463030439</v>
      </c>
      <c r="H185" s="123"/>
    </row>
    <row r="186" spans="1:8" ht="15.75" thickBot="1" x14ac:dyDescent="0.25">
      <c r="A186" s="133"/>
      <c r="B186" s="134"/>
      <c r="C186" s="204"/>
      <c r="D186" s="204"/>
      <c r="E186" s="204"/>
      <c r="F186" s="132"/>
      <c r="G186" s="215"/>
      <c r="H186" s="123"/>
    </row>
    <row r="187" spans="1:8" ht="17.25" thickTop="1" thickBot="1" x14ac:dyDescent="0.3">
      <c r="A187" s="141" t="s">
        <v>14</v>
      </c>
      <c r="B187" s="142"/>
      <c r="C187" s="206">
        <f>SUM(C174:C186)</f>
        <v>256317415</v>
      </c>
      <c r="D187" s="207">
        <f>SUM(D174:D186)</f>
        <v>52979970.719999991</v>
      </c>
      <c r="E187" s="206">
        <f>SUM(E174:E186)</f>
        <v>57076539.670000002</v>
      </c>
      <c r="F187" s="143">
        <f>(+D187-E187)/E187</f>
        <v>-7.1773253488827182E-2</v>
      </c>
      <c r="G187" s="217">
        <f>D187/C187</f>
        <v>0.20669672686890975</v>
      </c>
      <c r="H187" s="123"/>
    </row>
    <row r="188" spans="1:8" ht="15.75" customHeight="1" thickTop="1" x14ac:dyDescent="0.25">
      <c r="A188" s="130"/>
      <c r="B188" s="134"/>
      <c r="C188" s="204"/>
      <c r="D188" s="204"/>
      <c r="E188" s="204"/>
      <c r="F188" s="132"/>
      <c r="G188" s="218"/>
      <c r="H188" s="123"/>
    </row>
    <row r="189" spans="1:8" ht="15.75" x14ac:dyDescent="0.25">
      <c r="A189" s="130" t="s">
        <v>57</v>
      </c>
      <c r="B189" s="131">
        <f>DATE(2023,7,1)</f>
        <v>45108</v>
      </c>
      <c r="C189" s="204">
        <v>667022</v>
      </c>
      <c r="D189" s="204">
        <v>167507.5</v>
      </c>
      <c r="E189" s="204">
        <v>196833</v>
      </c>
      <c r="F189" s="132">
        <f t="shared" ref="F189:F194" si="46">(+D189-E189)/E189</f>
        <v>-0.14898670446520654</v>
      </c>
      <c r="G189" s="215">
        <f t="shared" ref="G189:G194" si="47">D189/C189</f>
        <v>0.25112739909628168</v>
      </c>
      <c r="H189" s="123"/>
    </row>
    <row r="190" spans="1:8" ht="15.75" x14ac:dyDescent="0.25">
      <c r="A190" s="130"/>
      <c r="B190" s="131">
        <f>DATE(2023,8,1)</f>
        <v>45139</v>
      </c>
      <c r="C190" s="204">
        <v>610032</v>
      </c>
      <c r="D190" s="204">
        <v>211410</v>
      </c>
      <c r="E190" s="204">
        <v>151280.5</v>
      </c>
      <c r="F190" s="132">
        <f t="shared" si="46"/>
        <v>0.39747026219506149</v>
      </c>
      <c r="G190" s="215">
        <f t="shared" si="47"/>
        <v>0.34655559052639862</v>
      </c>
      <c r="H190" s="123"/>
    </row>
    <row r="191" spans="1:8" ht="15.75" x14ac:dyDescent="0.25">
      <c r="A191" s="130"/>
      <c r="B191" s="131">
        <f>DATE(2023,9,1)</f>
        <v>45170</v>
      </c>
      <c r="C191" s="204">
        <v>532466</v>
      </c>
      <c r="D191" s="204">
        <v>169350</v>
      </c>
      <c r="E191" s="204">
        <v>193974</v>
      </c>
      <c r="F191" s="132">
        <f t="shared" si="46"/>
        <v>-0.12694484827863528</v>
      </c>
      <c r="G191" s="215">
        <f t="shared" si="47"/>
        <v>0.31804847633463923</v>
      </c>
      <c r="H191" s="123"/>
    </row>
    <row r="192" spans="1:8" ht="15.75" x14ac:dyDescent="0.25">
      <c r="A192" s="130"/>
      <c r="B192" s="131">
        <f>DATE(2023,10,1)</f>
        <v>45200</v>
      </c>
      <c r="C192" s="204">
        <v>417867</v>
      </c>
      <c r="D192" s="204">
        <v>88179.5</v>
      </c>
      <c r="E192" s="204">
        <v>196489.5</v>
      </c>
      <c r="F192" s="132">
        <f t="shared" si="46"/>
        <v>-0.55122538354466777</v>
      </c>
      <c r="G192" s="215">
        <f t="shared" si="47"/>
        <v>0.21102288527210811</v>
      </c>
      <c r="H192" s="123"/>
    </row>
    <row r="193" spans="1:8" ht="15.75" x14ac:dyDescent="0.25">
      <c r="A193" s="130"/>
      <c r="B193" s="131">
        <f>DATE(2023,11,1)</f>
        <v>45231</v>
      </c>
      <c r="C193" s="204">
        <v>535756</v>
      </c>
      <c r="D193" s="204">
        <v>133089.5</v>
      </c>
      <c r="E193" s="204">
        <v>205853.5</v>
      </c>
      <c r="F193" s="132">
        <f t="shared" si="46"/>
        <v>-0.3534746798086989</v>
      </c>
      <c r="G193" s="215">
        <f t="shared" si="47"/>
        <v>0.24841439013282166</v>
      </c>
      <c r="H193" s="123"/>
    </row>
    <row r="194" spans="1:8" ht="15.75" x14ac:dyDescent="0.25">
      <c r="A194" s="130"/>
      <c r="B194" s="131">
        <f>DATE(2023,12,1)</f>
        <v>45261</v>
      </c>
      <c r="C194" s="204">
        <v>646232</v>
      </c>
      <c r="D194" s="204">
        <v>263841.5</v>
      </c>
      <c r="E194" s="204">
        <v>179648</v>
      </c>
      <c r="F194" s="132">
        <f t="shared" si="46"/>
        <v>0.46865815372283576</v>
      </c>
      <c r="G194" s="215">
        <f t="shared" si="47"/>
        <v>0.40827674890751309</v>
      </c>
      <c r="H194" s="123"/>
    </row>
    <row r="195" spans="1:8" ht="15.75" x14ac:dyDescent="0.25">
      <c r="A195" s="130"/>
      <c r="B195" s="131">
        <f>DATE(2024,1,1)</f>
        <v>45292</v>
      </c>
      <c r="C195" s="204">
        <v>452540</v>
      </c>
      <c r="D195" s="204">
        <v>139110</v>
      </c>
      <c r="E195" s="204">
        <v>120250</v>
      </c>
      <c r="F195" s="132">
        <f t="shared" ref="F195:F200" si="48">(+D195-E195)/E195</f>
        <v>0.15683991683991683</v>
      </c>
      <c r="G195" s="215">
        <f t="shared" ref="G195:G200" si="49">D195/C195</f>
        <v>0.30739824103946611</v>
      </c>
      <c r="H195" s="123"/>
    </row>
    <row r="196" spans="1:8" ht="15.75" x14ac:dyDescent="0.25">
      <c r="A196" s="130"/>
      <c r="B196" s="131">
        <f>DATE(2024,2,1)</f>
        <v>45323</v>
      </c>
      <c r="C196" s="204">
        <v>556739</v>
      </c>
      <c r="D196" s="204">
        <v>167570.5</v>
      </c>
      <c r="E196" s="204">
        <v>189664</v>
      </c>
      <c r="F196" s="132">
        <f t="shared" si="48"/>
        <v>-0.11648757803273156</v>
      </c>
      <c r="G196" s="215">
        <f t="shared" si="49"/>
        <v>0.3009857401762765</v>
      </c>
      <c r="H196" s="123"/>
    </row>
    <row r="197" spans="1:8" ht="15.75" x14ac:dyDescent="0.25">
      <c r="A197" s="130"/>
      <c r="B197" s="131">
        <f>DATE(2024,3,1)</f>
        <v>45352</v>
      </c>
      <c r="C197" s="204">
        <v>709180</v>
      </c>
      <c r="D197" s="204">
        <v>169974.5</v>
      </c>
      <c r="E197" s="204">
        <v>187974</v>
      </c>
      <c r="F197" s="132">
        <f t="shared" si="48"/>
        <v>-9.5755264025875919E-2</v>
      </c>
      <c r="G197" s="215">
        <f t="shared" si="49"/>
        <v>0.23967751487633604</v>
      </c>
      <c r="H197" s="123"/>
    </row>
    <row r="198" spans="1:8" ht="15.75" x14ac:dyDescent="0.25">
      <c r="A198" s="130"/>
      <c r="B198" s="131">
        <f>DATE(2024,4,1)</f>
        <v>45383</v>
      </c>
      <c r="C198" s="204">
        <v>608443</v>
      </c>
      <c r="D198" s="204">
        <v>92042.5</v>
      </c>
      <c r="E198" s="204">
        <v>218310</v>
      </c>
      <c r="F198" s="132">
        <f t="shared" si="48"/>
        <v>-0.57838623975081305</v>
      </c>
      <c r="G198" s="215">
        <f t="shared" si="49"/>
        <v>0.15127546869632816</v>
      </c>
      <c r="H198" s="123"/>
    </row>
    <row r="199" spans="1:8" ht="15.75" x14ac:dyDescent="0.25">
      <c r="A199" s="130"/>
      <c r="B199" s="131">
        <f>DATE(2024,5,1)</f>
        <v>45413</v>
      </c>
      <c r="C199" s="204">
        <v>697306</v>
      </c>
      <c r="D199" s="204">
        <v>195850.5</v>
      </c>
      <c r="E199" s="204">
        <v>141377</v>
      </c>
      <c r="F199" s="132">
        <f t="shared" si="48"/>
        <v>0.3853066623283844</v>
      </c>
      <c r="G199" s="215">
        <f t="shared" si="49"/>
        <v>0.28086736669410561</v>
      </c>
      <c r="H199" s="123"/>
    </row>
    <row r="200" spans="1:8" ht="15.75" x14ac:dyDescent="0.25">
      <c r="A200" s="130"/>
      <c r="B200" s="131">
        <f>DATE(2024,6,1)</f>
        <v>45444</v>
      </c>
      <c r="C200" s="204">
        <v>744876</v>
      </c>
      <c r="D200" s="204">
        <v>170948.5</v>
      </c>
      <c r="E200" s="204">
        <v>176726</v>
      </c>
      <c r="F200" s="132">
        <f t="shared" si="48"/>
        <v>-3.2691850661475959E-2</v>
      </c>
      <c r="G200" s="215">
        <f t="shared" si="49"/>
        <v>0.22949927236211129</v>
      </c>
      <c r="H200" s="123"/>
    </row>
    <row r="201" spans="1:8" ht="15.75" thickBot="1" x14ac:dyDescent="0.25">
      <c r="A201" s="133"/>
      <c r="B201" s="134"/>
      <c r="C201" s="204"/>
      <c r="D201" s="204"/>
      <c r="E201" s="204"/>
      <c r="F201" s="132"/>
      <c r="G201" s="215"/>
      <c r="H201" s="123"/>
    </row>
    <row r="202" spans="1:8" ht="17.25" thickTop="1" thickBot="1" x14ac:dyDescent="0.3">
      <c r="A202" s="135" t="s">
        <v>14</v>
      </c>
      <c r="B202" s="136"/>
      <c r="C202" s="201">
        <f>SUM(C189:C201)</f>
        <v>7178459</v>
      </c>
      <c r="D202" s="207">
        <f>SUM(D189:D201)</f>
        <v>1968874.5</v>
      </c>
      <c r="E202" s="207">
        <f>SUM(E189:E201)</f>
        <v>2158379.5</v>
      </c>
      <c r="F202" s="143">
        <f>(+D202-E202)/E202</f>
        <v>-8.7799666370070695E-2</v>
      </c>
      <c r="G202" s="217">
        <f>D202/C202</f>
        <v>0.27427537024311205</v>
      </c>
      <c r="H202" s="123"/>
    </row>
    <row r="203" spans="1:8" ht="16.5" thickTop="1" thickBot="1" x14ac:dyDescent="0.25">
      <c r="A203" s="146"/>
      <c r="B203" s="139"/>
      <c r="C203" s="205"/>
      <c r="D203" s="205"/>
      <c r="E203" s="205"/>
      <c r="F203" s="140"/>
      <c r="G203" s="216"/>
      <c r="H203" s="123"/>
    </row>
    <row r="204" spans="1:8" ht="17.25" thickTop="1" thickBot="1" x14ac:dyDescent="0.3">
      <c r="A204" s="147" t="s">
        <v>38</v>
      </c>
      <c r="B204" s="121"/>
      <c r="C204" s="201">
        <f>C202+C187+C142+C112+C82+C52+C22+C67+C172+C37+C127+C157+C97</f>
        <v>1320429224.2599998</v>
      </c>
      <c r="D204" s="201">
        <f>D202+D187+D142+D112+D82+D52+D22+D67+D172+D37+D127+D157+D97</f>
        <v>263643079.94999999</v>
      </c>
      <c r="E204" s="201">
        <f>E202+E187+E142+E112+E82+E52+E22+E67+E172+E37+E127+E157+E97</f>
        <v>273404436.75999999</v>
      </c>
      <c r="F204" s="137">
        <f>(+D204-E204)/E204</f>
        <v>-3.5702993432285522E-2</v>
      </c>
      <c r="G204" s="212">
        <f>D204/C204</f>
        <v>0.19966468107955723</v>
      </c>
      <c r="H204" s="123"/>
    </row>
    <row r="205" spans="1:8" ht="17.25" thickTop="1" thickBot="1" x14ac:dyDescent="0.3">
      <c r="A205" s="147"/>
      <c r="B205" s="121"/>
      <c r="C205" s="201"/>
      <c r="D205" s="201"/>
      <c r="E205" s="201"/>
      <c r="F205" s="137"/>
      <c r="G205" s="212"/>
      <c r="H205" s="123"/>
    </row>
    <row r="206" spans="1:8" ht="17.25" thickTop="1" thickBot="1" x14ac:dyDescent="0.3">
      <c r="A206" s="265" t="s">
        <v>39</v>
      </c>
      <c r="B206" s="266"/>
      <c r="C206" s="206">
        <f>+C20+C35+C50+C65+C80+C95+C110+C125+C140+C155+C170+C185+C200</f>
        <v>108331338.5</v>
      </c>
      <c r="D206" s="206">
        <f>+D20+D35+D50+D65+D80+D95+D110+D125+D140+D155+D170+D185+D200</f>
        <v>21950789.140000001</v>
      </c>
      <c r="E206" s="206">
        <f>+E20+E35+E50+E65+E80+E95+E110+E125+E140+E155+E170+E185+E200</f>
        <v>21449998.030000001</v>
      </c>
      <c r="F206" s="268">
        <f>(+D206-E206)/E206</f>
        <v>2.3346907039319638E-2</v>
      </c>
      <c r="G206" s="217">
        <f>D206/C206</f>
        <v>0.20262640011597383</v>
      </c>
      <c r="H206" s="123"/>
    </row>
    <row r="207" spans="1:8" ht="16.5" thickTop="1" x14ac:dyDescent="0.25">
      <c r="A207" s="256"/>
      <c r="B207" s="258"/>
      <c r="C207" s="259"/>
      <c r="D207" s="259"/>
      <c r="E207" s="259"/>
      <c r="F207" s="260"/>
      <c r="G207" s="257"/>
      <c r="H207" s="257"/>
    </row>
    <row r="208" spans="1:8" ht="18.75" x14ac:dyDescent="0.3">
      <c r="A208" s="263" t="s">
        <v>40</v>
      </c>
      <c r="B208" s="117"/>
      <c r="C208" s="208"/>
      <c r="D208" s="208"/>
      <c r="E208" s="208"/>
      <c r="F208" s="148"/>
      <c r="G208" s="220"/>
    </row>
    <row r="209" spans="1:1" ht="15.75" x14ac:dyDescent="0.25">
      <c r="A209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52" max="7" man="1"/>
    <brk id="97" max="7" man="1"/>
    <brk id="142" max="7" man="1"/>
    <brk id="18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75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x14ac:dyDescent="0.25">
      <c r="A11" s="164"/>
      <c r="B11" s="165">
        <f>DATE(23,8,1)</f>
        <v>8614</v>
      </c>
      <c r="C11" s="226">
        <v>0</v>
      </c>
      <c r="D11" s="226">
        <v>0</v>
      </c>
      <c r="E11" s="226">
        <v>119034.53</v>
      </c>
      <c r="F11" s="166">
        <v>-1</v>
      </c>
      <c r="G11" s="241">
        <v>0</v>
      </c>
      <c r="H11" s="289">
        <v>0</v>
      </c>
    </row>
    <row r="12" spans="1:8" ht="15.75" x14ac:dyDescent="0.25">
      <c r="A12" s="164"/>
      <c r="B12" s="165">
        <f>DATE(23,9,1)</f>
        <v>8645</v>
      </c>
      <c r="C12" s="226">
        <v>0</v>
      </c>
      <c r="D12" s="226">
        <v>0</v>
      </c>
      <c r="E12" s="226">
        <v>77282.02</v>
      </c>
      <c r="F12" s="166">
        <v>-1</v>
      </c>
      <c r="G12" s="241">
        <v>0</v>
      </c>
      <c r="H12" s="289">
        <v>0</v>
      </c>
    </row>
    <row r="13" spans="1:8" ht="15.75" x14ac:dyDescent="0.25">
      <c r="A13" s="164"/>
      <c r="B13" s="165">
        <f>DATE(23,10,1)</f>
        <v>8675</v>
      </c>
      <c r="C13" s="226">
        <v>0</v>
      </c>
      <c r="D13" s="226">
        <v>0</v>
      </c>
      <c r="E13" s="226">
        <v>97377.75</v>
      </c>
      <c r="F13" s="166">
        <v>-1</v>
      </c>
      <c r="G13" s="241">
        <v>0</v>
      </c>
      <c r="H13" s="289">
        <v>0</v>
      </c>
    </row>
    <row r="14" spans="1:8" ht="15.75" x14ac:dyDescent="0.25">
      <c r="A14" s="164"/>
      <c r="B14" s="165">
        <f>DATE(23,11,1)</f>
        <v>8706</v>
      </c>
      <c r="C14" s="226">
        <v>0</v>
      </c>
      <c r="D14" s="226">
        <v>0</v>
      </c>
      <c r="E14" s="226">
        <v>92934.27</v>
      </c>
      <c r="F14" s="166">
        <v>-1</v>
      </c>
      <c r="G14" s="241">
        <v>0</v>
      </c>
      <c r="H14" s="289">
        <v>0</v>
      </c>
    </row>
    <row r="15" spans="1:8" ht="15.75" x14ac:dyDescent="0.25">
      <c r="A15" s="164"/>
      <c r="B15" s="165">
        <f>DATE(23,12,1)</f>
        <v>8736</v>
      </c>
      <c r="C15" s="226">
        <v>0</v>
      </c>
      <c r="D15" s="226">
        <v>0</v>
      </c>
      <c r="E15" s="226">
        <v>0</v>
      </c>
      <c r="F15" s="166">
        <v>0</v>
      </c>
      <c r="G15" s="241">
        <v>0</v>
      </c>
      <c r="H15" s="242">
        <v>0</v>
      </c>
    </row>
    <row r="16" spans="1:8" ht="15.75" x14ac:dyDescent="0.25">
      <c r="A16" s="164"/>
      <c r="B16" s="165">
        <f>DATE(24,1,1)</f>
        <v>8767</v>
      </c>
      <c r="C16" s="226">
        <v>0</v>
      </c>
      <c r="D16" s="226">
        <v>0</v>
      </c>
      <c r="E16" s="226">
        <v>0</v>
      </c>
      <c r="F16" s="166">
        <v>0</v>
      </c>
      <c r="G16" s="241">
        <v>0</v>
      </c>
      <c r="H16" s="242">
        <v>0</v>
      </c>
    </row>
    <row r="17" spans="1:8" ht="15.75" x14ac:dyDescent="0.25">
      <c r="A17" s="164"/>
      <c r="B17" s="165">
        <f>DATE(24,2,1)</f>
        <v>8798</v>
      </c>
      <c r="C17" s="226">
        <v>0</v>
      </c>
      <c r="D17" s="226">
        <v>0</v>
      </c>
      <c r="E17" s="226">
        <v>0</v>
      </c>
      <c r="F17" s="166">
        <v>0</v>
      </c>
      <c r="G17" s="241">
        <v>0</v>
      </c>
      <c r="H17" s="242">
        <v>0</v>
      </c>
    </row>
    <row r="18" spans="1:8" ht="15.75" x14ac:dyDescent="0.25">
      <c r="A18" s="164"/>
      <c r="B18" s="165">
        <f>DATE(24,3,1)</f>
        <v>8827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x14ac:dyDescent="0.25">
      <c r="A19" s="164"/>
      <c r="B19" s="165">
        <f>DATE(24,4,1)</f>
        <v>8858</v>
      </c>
      <c r="C19" s="226">
        <v>0</v>
      </c>
      <c r="D19" s="226">
        <v>0</v>
      </c>
      <c r="E19" s="226">
        <v>0</v>
      </c>
      <c r="F19" s="166">
        <v>0</v>
      </c>
      <c r="G19" s="241">
        <v>0</v>
      </c>
      <c r="H19" s="242">
        <v>0</v>
      </c>
    </row>
    <row r="20" spans="1:8" ht="15.75" x14ac:dyDescent="0.25">
      <c r="A20" s="164"/>
      <c r="B20" s="165">
        <f>DATE(24,5,1)</f>
        <v>8888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x14ac:dyDescent="0.25">
      <c r="A21" s="164"/>
      <c r="B21" s="165">
        <f>DATE(24,6,1)</f>
        <v>8919</v>
      </c>
      <c r="C21" s="226">
        <v>0</v>
      </c>
      <c r="D21" s="226">
        <v>0</v>
      </c>
      <c r="E21" s="226">
        <v>0</v>
      </c>
      <c r="F21" s="166">
        <v>0</v>
      </c>
      <c r="G21" s="241">
        <v>0</v>
      </c>
      <c r="H21" s="242">
        <v>0</v>
      </c>
    </row>
    <row r="22" spans="1:8" ht="15.75" thickBot="1" x14ac:dyDescent="0.25">
      <c r="A22" s="167"/>
      <c r="B22" s="168"/>
      <c r="C22" s="226"/>
      <c r="D22" s="226"/>
      <c r="E22" s="226"/>
      <c r="F22" s="166"/>
      <c r="G22" s="241"/>
      <c r="H22" s="242"/>
    </row>
    <row r="23" spans="1:8" ht="17.25" thickTop="1" thickBot="1" x14ac:dyDescent="0.3">
      <c r="A23" s="169" t="s">
        <v>14</v>
      </c>
      <c r="B23" s="155"/>
      <c r="C23" s="223">
        <f>SUM(C10:C22)</f>
        <v>0</v>
      </c>
      <c r="D23" s="223">
        <f>SUM(D10:D22)</f>
        <v>0</v>
      </c>
      <c r="E23" s="223">
        <f>SUM(E10:E22)</f>
        <v>506770.29000000004</v>
      </c>
      <c r="F23" s="176">
        <f>+(D23-E23)/E23</f>
        <v>-1</v>
      </c>
      <c r="G23" s="245">
        <v>0</v>
      </c>
      <c r="H23" s="246">
        <v>0</v>
      </c>
    </row>
    <row r="24" spans="1:8" ht="15.75" thickTop="1" x14ac:dyDescent="0.2">
      <c r="A24" s="171"/>
      <c r="B24" s="172"/>
      <c r="C24" s="227"/>
      <c r="D24" s="227"/>
      <c r="E24" s="227"/>
      <c r="F24" s="173"/>
      <c r="G24" s="243"/>
      <c r="H24" s="244"/>
    </row>
    <row r="25" spans="1:8" ht="15.75" x14ac:dyDescent="0.25">
      <c r="A25" s="19" t="s">
        <v>48</v>
      </c>
      <c r="B25" s="165">
        <f>DATE(23,7,1)</f>
        <v>8583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DATE(23,8,1)</f>
        <v>8614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DATE(23,9,1)</f>
        <v>8645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DATE(23,10,1)</f>
        <v>8675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DATE(23,11,1)</f>
        <v>8706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DATE(23,12,1)</f>
        <v>8736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x14ac:dyDescent="0.25">
      <c r="A31" s="19"/>
      <c r="B31" s="165">
        <f>DATE(24,1,1)</f>
        <v>8767</v>
      </c>
      <c r="C31" s="226">
        <v>0</v>
      </c>
      <c r="D31" s="226">
        <v>0</v>
      </c>
      <c r="E31" s="226">
        <v>0</v>
      </c>
      <c r="F31" s="166">
        <v>0</v>
      </c>
      <c r="G31" s="241">
        <v>0</v>
      </c>
      <c r="H31" s="242">
        <v>0</v>
      </c>
    </row>
    <row r="32" spans="1:8" ht="15.75" x14ac:dyDescent="0.25">
      <c r="A32" s="19"/>
      <c r="B32" s="165">
        <f>DATE(24,2,1)</f>
        <v>8798</v>
      </c>
      <c r="C32" s="226">
        <v>0</v>
      </c>
      <c r="D32" s="226">
        <v>0</v>
      </c>
      <c r="E32" s="226">
        <v>0</v>
      </c>
      <c r="F32" s="166">
        <v>0</v>
      </c>
      <c r="G32" s="241">
        <v>0</v>
      </c>
      <c r="H32" s="242">
        <v>0</v>
      </c>
    </row>
    <row r="33" spans="1:8" ht="15.75" x14ac:dyDescent="0.25">
      <c r="A33" s="19"/>
      <c r="B33" s="165">
        <f>DATE(24,3,1)</f>
        <v>8827</v>
      </c>
      <c r="C33" s="226">
        <v>0</v>
      </c>
      <c r="D33" s="226">
        <v>0</v>
      </c>
      <c r="E33" s="226">
        <v>0</v>
      </c>
      <c r="F33" s="166">
        <v>0</v>
      </c>
      <c r="G33" s="241">
        <v>0</v>
      </c>
      <c r="H33" s="242">
        <v>0</v>
      </c>
    </row>
    <row r="34" spans="1:8" ht="15.75" x14ac:dyDescent="0.25">
      <c r="A34" s="19"/>
      <c r="B34" s="165">
        <f>DATE(24,4,1)</f>
        <v>8858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x14ac:dyDescent="0.25">
      <c r="A35" s="19"/>
      <c r="B35" s="165">
        <f>DATE(24,5,1)</f>
        <v>8888</v>
      </c>
      <c r="C35" s="226">
        <v>0</v>
      </c>
      <c r="D35" s="226">
        <v>0</v>
      </c>
      <c r="E35" s="226">
        <v>0</v>
      </c>
      <c r="F35" s="166">
        <v>0</v>
      </c>
      <c r="G35" s="241">
        <v>0</v>
      </c>
      <c r="H35" s="242">
        <v>0</v>
      </c>
    </row>
    <row r="36" spans="1:8" ht="15.75" x14ac:dyDescent="0.25">
      <c r="A36" s="19"/>
      <c r="B36" s="165">
        <f>DATE(24,6,1)</f>
        <v>8919</v>
      </c>
      <c r="C36" s="226">
        <v>0</v>
      </c>
      <c r="D36" s="226">
        <v>0</v>
      </c>
      <c r="E36" s="226">
        <v>0</v>
      </c>
      <c r="F36" s="166">
        <v>0</v>
      </c>
      <c r="G36" s="241">
        <v>0</v>
      </c>
      <c r="H36" s="242">
        <v>0</v>
      </c>
    </row>
    <row r="37" spans="1:8" ht="15.75" thickBot="1" x14ac:dyDescent="0.25">
      <c r="A37" s="167"/>
      <c r="B37" s="165"/>
      <c r="C37" s="226"/>
      <c r="D37" s="226"/>
      <c r="E37" s="226"/>
      <c r="F37" s="166"/>
      <c r="G37" s="241"/>
      <c r="H37" s="242"/>
    </row>
    <row r="38" spans="1:8" ht="17.25" thickTop="1" thickBot="1" x14ac:dyDescent="0.3">
      <c r="A38" s="169" t="s">
        <v>14</v>
      </c>
      <c r="B38" s="155"/>
      <c r="C38" s="223">
        <f>SUM(C25:C37)</f>
        <v>0</v>
      </c>
      <c r="D38" s="223">
        <f>SUM(D25:D37)</f>
        <v>0</v>
      </c>
      <c r="E38" s="223">
        <f>SUM(E25:E37)</f>
        <v>0</v>
      </c>
      <c r="F38" s="170">
        <v>0</v>
      </c>
      <c r="G38" s="236">
        <v>0</v>
      </c>
      <c r="H38" s="237">
        <v>0</v>
      </c>
    </row>
    <row r="39" spans="1:8" ht="15.75" thickTop="1" x14ac:dyDescent="0.2">
      <c r="A39" s="171"/>
      <c r="B39" s="172"/>
      <c r="C39" s="227"/>
      <c r="D39" s="227"/>
      <c r="E39" s="227"/>
      <c r="F39" s="173"/>
      <c r="G39" s="243"/>
      <c r="H39" s="244"/>
    </row>
    <row r="40" spans="1:8" ht="15.75" x14ac:dyDescent="0.25">
      <c r="A40" s="19" t="s">
        <v>62</v>
      </c>
      <c r="B40" s="165">
        <f>DATE(23,7,1)</f>
        <v>8583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9"/>
      <c r="B41" s="165">
        <f>DATE(23,8,1)</f>
        <v>8614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x14ac:dyDescent="0.25">
      <c r="A42" s="19"/>
      <c r="B42" s="165">
        <f>DATE(23,9,1)</f>
        <v>8645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x14ac:dyDescent="0.25">
      <c r="A43" s="19"/>
      <c r="B43" s="165">
        <f>DATE(23,10,1)</f>
        <v>8675</v>
      </c>
      <c r="C43" s="226">
        <v>0</v>
      </c>
      <c r="D43" s="226">
        <v>0</v>
      </c>
      <c r="E43" s="226">
        <v>0</v>
      </c>
      <c r="F43" s="166">
        <v>0</v>
      </c>
      <c r="G43" s="241">
        <v>0</v>
      </c>
      <c r="H43" s="242">
        <v>0</v>
      </c>
    </row>
    <row r="44" spans="1:8" ht="15.75" x14ac:dyDescent="0.25">
      <c r="A44" s="19"/>
      <c r="B44" s="165">
        <f>DATE(23,11,1)</f>
        <v>8706</v>
      </c>
      <c r="C44" s="226">
        <v>0</v>
      </c>
      <c r="D44" s="226">
        <v>0</v>
      </c>
      <c r="E44" s="226">
        <v>0</v>
      </c>
      <c r="F44" s="166">
        <v>0</v>
      </c>
      <c r="G44" s="241">
        <v>0</v>
      </c>
      <c r="H44" s="242">
        <v>0</v>
      </c>
    </row>
    <row r="45" spans="1:8" ht="15.75" x14ac:dyDescent="0.25">
      <c r="A45" s="19"/>
      <c r="B45" s="165">
        <f>DATE(23,12,1)</f>
        <v>8736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9"/>
      <c r="B46" s="165">
        <f>DATE(24,1,1)</f>
        <v>8767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x14ac:dyDescent="0.25">
      <c r="A47" s="19"/>
      <c r="B47" s="165">
        <f>DATE(24,2,1)</f>
        <v>8798</v>
      </c>
      <c r="C47" s="226">
        <v>0</v>
      </c>
      <c r="D47" s="226">
        <v>0</v>
      </c>
      <c r="E47" s="226">
        <v>0</v>
      </c>
      <c r="F47" s="166">
        <v>0</v>
      </c>
      <c r="G47" s="241">
        <v>0</v>
      </c>
      <c r="H47" s="242">
        <v>0</v>
      </c>
    </row>
    <row r="48" spans="1:8" ht="15.75" x14ac:dyDescent="0.25">
      <c r="A48" s="19"/>
      <c r="B48" s="165">
        <f>DATE(24,3,1)</f>
        <v>8827</v>
      </c>
      <c r="C48" s="226">
        <v>0</v>
      </c>
      <c r="D48" s="226">
        <v>0</v>
      </c>
      <c r="E48" s="226">
        <v>0</v>
      </c>
      <c r="F48" s="166">
        <v>0</v>
      </c>
      <c r="G48" s="241">
        <v>0</v>
      </c>
      <c r="H48" s="242">
        <v>0</v>
      </c>
    </row>
    <row r="49" spans="1:8" ht="15.75" x14ac:dyDescent="0.25">
      <c r="A49" s="19"/>
      <c r="B49" s="165">
        <f>DATE(24,4,1)</f>
        <v>8858</v>
      </c>
      <c r="C49" s="226">
        <v>0</v>
      </c>
      <c r="D49" s="226">
        <v>0</v>
      </c>
      <c r="E49" s="226">
        <v>0</v>
      </c>
      <c r="F49" s="166">
        <v>0</v>
      </c>
      <c r="G49" s="241">
        <v>0</v>
      </c>
      <c r="H49" s="242">
        <v>0</v>
      </c>
    </row>
    <row r="50" spans="1:8" ht="15.75" x14ac:dyDescent="0.25">
      <c r="A50" s="19"/>
      <c r="B50" s="165">
        <f>DATE(24,5,1)</f>
        <v>8888</v>
      </c>
      <c r="C50" s="226">
        <v>0</v>
      </c>
      <c r="D50" s="226">
        <v>0</v>
      </c>
      <c r="E50" s="226">
        <v>0</v>
      </c>
      <c r="F50" s="166">
        <v>0</v>
      </c>
      <c r="G50" s="241">
        <v>0</v>
      </c>
      <c r="H50" s="242">
        <v>0</v>
      </c>
    </row>
    <row r="51" spans="1:8" ht="15.75" x14ac:dyDescent="0.25">
      <c r="A51" s="19"/>
      <c r="B51" s="165">
        <f>DATE(24,6,1)</f>
        <v>8919</v>
      </c>
      <c r="C51" s="226">
        <v>0</v>
      </c>
      <c r="D51" s="226">
        <v>0</v>
      </c>
      <c r="E51" s="226">
        <v>0</v>
      </c>
      <c r="F51" s="166">
        <v>0</v>
      </c>
      <c r="G51" s="241">
        <v>0</v>
      </c>
      <c r="H51" s="242">
        <v>0</v>
      </c>
    </row>
    <row r="52" spans="1:8" ht="15.75" thickBot="1" x14ac:dyDescent="0.25">
      <c r="A52" s="167"/>
      <c r="B52" s="165"/>
      <c r="C52" s="226"/>
      <c r="D52" s="226"/>
      <c r="E52" s="226"/>
      <c r="F52" s="166"/>
      <c r="G52" s="241"/>
      <c r="H52" s="242"/>
    </row>
    <row r="53" spans="1:8" ht="17.25" thickTop="1" thickBot="1" x14ac:dyDescent="0.3">
      <c r="A53" s="174" t="s">
        <v>14</v>
      </c>
      <c r="B53" s="175"/>
      <c r="C53" s="228">
        <f>SUM(C40:C52)</f>
        <v>0</v>
      </c>
      <c r="D53" s="228">
        <f>SUM(D40:D52)</f>
        <v>0</v>
      </c>
      <c r="E53" s="228">
        <f>SUM(E40:E52)</f>
        <v>0</v>
      </c>
      <c r="F53" s="176">
        <v>0</v>
      </c>
      <c r="G53" s="245">
        <v>0</v>
      </c>
      <c r="H53" s="246">
        <v>0</v>
      </c>
    </row>
    <row r="54" spans="1:8" ht="15.75" thickTop="1" x14ac:dyDescent="0.2">
      <c r="A54" s="167"/>
      <c r="B54" s="168"/>
      <c r="C54" s="226"/>
      <c r="D54" s="226"/>
      <c r="E54" s="226"/>
      <c r="F54" s="166"/>
      <c r="G54" s="241"/>
      <c r="H54" s="242"/>
    </row>
    <row r="55" spans="1:8" ht="15.75" x14ac:dyDescent="0.25">
      <c r="A55" s="295" t="s">
        <v>58</v>
      </c>
      <c r="B55" s="165">
        <f>DATE(23,7,1)</f>
        <v>8583</v>
      </c>
      <c r="C55" s="226">
        <v>0</v>
      </c>
      <c r="D55" s="226">
        <v>0</v>
      </c>
      <c r="E55" s="226">
        <v>133555.04</v>
      </c>
      <c r="F55" s="166">
        <v>-1</v>
      </c>
      <c r="G55" s="241">
        <v>0</v>
      </c>
      <c r="H55" s="289">
        <v>0</v>
      </c>
    </row>
    <row r="56" spans="1:8" ht="15.75" x14ac:dyDescent="0.25">
      <c r="A56" s="177"/>
      <c r="B56" s="165">
        <f>DATE(23,8,1)</f>
        <v>8614</v>
      </c>
      <c r="C56" s="226">
        <v>0</v>
      </c>
      <c r="D56" s="226">
        <v>0</v>
      </c>
      <c r="E56" s="226">
        <v>183477.77</v>
      </c>
      <c r="F56" s="166">
        <v>-1</v>
      </c>
      <c r="G56" s="241">
        <v>0</v>
      </c>
      <c r="H56" s="289">
        <v>0</v>
      </c>
    </row>
    <row r="57" spans="1:8" ht="15.75" x14ac:dyDescent="0.25">
      <c r="A57" s="177"/>
      <c r="B57" s="165">
        <f>DATE(23,9,1)</f>
        <v>8645</v>
      </c>
      <c r="C57" s="226">
        <v>0</v>
      </c>
      <c r="D57" s="226">
        <v>0</v>
      </c>
      <c r="E57" s="226">
        <v>155342.66</v>
      </c>
      <c r="F57" s="166">
        <v>-1</v>
      </c>
      <c r="G57" s="241">
        <v>0</v>
      </c>
      <c r="H57" s="289">
        <v>0</v>
      </c>
    </row>
    <row r="58" spans="1:8" ht="15.75" x14ac:dyDescent="0.25">
      <c r="A58" s="177"/>
      <c r="B58" s="165">
        <f>DATE(23,10,1)</f>
        <v>8675</v>
      </c>
      <c r="C58" s="226">
        <v>0</v>
      </c>
      <c r="D58" s="226">
        <v>0</v>
      </c>
      <c r="E58" s="226">
        <v>95342.11</v>
      </c>
      <c r="F58" s="166">
        <v>-1</v>
      </c>
      <c r="G58" s="241">
        <v>0</v>
      </c>
      <c r="H58" s="289">
        <v>0</v>
      </c>
    </row>
    <row r="59" spans="1:8" ht="15.75" x14ac:dyDescent="0.25">
      <c r="A59" s="177"/>
      <c r="B59" s="165">
        <f>DATE(23,11,1)</f>
        <v>8706</v>
      </c>
      <c r="C59" s="226">
        <v>0</v>
      </c>
      <c r="D59" s="226">
        <v>0</v>
      </c>
      <c r="E59" s="226">
        <v>123201.53</v>
      </c>
      <c r="F59" s="166">
        <v>-1</v>
      </c>
      <c r="G59" s="241">
        <v>0</v>
      </c>
      <c r="H59" s="289">
        <v>0</v>
      </c>
    </row>
    <row r="60" spans="1:8" ht="15.75" x14ac:dyDescent="0.25">
      <c r="A60" s="177"/>
      <c r="B60" s="165">
        <f>DATE(23,12,1)</f>
        <v>8736</v>
      </c>
      <c r="C60" s="226">
        <v>0</v>
      </c>
      <c r="D60" s="226">
        <v>0</v>
      </c>
      <c r="E60" s="226">
        <v>124084.02</v>
      </c>
      <c r="F60" s="166">
        <v>-1</v>
      </c>
      <c r="G60" s="241">
        <v>0</v>
      </c>
      <c r="H60" s="289">
        <v>0</v>
      </c>
    </row>
    <row r="61" spans="1:8" ht="15.75" x14ac:dyDescent="0.25">
      <c r="A61" s="177"/>
      <c r="B61" s="165">
        <f>DATE(24,1,1)</f>
        <v>8767</v>
      </c>
      <c r="C61" s="226">
        <v>0</v>
      </c>
      <c r="D61" s="226">
        <v>0</v>
      </c>
      <c r="E61" s="226">
        <v>43801.09</v>
      </c>
      <c r="F61" s="166">
        <v>-1</v>
      </c>
      <c r="G61" s="241">
        <v>0</v>
      </c>
      <c r="H61" s="289">
        <v>0</v>
      </c>
    </row>
    <row r="62" spans="1:8" ht="15.75" x14ac:dyDescent="0.25">
      <c r="A62" s="177"/>
      <c r="B62" s="291">
        <f>DATE(24,2,1)</f>
        <v>8798</v>
      </c>
      <c r="C62" s="226">
        <v>0</v>
      </c>
      <c r="D62" s="226">
        <v>0</v>
      </c>
      <c r="E62" s="294">
        <v>0</v>
      </c>
      <c r="F62" s="166">
        <v>0</v>
      </c>
      <c r="G62" s="241">
        <v>0</v>
      </c>
      <c r="H62" s="242">
        <v>0</v>
      </c>
    </row>
    <row r="63" spans="1:8" ht="15.75" x14ac:dyDescent="0.25">
      <c r="A63" s="177"/>
      <c r="B63" s="165">
        <f>DATE(24,3,1)</f>
        <v>8827</v>
      </c>
      <c r="C63" s="226">
        <v>0</v>
      </c>
      <c r="D63" s="226">
        <v>0</v>
      </c>
      <c r="E63" s="294">
        <v>0</v>
      </c>
      <c r="F63" s="166">
        <v>0</v>
      </c>
      <c r="G63" s="241">
        <v>0</v>
      </c>
      <c r="H63" s="242">
        <v>0</v>
      </c>
    </row>
    <row r="64" spans="1:8" ht="15.75" x14ac:dyDescent="0.25">
      <c r="A64" s="177"/>
      <c r="B64" s="165">
        <f>DATE(24,4,1)</f>
        <v>8858</v>
      </c>
      <c r="C64" s="226">
        <v>0</v>
      </c>
      <c r="D64" s="226">
        <v>0</v>
      </c>
      <c r="E64" s="294">
        <v>0</v>
      </c>
      <c r="F64" s="166">
        <v>0</v>
      </c>
      <c r="G64" s="241">
        <v>0</v>
      </c>
      <c r="H64" s="242">
        <v>0</v>
      </c>
    </row>
    <row r="65" spans="1:8" ht="15.75" x14ac:dyDescent="0.25">
      <c r="A65" s="177"/>
      <c r="B65" s="165">
        <f>DATE(24,5,1)</f>
        <v>8888</v>
      </c>
      <c r="C65" s="226">
        <v>0</v>
      </c>
      <c r="D65" s="226">
        <v>0</v>
      </c>
      <c r="E65" s="294">
        <v>0</v>
      </c>
      <c r="F65" s="166">
        <v>0</v>
      </c>
      <c r="G65" s="241">
        <v>0</v>
      </c>
      <c r="H65" s="242">
        <v>0</v>
      </c>
    </row>
    <row r="66" spans="1:8" ht="15.75" x14ac:dyDescent="0.25">
      <c r="A66" s="177"/>
      <c r="B66" s="165">
        <f>DATE(24,6,1)</f>
        <v>8919</v>
      </c>
      <c r="C66" s="226">
        <v>0</v>
      </c>
      <c r="D66" s="226">
        <v>0</v>
      </c>
      <c r="E66" s="294">
        <v>0</v>
      </c>
      <c r="F66" s="166">
        <v>0</v>
      </c>
      <c r="G66" s="241">
        <v>0</v>
      </c>
      <c r="H66" s="242">
        <v>0</v>
      </c>
    </row>
    <row r="67" spans="1:8" ht="15.75" thickBot="1" x14ac:dyDescent="0.25">
      <c r="A67" s="167"/>
      <c r="B67" s="168"/>
      <c r="C67" s="226"/>
      <c r="D67" s="226"/>
      <c r="E67" s="226"/>
      <c r="F67" s="166"/>
      <c r="G67" s="241"/>
      <c r="H67" s="242"/>
    </row>
    <row r="68" spans="1:8" ht="17.25" thickTop="1" thickBot="1" x14ac:dyDescent="0.3">
      <c r="A68" s="174" t="s">
        <v>14</v>
      </c>
      <c r="B68" s="178"/>
      <c r="C68" s="228">
        <f>SUM(C55:C67)</f>
        <v>0</v>
      </c>
      <c r="D68" s="228">
        <f>SUM(D55:D67)</f>
        <v>0</v>
      </c>
      <c r="E68" s="228">
        <f>SUM(E55:E67)</f>
        <v>858804.22</v>
      </c>
      <c r="F68" s="176">
        <f>+(D68-E68)/E68</f>
        <v>-1</v>
      </c>
      <c r="G68" s="245">
        <v>0</v>
      </c>
      <c r="H68" s="246">
        <v>0</v>
      </c>
    </row>
    <row r="69" spans="1:8" ht="15.75" thickTop="1" x14ac:dyDescent="0.2">
      <c r="A69" s="167"/>
      <c r="B69" s="168"/>
      <c r="C69" s="226"/>
      <c r="D69" s="226"/>
      <c r="E69" s="226"/>
      <c r="F69" s="166"/>
      <c r="G69" s="241"/>
      <c r="H69" s="242"/>
    </row>
    <row r="70" spans="1:8" ht="15.75" x14ac:dyDescent="0.25">
      <c r="A70" s="164" t="s">
        <v>60</v>
      </c>
      <c r="B70" s="165">
        <f>DATE(23,7,1)</f>
        <v>8583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DATE(23,8,1)</f>
        <v>8614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x14ac:dyDescent="0.25">
      <c r="A72" s="164"/>
      <c r="B72" s="165">
        <f>DATE(23,9,1)</f>
        <v>8645</v>
      </c>
      <c r="C72" s="226">
        <v>0</v>
      </c>
      <c r="D72" s="226">
        <v>0</v>
      </c>
      <c r="E72" s="226">
        <v>0</v>
      </c>
      <c r="F72" s="166">
        <v>0</v>
      </c>
      <c r="G72" s="241">
        <v>0</v>
      </c>
      <c r="H72" s="242">
        <v>0</v>
      </c>
    </row>
    <row r="73" spans="1:8" ht="15.75" x14ac:dyDescent="0.25">
      <c r="A73" s="164"/>
      <c r="B73" s="165">
        <f>DATE(23,10,1)</f>
        <v>8675</v>
      </c>
      <c r="C73" s="226">
        <v>0</v>
      </c>
      <c r="D73" s="226">
        <v>0</v>
      </c>
      <c r="E73" s="226">
        <v>0</v>
      </c>
      <c r="F73" s="166">
        <v>0</v>
      </c>
      <c r="G73" s="241">
        <v>0</v>
      </c>
      <c r="H73" s="242">
        <v>0</v>
      </c>
    </row>
    <row r="74" spans="1:8" ht="15.75" x14ac:dyDescent="0.25">
      <c r="A74" s="164"/>
      <c r="B74" s="165">
        <f>DATE(23,11,1)</f>
        <v>8706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DATE(23,12,1)</f>
        <v>8736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DATE(24,1,1)</f>
        <v>8767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x14ac:dyDescent="0.25">
      <c r="A77" s="164"/>
      <c r="B77" s="165">
        <f>DATE(24,2,1)</f>
        <v>8798</v>
      </c>
      <c r="C77" s="226">
        <v>0</v>
      </c>
      <c r="D77" s="226">
        <v>0</v>
      </c>
      <c r="E77" s="226">
        <v>0</v>
      </c>
      <c r="F77" s="166">
        <v>0</v>
      </c>
      <c r="G77" s="241">
        <v>0</v>
      </c>
      <c r="H77" s="242">
        <v>0</v>
      </c>
    </row>
    <row r="78" spans="1:8" ht="15.75" x14ac:dyDescent="0.25">
      <c r="A78" s="164"/>
      <c r="B78" s="165">
        <f>DATE(24,3,1)</f>
        <v>8827</v>
      </c>
      <c r="C78" s="226">
        <v>0</v>
      </c>
      <c r="D78" s="226">
        <v>0</v>
      </c>
      <c r="E78" s="226">
        <v>0</v>
      </c>
      <c r="F78" s="166">
        <v>0</v>
      </c>
      <c r="G78" s="241">
        <v>0</v>
      </c>
      <c r="H78" s="242">
        <v>0</v>
      </c>
    </row>
    <row r="79" spans="1:8" ht="15.75" x14ac:dyDescent="0.25">
      <c r="A79" s="164"/>
      <c r="B79" s="165">
        <f>DATE(24,4,1)</f>
        <v>8858</v>
      </c>
      <c r="C79" s="226">
        <v>0</v>
      </c>
      <c r="D79" s="226">
        <v>0</v>
      </c>
      <c r="E79" s="226">
        <v>0</v>
      </c>
      <c r="F79" s="166">
        <v>0</v>
      </c>
      <c r="G79" s="241">
        <v>0</v>
      </c>
      <c r="H79" s="242">
        <v>0</v>
      </c>
    </row>
    <row r="80" spans="1:8" ht="15.75" x14ac:dyDescent="0.25">
      <c r="A80" s="164"/>
      <c r="B80" s="165">
        <f>DATE(24,5,1)</f>
        <v>8888</v>
      </c>
      <c r="C80" s="226">
        <v>0</v>
      </c>
      <c r="D80" s="226">
        <v>0</v>
      </c>
      <c r="E80" s="226">
        <v>0</v>
      </c>
      <c r="F80" s="166">
        <v>0</v>
      </c>
      <c r="G80" s="241">
        <v>0</v>
      </c>
      <c r="H80" s="242">
        <v>0</v>
      </c>
    </row>
    <row r="81" spans="1:8" ht="15.75" x14ac:dyDescent="0.25">
      <c r="A81" s="164"/>
      <c r="B81" s="165">
        <f>DATE(24,6,1)</f>
        <v>8919</v>
      </c>
      <c r="C81" s="226">
        <v>0</v>
      </c>
      <c r="D81" s="226">
        <v>0</v>
      </c>
      <c r="E81" s="226">
        <v>0</v>
      </c>
      <c r="F81" s="166">
        <v>0</v>
      </c>
      <c r="G81" s="241">
        <v>0</v>
      </c>
      <c r="H81" s="242">
        <v>0</v>
      </c>
    </row>
    <row r="82" spans="1:8" ht="15.75" thickBot="1" x14ac:dyDescent="0.25">
      <c r="A82" s="167"/>
      <c r="B82" s="165"/>
      <c r="C82" s="226"/>
      <c r="D82" s="226"/>
      <c r="E82" s="226"/>
      <c r="F82" s="166"/>
      <c r="G82" s="241"/>
      <c r="H82" s="242"/>
    </row>
    <row r="83" spans="1:8" ht="17.25" thickTop="1" thickBot="1" x14ac:dyDescent="0.3">
      <c r="A83" s="174" t="s">
        <v>14</v>
      </c>
      <c r="B83" s="175"/>
      <c r="C83" s="228">
        <f>SUM(C70:C82)</f>
        <v>0</v>
      </c>
      <c r="D83" s="230">
        <f>SUM(D70:D82)</f>
        <v>0</v>
      </c>
      <c r="E83" s="271">
        <f>SUM(E70:E82)</f>
        <v>0</v>
      </c>
      <c r="F83" s="176">
        <v>0</v>
      </c>
      <c r="G83" s="245">
        <v>0</v>
      </c>
      <c r="H83" s="246">
        <v>0</v>
      </c>
    </row>
    <row r="84" spans="1:8" ht="15.75" thickTop="1" x14ac:dyDescent="0.2">
      <c r="A84" s="167"/>
      <c r="B84" s="168"/>
      <c r="C84" s="226"/>
      <c r="D84" s="226"/>
      <c r="E84" s="226"/>
      <c r="F84" s="166"/>
      <c r="G84" s="241"/>
      <c r="H84" s="242"/>
    </row>
    <row r="85" spans="1:8" ht="15.75" x14ac:dyDescent="0.25">
      <c r="A85" s="164" t="s">
        <v>64</v>
      </c>
      <c r="B85" s="165">
        <f>DATE(23,7,1)</f>
        <v>8583</v>
      </c>
      <c r="C85" s="226">
        <v>0</v>
      </c>
      <c r="D85" s="226">
        <v>0</v>
      </c>
      <c r="E85" s="226">
        <v>0</v>
      </c>
      <c r="F85" s="166">
        <v>0</v>
      </c>
      <c r="G85" s="241">
        <v>0</v>
      </c>
      <c r="H85" s="242">
        <v>0</v>
      </c>
    </row>
    <row r="86" spans="1:8" ht="15.75" x14ac:dyDescent="0.25">
      <c r="A86" s="164"/>
      <c r="B86" s="165">
        <f>DATE(23,8,1)</f>
        <v>8614</v>
      </c>
      <c r="C86" s="226">
        <v>0</v>
      </c>
      <c r="D86" s="226">
        <v>0</v>
      </c>
      <c r="E86" s="226">
        <v>0</v>
      </c>
      <c r="F86" s="166">
        <v>0</v>
      </c>
      <c r="G86" s="241">
        <v>0</v>
      </c>
      <c r="H86" s="242">
        <v>0</v>
      </c>
    </row>
    <row r="87" spans="1:8" ht="15.75" x14ac:dyDescent="0.25">
      <c r="A87" s="164"/>
      <c r="B87" s="165">
        <f>DATE(23,9,1)</f>
        <v>8645</v>
      </c>
      <c r="C87" s="226">
        <v>0</v>
      </c>
      <c r="D87" s="226">
        <v>0</v>
      </c>
      <c r="E87" s="226">
        <v>0</v>
      </c>
      <c r="F87" s="166">
        <v>0</v>
      </c>
      <c r="G87" s="241">
        <v>0</v>
      </c>
      <c r="H87" s="242">
        <v>0</v>
      </c>
    </row>
    <row r="88" spans="1:8" ht="15.75" x14ac:dyDescent="0.25">
      <c r="A88" s="164"/>
      <c r="B88" s="165">
        <f>DATE(23,10,1)</f>
        <v>8675</v>
      </c>
      <c r="C88" s="226">
        <v>0</v>
      </c>
      <c r="D88" s="226">
        <v>0</v>
      </c>
      <c r="E88" s="226">
        <v>0</v>
      </c>
      <c r="F88" s="166">
        <v>0</v>
      </c>
      <c r="G88" s="241">
        <v>0</v>
      </c>
      <c r="H88" s="242">
        <v>0</v>
      </c>
    </row>
    <row r="89" spans="1:8" ht="15.75" x14ac:dyDescent="0.25">
      <c r="A89" s="164"/>
      <c r="B89" s="165">
        <f>DATE(23,11,1)</f>
        <v>8706</v>
      </c>
      <c r="C89" s="226">
        <v>0</v>
      </c>
      <c r="D89" s="226">
        <v>0</v>
      </c>
      <c r="E89" s="226">
        <v>0</v>
      </c>
      <c r="F89" s="166">
        <v>0</v>
      </c>
      <c r="G89" s="241">
        <v>0</v>
      </c>
      <c r="H89" s="242">
        <v>0</v>
      </c>
    </row>
    <row r="90" spans="1:8" ht="15.75" x14ac:dyDescent="0.25">
      <c r="A90" s="164"/>
      <c r="B90" s="165">
        <f>DATE(23,12,1)</f>
        <v>8736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x14ac:dyDescent="0.25">
      <c r="A91" s="164"/>
      <c r="B91" s="165">
        <f>DATE(24,1,1)</f>
        <v>8767</v>
      </c>
      <c r="C91" s="226">
        <v>0</v>
      </c>
      <c r="D91" s="226">
        <v>0</v>
      </c>
      <c r="E91" s="226">
        <v>0</v>
      </c>
      <c r="F91" s="166">
        <v>0</v>
      </c>
      <c r="G91" s="241">
        <v>0</v>
      </c>
      <c r="H91" s="242">
        <v>0</v>
      </c>
    </row>
    <row r="92" spans="1:8" ht="15.75" x14ac:dyDescent="0.25">
      <c r="A92" s="164"/>
      <c r="B92" s="165">
        <f>DATE(24,2,1)</f>
        <v>8798</v>
      </c>
      <c r="C92" s="226">
        <v>0</v>
      </c>
      <c r="D92" s="226">
        <v>0</v>
      </c>
      <c r="E92" s="226">
        <v>0</v>
      </c>
      <c r="F92" s="166">
        <v>0</v>
      </c>
      <c r="G92" s="241">
        <v>0</v>
      </c>
      <c r="H92" s="242">
        <v>0</v>
      </c>
    </row>
    <row r="93" spans="1:8" ht="15.75" x14ac:dyDescent="0.25">
      <c r="A93" s="164"/>
      <c r="B93" s="165">
        <f>DATE(24,3,1)</f>
        <v>8827</v>
      </c>
      <c r="C93" s="226">
        <v>0</v>
      </c>
      <c r="D93" s="226">
        <v>0</v>
      </c>
      <c r="E93" s="226">
        <v>0</v>
      </c>
      <c r="F93" s="166">
        <v>0</v>
      </c>
      <c r="G93" s="241">
        <v>0</v>
      </c>
      <c r="H93" s="242">
        <v>0</v>
      </c>
    </row>
    <row r="94" spans="1:8" ht="15.75" x14ac:dyDescent="0.25">
      <c r="A94" s="164"/>
      <c r="B94" s="165">
        <f>DATE(24,4,1)</f>
        <v>8858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DATE(24,5,1)</f>
        <v>8888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DATE(24,6,1)</f>
        <v>8919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thickBot="1" x14ac:dyDescent="0.25">
      <c r="A97" s="167"/>
      <c r="B97" s="165"/>
      <c r="C97" s="226"/>
      <c r="D97" s="226"/>
      <c r="E97" s="226"/>
      <c r="F97" s="166"/>
      <c r="G97" s="241"/>
      <c r="H97" s="242"/>
    </row>
    <row r="98" spans="1:8" ht="17.25" thickTop="1" thickBot="1" x14ac:dyDescent="0.3">
      <c r="A98" s="174" t="s">
        <v>14</v>
      </c>
      <c r="B98" s="175"/>
      <c r="C98" s="228">
        <f>SUM(C85:C97)</f>
        <v>0</v>
      </c>
      <c r="D98" s="230">
        <f>SUM(D85:D97)</f>
        <v>0</v>
      </c>
      <c r="E98" s="271">
        <f>SUM(E85:E97)</f>
        <v>0</v>
      </c>
      <c r="F98" s="176">
        <v>0</v>
      </c>
      <c r="G98" s="245">
        <v>0</v>
      </c>
      <c r="H98" s="246">
        <v>0</v>
      </c>
    </row>
    <row r="99" spans="1:8" ht="15.75" thickTop="1" x14ac:dyDescent="0.2">
      <c r="A99" s="167"/>
      <c r="B99" s="168"/>
      <c r="C99" s="226"/>
      <c r="D99" s="226"/>
      <c r="E99" s="226"/>
      <c r="F99" s="166"/>
      <c r="G99" s="241"/>
      <c r="H99" s="242"/>
    </row>
    <row r="100" spans="1:8" ht="15.75" x14ac:dyDescent="0.25">
      <c r="A100" s="164" t="s">
        <v>67</v>
      </c>
      <c r="B100" s="165">
        <f>DATE(23,7,1)</f>
        <v>8583</v>
      </c>
      <c r="C100" s="226">
        <v>0</v>
      </c>
      <c r="D100" s="226">
        <v>0</v>
      </c>
      <c r="E100" s="226">
        <v>0</v>
      </c>
      <c r="F100" s="166">
        <v>0</v>
      </c>
      <c r="G100" s="241">
        <v>0</v>
      </c>
      <c r="H100" s="242">
        <v>0</v>
      </c>
    </row>
    <row r="101" spans="1:8" ht="15.75" x14ac:dyDescent="0.25">
      <c r="A101" s="164"/>
      <c r="B101" s="165">
        <f>DATE(23,8,1)</f>
        <v>8614</v>
      </c>
      <c r="C101" s="226">
        <v>0</v>
      </c>
      <c r="D101" s="226">
        <v>0</v>
      </c>
      <c r="E101" s="226">
        <v>0</v>
      </c>
      <c r="F101" s="166">
        <v>0</v>
      </c>
      <c r="G101" s="241">
        <v>0</v>
      </c>
      <c r="H101" s="242">
        <v>0</v>
      </c>
    </row>
    <row r="102" spans="1:8" ht="15.75" x14ac:dyDescent="0.25">
      <c r="A102" s="164"/>
      <c r="B102" s="165">
        <f>DATE(23,9,1)</f>
        <v>8645</v>
      </c>
      <c r="C102" s="226">
        <v>0</v>
      </c>
      <c r="D102" s="226">
        <v>0</v>
      </c>
      <c r="E102" s="226">
        <v>0</v>
      </c>
      <c r="F102" s="166">
        <v>0</v>
      </c>
      <c r="G102" s="241">
        <v>0</v>
      </c>
      <c r="H102" s="242">
        <v>0</v>
      </c>
    </row>
    <row r="103" spans="1:8" ht="15.75" x14ac:dyDescent="0.25">
      <c r="A103" s="164"/>
      <c r="B103" s="165">
        <f>DATE(23,10,1)</f>
        <v>8675</v>
      </c>
      <c r="C103" s="226">
        <v>0</v>
      </c>
      <c r="D103" s="226">
        <v>0</v>
      </c>
      <c r="E103" s="226">
        <v>0</v>
      </c>
      <c r="F103" s="166">
        <v>0</v>
      </c>
      <c r="G103" s="241">
        <v>0</v>
      </c>
      <c r="H103" s="242">
        <v>0</v>
      </c>
    </row>
    <row r="104" spans="1:8" ht="15.75" x14ac:dyDescent="0.25">
      <c r="A104" s="164"/>
      <c r="B104" s="165">
        <f>DATE(23,11,1)</f>
        <v>8706</v>
      </c>
      <c r="C104" s="226">
        <v>0</v>
      </c>
      <c r="D104" s="226">
        <v>0</v>
      </c>
      <c r="E104" s="226">
        <v>0</v>
      </c>
      <c r="F104" s="166">
        <v>0</v>
      </c>
      <c r="G104" s="241">
        <v>0</v>
      </c>
      <c r="H104" s="242">
        <v>0</v>
      </c>
    </row>
    <row r="105" spans="1:8" ht="15.75" x14ac:dyDescent="0.25">
      <c r="A105" s="164"/>
      <c r="B105" s="165">
        <f>DATE(23,12,1)</f>
        <v>8736</v>
      </c>
      <c r="C105" s="226">
        <v>0</v>
      </c>
      <c r="D105" s="226">
        <v>0</v>
      </c>
      <c r="E105" s="226">
        <v>0</v>
      </c>
      <c r="F105" s="166">
        <v>0</v>
      </c>
      <c r="G105" s="241">
        <v>0</v>
      </c>
      <c r="H105" s="242">
        <v>0</v>
      </c>
    </row>
    <row r="106" spans="1:8" ht="15.75" x14ac:dyDescent="0.25">
      <c r="A106" s="164"/>
      <c r="B106" s="165">
        <f>DATE(24,1,1)</f>
        <v>8767</v>
      </c>
      <c r="C106" s="226">
        <v>0</v>
      </c>
      <c r="D106" s="226">
        <v>0</v>
      </c>
      <c r="E106" s="226">
        <v>0</v>
      </c>
      <c r="F106" s="166">
        <v>0</v>
      </c>
      <c r="G106" s="241">
        <v>0</v>
      </c>
      <c r="H106" s="242">
        <v>0</v>
      </c>
    </row>
    <row r="107" spans="1:8" ht="15.75" x14ac:dyDescent="0.25">
      <c r="A107" s="164"/>
      <c r="B107" s="165">
        <f>DATE(24,2,1)</f>
        <v>8798</v>
      </c>
      <c r="C107" s="226">
        <v>0</v>
      </c>
      <c r="D107" s="226">
        <v>0</v>
      </c>
      <c r="E107" s="226">
        <v>0</v>
      </c>
      <c r="F107" s="166">
        <v>0</v>
      </c>
      <c r="G107" s="241">
        <v>0</v>
      </c>
      <c r="H107" s="242">
        <v>0</v>
      </c>
    </row>
    <row r="108" spans="1:8" ht="15.75" x14ac:dyDescent="0.25">
      <c r="A108" s="164"/>
      <c r="B108" s="165">
        <f>DATE(24,3,1)</f>
        <v>8827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DATE(24,4,1)</f>
        <v>8858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DATE(24,5,1)</f>
        <v>8888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x14ac:dyDescent="0.25">
      <c r="A111" s="164"/>
      <c r="B111" s="165">
        <f>DATE(24,6,1)</f>
        <v>8919</v>
      </c>
      <c r="C111" s="226">
        <v>0</v>
      </c>
      <c r="D111" s="226">
        <v>0</v>
      </c>
      <c r="E111" s="226">
        <v>0</v>
      </c>
      <c r="F111" s="166">
        <v>0</v>
      </c>
      <c r="G111" s="241">
        <v>0</v>
      </c>
      <c r="H111" s="242">
        <v>0</v>
      </c>
    </row>
    <row r="112" spans="1:8" ht="15.75" thickBot="1" x14ac:dyDescent="0.25">
      <c r="A112" s="167"/>
      <c r="B112" s="165"/>
      <c r="C112" s="226"/>
      <c r="D112" s="226"/>
      <c r="E112" s="226"/>
      <c r="F112" s="166"/>
      <c r="G112" s="241"/>
      <c r="H112" s="242"/>
    </row>
    <row r="113" spans="1:8" ht="17.25" thickTop="1" thickBot="1" x14ac:dyDescent="0.3">
      <c r="A113" s="174" t="s">
        <v>14</v>
      </c>
      <c r="B113" s="175"/>
      <c r="C113" s="228">
        <f>SUM(C100:C112)</f>
        <v>0</v>
      </c>
      <c r="D113" s="230">
        <f>SUM(D100:D112)</f>
        <v>0</v>
      </c>
      <c r="E113" s="271">
        <f>SUM(E100:E112)</f>
        <v>0</v>
      </c>
      <c r="F113" s="176">
        <v>0</v>
      </c>
      <c r="G113" s="245">
        <v>0</v>
      </c>
      <c r="H113" s="246">
        <v>0</v>
      </c>
    </row>
    <row r="114" spans="1:8" ht="15.75" thickTop="1" x14ac:dyDescent="0.2">
      <c r="A114" s="167"/>
      <c r="B114" s="168"/>
      <c r="C114" s="226"/>
      <c r="D114" s="226"/>
      <c r="E114" s="226"/>
      <c r="F114" s="166"/>
      <c r="G114" s="241"/>
      <c r="H114" s="242"/>
    </row>
    <row r="115" spans="1:8" ht="15.75" x14ac:dyDescent="0.25">
      <c r="A115" s="164" t="s">
        <v>69</v>
      </c>
      <c r="B115" s="165">
        <f>DATE(23,7,1)</f>
        <v>8583</v>
      </c>
      <c r="C115" s="226">
        <v>0</v>
      </c>
      <c r="D115" s="226">
        <v>0</v>
      </c>
      <c r="E115" s="226">
        <v>0</v>
      </c>
      <c r="F115" s="166">
        <v>0</v>
      </c>
      <c r="G115" s="241">
        <v>0</v>
      </c>
      <c r="H115" s="242">
        <v>0</v>
      </c>
    </row>
    <row r="116" spans="1:8" ht="15.75" x14ac:dyDescent="0.25">
      <c r="A116" s="164"/>
      <c r="B116" s="165">
        <f>DATE(23,8,1)</f>
        <v>8614</v>
      </c>
      <c r="C116" s="226">
        <v>0</v>
      </c>
      <c r="D116" s="226">
        <v>0</v>
      </c>
      <c r="E116" s="226">
        <v>0</v>
      </c>
      <c r="F116" s="166">
        <v>0</v>
      </c>
      <c r="G116" s="241">
        <v>0</v>
      </c>
      <c r="H116" s="242">
        <v>0</v>
      </c>
    </row>
    <row r="117" spans="1:8" ht="15.75" x14ac:dyDescent="0.25">
      <c r="A117" s="164"/>
      <c r="B117" s="165">
        <f>DATE(23,9,1)</f>
        <v>8645</v>
      </c>
      <c r="C117" s="226">
        <v>0</v>
      </c>
      <c r="D117" s="226">
        <v>0</v>
      </c>
      <c r="E117" s="226">
        <v>0</v>
      </c>
      <c r="F117" s="166">
        <v>0</v>
      </c>
      <c r="G117" s="241">
        <v>0</v>
      </c>
      <c r="H117" s="242">
        <v>0</v>
      </c>
    </row>
    <row r="118" spans="1:8" ht="15.75" x14ac:dyDescent="0.25">
      <c r="A118" s="164"/>
      <c r="B118" s="165">
        <f>DATE(23,10,1)</f>
        <v>8675</v>
      </c>
      <c r="C118" s="226">
        <v>0</v>
      </c>
      <c r="D118" s="226">
        <v>0</v>
      </c>
      <c r="E118" s="226">
        <v>0</v>
      </c>
      <c r="F118" s="166">
        <v>0</v>
      </c>
      <c r="G118" s="241">
        <v>0</v>
      </c>
      <c r="H118" s="242">
        <v>0</v>
      </c>
    </row>
    <row r="119" spans="1:8" ht="15.75" x14ac:dyDescent="0.25">
      <c r="A119" s="164"/>
      <c r="B119" s="165">
        <f>DATE(23,11,1)</f>
        <v>8706</v>
      </c>
      <c r="C119" s="226">
        <v>0</v>
      </c>
      <c r="D119" s="226">
        <v>0</v>
      </c>
      <c r="E119" s="226">
        <v>0</v>
      </c>
      <c r="F119" s="166">
        <v>0</v>
      </c>
      <c r="G119" s="241">
        <v>0</v>
      </c>
      <c r="H119" s="242">
        <v>0</v>
      </c>
    </row>
    <row r="120" spans="1:8" ht="15.75" x14ac:dyDescent="0.25">
      <c r="A120" s="164"/>
      <c r="B120" s="165">
        <f>DATE(23,12,1)</f>
        <v>8736</v>
      </c>
      <c r="C120" s="226">
        <v>0</v>
      </c>
      <c r="D120" s="226">
        <v>0</v>
      </c>
      <c r="E120" s="226">
        <v>0</v>
      </c>
      <c r="F120" s="166">
        <v>0</v>
      </c>
      <c r="G120" s="241">
        <v>0</v>
      </c>
      <c r="H120" s="242">
        <v>0</v>
      </c>
    </row>
    <row r="121" spans="1:8" ht="15.75" x14ac:dyDescent="0.25">
      <c r="A121" s="164"/>
      <c r="B121" s="165">
        <f>DATE(24,1,1)</f>
        <v>8767</v>
      </c>
      <c r="C121" s="226">
        <v>0</v>
      </c>
      <c r="D121" s="226">
        <v>0</v>
      </c>
      <c r="E121" s="226">
        <v>0</v>
      </c>
      <c r="F121" s="166">
        <v>0</v>
      </c>
      <c r="G121" s="241">
        <v>0</v>
      </c>
      <c r="H121" s="242">
        <v>0</v>
      </c>
    </row>
    <row r="122" spans="1:8" ht="15.75" x14ac:dyDescent="0.25">
      <c r="A122" s="164"/>
      <c r="B122" s="165">
        <f>DATE(24,2,1)</f>
        <v>8798</v>
      </c>
      <c r="C122" s="226">
        <v>0</v>
      </c>
      <c r="D122" s="226">
        <v>0</v>
      </c>
      <c r="E122" s="226">
        <v>0</v>
      </c>
      <c r="F122" s="166">
        <v>0</v>
      </c>
      <c r="G122" s="241">
        <v>0</v>
      </c>
      <c r="H122" s="242">
        <v>0</v>
      </c>
    </row>
    <row r="123" spans="1:8" ht="15.75" x14ac:dyDescent="0.25">
      <c r="A123" s="164"/>
      <c r="B123" s="165">
        <f>DATE(24,3,1)</f>
        <v>8827</v>
      </c>
      <c r="C123" s="226">
        <v>0</v>
      </c>
      <c r="D123" s="226">
        <v>0</v>
      </c>
      <c r="E123" s="226">
        <v>0</v>
      </c>
      <c r="F123" s="166">
        <v>0</v>
      </c>
      <c r="G123" s="241">
        <v>0</v>
      </c>
      <c r="H123" s="242">
        <v>0</v>
      </c>
    </row>
    <row r="124" spans="1:8" ht="15.75" x14ac:dyDescent="0.25">
      <c r="A124" s="164"/>
      <c r="B124" s="165">
        <f>DATE(24,4,1)</f>
        <v>8858</v>
      </c>
      <c r="C124" s="226">
        <v>0</v>
      </c>
      <c r="D124" s="226">
        <v>0</v>
      </c>
      <c r="E124" s="226">
        <v>0</v>
      </c>
      <c r="F124" s="166">
        <v>0</v>
      </c>
      <c r="G124" s="241">
        <v>0</v>
      </c>
      <c r="H124" s="242">
        <v>0</v>
      </c>
    </row>
    <row r="125" spans="1:8" ht="15.75" x14ac:dyDescent="0.25">
      <c r="A125" s="164"/>
      <c r="B125" s="165">
        <f>DATE(24,5,1)</f>
        <v>8888</v>
      </c>
      <c r="C125" s="226">
        <v>0</v>
      </c>
      <c r="D125" s="226">
        <v>0</v>
      </c>
      <c r="E125" s="226">
        <v>0</v>
      </c>
      <c r="F125" s="166">
        <v>0</v>
      </c>
      <c r="G125" s="241">
        <v>0</v>
      </c>
      <c r="H125" s="242">
        <v>0</v>
      </c>
    </row>
    <row r="126" spans="1:8" ht="15.75" x14ac:dyDescent="0.25">
      <c r="A126" s="164"/>
      <c r="B126" s="165">
        <f>DATE(24,6,1)</f>
        <v>8919</v>
      </c>
      <c r="C126" s="226">
        <v>0</v>
      </c>
      <c r="D126" s="226">
        <v>0</v>
      </c>
      <c r="E126" s="226">
        <v>0</v>
      </c>
      <c r="F126" s="166">
        <v>0</v>
      </c>
      <c r="G126" s="241">
        <v>0</v>
      </c>
      <c r="H126" s="242">
        <v>0</v>
      </c>
    </row>
    <row r="127" spans="1:8" ht="15.75" thickBot="1" x14ac:dyDescent="0.25">
      <c r="A127" s="167"/>
      <c r="B127" s="165"/>
      <c r="C127" s="226"/>
      <c r="D127" s="226"/>
      <c r="E127" s="226"/>
      <c r="F127" s="166"/>
      <c r="G127" s="241"/>
      <c r="H127" s="242"/>
    </row>
    <row r="128" spans="1:8" ht="17.25" thickTop="1" thickBot="1" x14ac:dyDescent="0.3">
      <c r="A128" s="174" t="s">
        <v>14</v>
      </c>
      <c r="B128" s="175"/>
      <c r="C128" s="228">
        <f>SUM(C115:C127)</f>
        <v>0</v>
      </c>
      <c r="D128" s="230">
        <f>SUM(D115:D127)</f>
        <v>0</v>
      </c>
      <c r="E128" s="271">
        <f>SUM(E115:E127)</f>
        <v>0</v>
      </c>
      <c r="F128" s="176">
        <v>0</v>
      </c>
      <c r="G128" s="249">
        <v>0</v>
      </c>
      <c r="H128" s="270">
        <v>0</v>
      </c>
    </row>
    <row r="129" spans="1:8" ht="15.75" thickTop="1" x14ac:dyDescent="0.2">
      <c r="A129" s="167"/>
      <c r="B129" s="179"/>
      <c r="C129" s="229"/>
      <c r="D129" s="229"/>
      <c r="E129" s="229"/>
      <c r="F129" s="180"/>
      <c r="G129" s="247"/>
      <c r="H129" s="248"/>
    </row>
    <row r="130" spans="1:8" ht="15.75" x14ac:dyDescent="0.25">
      <c r="A130" s="164" t="s">
        <v>16</v>
      </c>
      <c r="B130" s="165">
        <f>DATE(23,7,1)</f>
        <v>8583</v>
      </c>
      <c r="C130" s="226">
        <v>0</v>
      </c>
      <c r="D130" s="226">
        <v>0</v>
      </c>
      <c r="E130" s="226">
        <v>0</v>
      </c>
      <c r="F130" s="166">
        <v>0</v>
      </c>
      <c r="G130" s="241">
        <v>0</v>
      </c>
      <c r="H130" s="242">
        <v>0</v>
      </c>
    </row>
    <row r="131" spans="1:8" ht="15.75" x14ac:dyDescent="0.25">
      <c r="A131" s="164"/>
      <c r="B131" s="165">
        <f>DATE(23,8,1)</f>
        <v>8614</v>
      </c>
      <c r="C131" s="226">
        <v>0</v>
      </c>
      <c r="D131" s="226">
        <v>0</v>
      </c>
      <c r="E131" s="226">
        <v>0</v>
      </c>
      <c r="F131" s="166">
        <v>0</v>
      </c>
      <c r="G131" s="241">
        <v>0</v>
      </c>
      <c r="H131" s="242">
        <v>0</v>
      </c>
    </row>
    <row r="132" spans="1:8" ht="15.75" x14ac:dyDescent="0.25">
      <c r="A132" s="164"/>
      <c r="B132" s="165">
        <f>DATE(23,9,1)</f>
        <v>8645</v>
      </c>
      <c r="C132" s="226">
        <v>0</v>
      </c>
      <c r="D132" s="226">
        <v>0</v>
      </c>
      <c r="E132" s="226">
        <v>0</v>
      </c>
      <c r="F132" s="166">
        <v>0</v>
      </c>
      <c r="G132" s="241">
        <v>0</v>
      </c>
      <c r="H132" s="242">
        <v>0</v>
      </c>
    </row>
    <row r="133" spans="1:8" ht="15.75" x14ac:dyDescent="0.25">
      <c r="A133" s="164"/>
      <c r="B133" s="165">
        <f>DATE(23,10,1)</f>
        <v>8675</v>
      </c>
      <c r="C133" s="226">
        <v>0</v>
      </c>
      <c r="D133" s="226">
        <v>0</v>
      </c>
      <c r="E133" s="226">
        <v>0</v>
      </c>
      <c r="F133" s="166">
        <v>0</v>
      </c>
      <c r="G133" s="241">
        <v>0</v>
      </c>
      <c r="H133" s="242">
        <v>0</v>
      </c>
    </row>
    <row r="134" spans="1:8" ht="15.75" x14ac:dyDescent="0.25">
      <c r="A134" s="164"/>
      <c r="B134" s="165">
        <f>DATE(23,11,1)</f>
        <v>8706</v>
      </c>
      <c r="C134" s="226">
        <v>0</v>
      </c>
      <c r="D134" s="226">
        <v>0</v>
      </c>
      <c r="E134" s="226">
        <v>0</v>
      </c>
      <c r="F134" s="166">
        <v>0</v>
      </c>
      <c r="G134" s="241">
        <v>0</v>
      </c>
      <c r="H134" s="242">
        <v>0</v>
      </c>
    </row>
    <row r="135" spans="1:8" ht="15.75" x14ac:dyDescent="0.25">
      <c r="A135" s="164"/>
      <c r="B135" s="165">
        <f>DATE(23,12,1)</f>
        <v>8736</v>
      </c>
      <c r="C135" s="226">
        <v>0</v>
      </c>
      <c r="D135" s="226">
        <v>0</v>
      </c>
      <c r="E135" s="226">
        <v>0</v>
      </c>
      <c r="F135" s="166">
        <v>0</v>
      </c>
      <c r="G135" s="241">
        <v>0</v>
      </c>
      <c r="H135" s="242">
        <v>0</v>
      </c>
    </row>
    <row r="136" spans="1:8" ht="15.75" x14ac:dyDescent="0.25">
      <c r="A136" s="164"/>
      <c r="B136" s="165">
        <f>DATE(24,1,1)</f>
        <v>8767</v>
      </c>
      <c r="C136" s="226">
        <v>0</v>
      </c>
      <c r="D136" s="226">
        <v>0</v>
      </c>
      <c r="E136" s="226">
        <v>0</v>
      </c>
      <c r="F136" s="166">
        <v>0</v>
      </c>
      <c r="G136" s="241">
        <v>0</v>
      </c>
      <c r="H136" s="242">
        <v>0</v>
      </c>
    </row>
    <row r="137" spans="1:8" ht="15.75" x14ac:dyDescent="0.25">
      <c r="A137" s="164"/>
      <c r="B137" s="165">
        <f>DATE(24,2,1)</f>
        <v>8798</v>
      </c>
      <c r="C137" s="226">
        <v>0</v>
      </c>
      <c r="D137" s="226">
        <v>0</v>
      </c>
      <c r="E137" s="226">
        <v>0</v>
      </c>
      <c r="F137" s="166">
        <v>0</v>
      </c>
      <c r="G137" s="241">
        <v>0</v>
      </c>
      <c r="H137" s="242">
        <v>0</v>
      </c>
    </row>
    <row r="138" spans="1:8" ht="15.75" x14ac:dyDescent="0.25">
      <c r="A138" s="164"/>
      <c r="B138" s="165">
        <f>DATE(24,3,1)</f>
        <v>8827</v>
      </c>
      <c r="C138" s="226">
        <v>0</v>
      </c>
      <c r="D138" s="226">
        <v>0</v>
      </c>
      <c r="E138" s="226">
        <v>0</v>
      </c>
      <c r="F138" s="166">
        <v>0</v>
      </c>
      <c r="G138" s="241">
        <v>0</v>
      </c>
      <c r="H138" s="242">
        <v>0</v>
      </c>
    </row>
    <row r="139" spans="1:8" ht="15.75" x14ac:dyDescent="0.25">
      <c r="A139" s="164"/>
      <c r="B139" s="165">
        <f>DATE(24,4,1)</f>
        <v>8858</v>
      </c>
      <c r="C139" s="226">
        <v>0</v>
      </c>
      <c r="D139" s="226">
        <v>0</v>
      </c>
      <c r="E139" s="226">
        <v>0</v>
      </c>
      <c r="F139" s="166">
        <v>0</v>
      </c>
      <c r="G139" s="241">
        <v>0</v>
      </c>
      <c r="H139" s="242">
        <v>0</v>
      </c>
    </row>
    <row r="140" spans="1:8" ht="15.75" x14ac:dyDescent="0.25">
      <c r="A140" s="164"/>
      <c r="B140" s="165">
        <f>DATE(24,5,1)</f>
        <v>8888</v>
      </c>
      <c r="C140" s="226">
        <v>0</v>
      </c>
      <c r="D140" s="226">
        <v>0</v>
      </c>
      <c r="E140" s="226">
        <v>0</v>
      </c>
      <c r="F140" s="166">
        <v>0</v>
      </c>
      <c r="G140" s="241">
        <v>0</v>
      </c>
      <c r="H140" s="242">
        <v>0</v>
      </c>
    </row>
    <row r="141" spans="1:8" ht="15.75" x14ac:dyDescent="0.25">
      <c r="A141" s="164"/>
      <c r="B141" s="165">
        <f>DATE(24,6,1)</f>
        <v>8919</v>
      </c>
      <c r="C141" s="226">
        <v>0</v>
      </c>
      <c r="D141" s="226">
        <v>0</v>
      </c>
      <c r="E141" s="226">
        <v>0</v>
      </c>
      <c r="F141" s="166">
        <v>0</v>
      </c>
      <c r="G141" s="241">
        <v>0</v>
      </c>
      <c r="H141" s="242">
        <v>0</v>
      </c>
    </row>
    <row r="142" spans="1:8" ht="16.5" thickBot="1" x14ac:dyDescent="0.3">
      <c r="A142" s="164"/>
      <c r="B142" s="165"/>
      <c r="C142" s="226"/>
      <c r="D142" s="226"/>
      <c r="E142" s="226"/>
      <c r="F142" s="166"/>
      <c r="G142" s="241"/>
      <c r="H142" s="242"/>
    </row>
    <row r="143" spans="1:8" ht="17.25" thickTop="1" thickBot="1" x14ac:dyDescent="0.3">
      <c r="A143" s="174" t="s">
        <v>14</v>
      </c>
      <c r="B143" s="181"/>
      <c r="C143" s="228">
        <f>SUM(C130:C142)</f>
        <v>0</v>
      </c>
      <c r="D143" s="228">
        <f>SUM(D130:D142)</f>
        <v>0</v>
      </c>
      <c r="E143" s="228">
        <f>SUM(E130:E142)</f>
        <v>0</v>
      </c>
      <c r="F143" s="176">
        <v>0</v>
      </c>
      <c r="G143" s="245">
        <v>0</v>
      </c>
      <c r="H143" s="246">
        <v>0</v>
      </c>
    </row>
    <row r="144" spans="1:8" ht="15.75" thickTop="1" x14ac:dyDescent="0.2">
      <c r="A144" s="171"/>
      <c r="B144" s="172"/>
      <c r="C144" s="227"/>
      <c r="D144" s="227"/>
      <c r="E144" s="227"/>
      <c r="F144" s="173"/>
      <c r="G144" s="243"/>
      <c r="H144" s="244"/>
    </row>
    <row r="145" spans="1:8" ht="15.75" x14ac:dyDescent="0.25">
      <c r="A145" s="293" t="s">
        <v>53</v>
      </c>
      <c r="B145" s="165">
        <f>DATE(23,7,1)</f>
        <v>8583</v>
      </c>
      <c r="C145" s="226">
        <v>0</v>
      </c>
      <c r="D145" s="226">
        <v>0</v>
      </c>
      <c r="E145" s="226">
        <v>0</v>
      </c>
      <c r="F145" s="166">
        <v>0</v>
      </c>
      <c r="G145" s="241">
        <v>0</v>
      </c>
      <c r="H145" s="242">
        <v>0</v>
      </c>
    </row>
    <row r="146" spans="1:8" ht="15.75" x14ac:dyDescent="0.25">
      <c r="A146" s="164"/>
      <c r="B146" s="165">
        <f>DATE(23,8,1)</f>
        <v>8614</v>
      </c>
      <c r="C146" s="226">
        <v>0</v>
      </c>
      <c r="D146" s="226">
        <v>0</v>
      </c>
      <c r="E146" s="226">
        <v>0</v>
      </c>
      <c r="F146" s="166">
        <v>0</v>
      </c>
      <c r="G146" s="241">
        <v>0</v>
      </c>
      <c r="H146" s="242">
        <v>0</v>
      </c>
    </row>
    <row r="147" spans="1:8" ht="15.75" x14ac:dyDescent="0.25">
      <c r="A147" s="164"/>
      <c r="B147" s="165">
        <f>DATE(23,9,1)</f>
        <v>8645</v>
      </c>
      <c r="C147" s="226">
        <v>0</v>
      </c>
      <c r="D147" s="226">
        <v>0</v>
      </c>
      <c r="E147" s="226">
        <v>0</v>
      </c>
      <c r="F147" s="166">
        <v>0</v>
      </c>
      <c r="G147" s="241">
        <v>0</v>
      </c>
      <c r="H147" s="242">
        <v>0</v>
      </c>
    </row>
    <row r="148" spans="1:8" ht="15.75" x14ac:dyDescent="0.25">
      <c r="A148" s="164"/>
      <c r="B148" s="165">
        <f>DATE(23,10,1)</f>
        <v>8675</v>
      </c>
      <c r="C148" s="226">
        <v>0</v>
      </c>
      <c r="D148" s="226">
        <v>0</v>
      </c>
      <c r="E148" s="226">
        <v>0</v>
      </c>
      <c r="F148" s="166">
        <v>0</v>
      </c>
      <c r="G148" s="241">
        <v>0</v>
      </c>
      <c r="H148" s="242">
        <v>0</v>
      </c>
    </row>
    <row r="149" spans="1:8" ht="15.75" x14ac:dyDescent="0.25">
      <c r="A149" s="164"/>
      <c r="B149" s="165">
        <f>DATE(23,11,1)</f>
        <v>8706</v>
      </c>
      <c r="C149" s="226">
        <v>0</v>
      </c>
      <c r="D149" s="226">
        <v>0</v>
      </c>
      <c r="E149" s="226">
        <v>0</v>
      </c>
      <c r="F149" s="166">
        <v>0</v>
      </c>
      <c r="G149" s="241">
        <v>0</v>
      </c>
      <c r="H149" s="242">
        <v>0</v>
      </c>
    </row>
    <row r="150" spans="1:8" ht="15.75" x14ac:dyDescent="0.25">
      <c r="A150" s="164"/>
      <c r="B150" s="165">
        <f>DATE(23,12,1)</f>
        <v>8736</v>
      </c>
      <c r="C150" s="226">
        <v>0</v>
      </c>
      <c r="D150" s="226">
        <v>0</v>
      </c>
      <c r="E150" s="226">
        <v>0</v>
      </c>
      <c r="F150" s="166">
        <v>0</v>
      </c>
      <c r="G150" s="241">
        <v>0</v>
      </c>
      <c r="H150" s="242">
        <v>0</v>
      </c>
    </row>
    <row r="151" spans="1:8" ht="15.75" x14ac:dyDescent="0.25">
      <c r="A151" s="164"/>
      <c r="B151" s="165">
        <f>DATE(24,1,1)</f>
        <v>8767</v>
      </c>
      <c r="C151" s="226">
        <v>0</v>
      </c>
      <c r="D151" s="226">
        <v>0</v>
      </c>
      <c r="E151" s="226">
        <v>0</v>
      </c>
      <c r="F151" s="166">
        <v>0</v>
      </c>
      <c r="G151" s="241">
        <v>0</v>
      </c>
      <c r="H151" s="242">
        <v>0</v>
      </c>
    </row>
    <row r="152" spans="1:8" ht="15.75" x14ac:dyDescent="0.25">
      <c r="A152" s="164"/>
      <c r="B152" s="291">
        <f>DATE(24,2,1)</f>
        <v>8798</v>
      </c>
      <c r="C152" s="292">
        <v>1763767</v>
      </c>
      <c r="D152" s="292">
        <v>73367.44</v>
      </c>
      <c r="E152" s="226">
        <v>0</v>
      </c>
      <c r="F152" s="166">
        <v>1</v>
      </c>
      <c r="G152" s="241">
        <f>+D152/C152</f>
        <v>4.1597013664503309E-2</v>
      </c>
      <c r="H152" s="289">
        <f>1-G152</f>
        <v>0.9584029863354967</v>
      </c>
    </row>
    <row r="153" spans="1:8" ht="15.75" x14ac:dyDescent="0.25">
      <c r="A153" s="164"/>
      <c r="B153" s="165">
        <f>DATE(24,3,1)</f>
        <v>8827</v>
      </c>
      <c r="C153" s="292">
        <v>2765877</v>
      </c>
      <c r="D153" s="292">
        <v>135296.38</v>
      </c>
      <c r="E153" s="226">
        <v>0</v>
      </c>
      <c r="F153" s="166">
        <v>1</v>
      </c>
      <c r="G153" s="241">
        <f>+D153/C153</f>
        <v>4.8916267787757733E-2</v>
      </c>
      <c r="H153" s="289">
        <f>1-G153</f>
        <v>0.95108373221224229</v>
      </c>
    </row>
    <row r="154" spans="1:8" ht="15.75" x14ac:dyDescent="0.25">
      <c r="A154" s="164"/>
      <c r="B154" s="165">
        <f>DATE(24,4,1)</f>
        <v>8858</v>
      </c>
      <c r="C154" s="292">
        <v>2145666</v>
      </c>
      <c r="D154" s="292">
        <v>106251.34</v>
      </c>
      <c r="E154" s="226">
        <v>0</v>
      </c>
      <c r="F154" s="166">
        <v>1</v>
      </c>
      <c r="G154" s="241">
        <f>+D154/C154</f>
        <v>4.951904909711017E-2</v>
      </c>
      <c r="H154" s="289">
        <f>1-G154</f>
        <v>0.95048095090288987</v>
      </c>
    </row>
    <row r="155" spans="1:8" ht="15.75" x14ac:dyDescent="0.25">
      <c r="A155" s="164"/>
      <c r="B155" s="165">
        <f>DATE(24,5,1)</f>
        <v>8888</v>
      </c>
      <c r="C155" s="292">
        <v>1441230</v>
      </c>
      <c r="D155" s="292">
        <v>72146.34</v>
      </c>
      <c r="E155" s="226">
        <v>0</v>
      </c>
      <c r="F155" s="166">
        <v>1</v>
      </c>
      <c r="G155" s="241">
        <f>+D155/C155</f>
        <v>5.005886638496284E-2</v>
      </c>
      <c r="H155" s="289">
        <f>1-G155</f>
        <v>0.94994113361503718</v>
      </c>
    </row>
    <row r="156" spans="1:8" ht="15.75" x14ac:dyDescent="0.25">
      <c r="A156" s="164"/>
      <c r="B156" s="165">
        <f>DATE(24,6,1)</f>
        <v>8919</v>
      </c>
      <c r="C156" s="292">
        <v>1339961</v>
      </c>
      <c r="D156" s="292">
        <v>53994.21</v>
      </c>
      <c r="E156" s="226">
        <v>0</v>
      </c>
      <c r="F156" s="166">
        <v>1</v>
      </c>
      <c r="G156" s="241">
        <f>+D156/C156</f>
        <v>4.0295359342548027E-2</v>
      </c>
      <c r="H156" s="289">
        <f>1-G156</f>
        <v>0.95970464065745198</v>
      </c>
    </row>
    <row r="157" spans="1:8" ht="15.75" thickBot="1" x14ac:dyDescent="0.25">
      <c r="A157" s="167"/>
      <c r="B157" s="168"/>
      <c r="C157" s="226"/>
      <c r="D157" s="226"/>
      <c r="E157" s="226"/>
      <c r="F157" s="166"/>
      <c r="G157" s="241"/>
      <c r="H157" s="242"/>
    </row>
    <row r="158" spans="1:8" ht="17.25" thickTop="1" thickBot="1" x14ac:dyDescent="0.3">
      <c r="A158" s="174" t="s">
        <v>14</v>
      </c>
      <c r="B158" s="175"/>
      <c r="C158" s="228">
        <f>SUM(C145:C157)</f>
        <v>9456501</v>
      </c>
      <c r="D158" s="228">
        <f>SUM(D145:D157)</f>
        <v>441055.71</v>
      </c>
      <c r="E158" s="228">
        <f>SUM(E145:E157)</f>
        <v>0</v>
      </c>
      <c r="F158" s="176">
        <v>1</v>
      </c>
      <c r="G158" s="245">
        <f>+D158/C158</f>
        <v>4.664047621842371E-2</v>
      </c>
      <c r="H158" s="246">
        <f>1-G158</f>
        <v>0.95335952378157629</v>
      </c>
    </row>
    <row r="159" spans="1:8" ht="15.75" thickTop="1" x14ac:dyDescent="0.2">
      <c r="A159" s="167"/>
      <c r="B159" s="168"/>
      <c r="C159" s="226"/>
      <c r="D159" s="226"/>
      <c r="E159" s="226"/>
      <c r="F159" s="166"/>
      <c r="G159" s="241"/>
      <c r="H159" s="242"/>
    </row>
    <row r="160" spans="1:8" ht="15.75" x14ac:dyDescent="0.25">
      <c r="A160" s="164" t="s">
        <v>54</v>
      </c>
      <c r="B160" s="165">
        <f>DATE(23,7,1)</f>
        <v>8583</v>
      </c>
      <c r="C160" s="226">
        <v>0</v>
      </c>
      <c r="D160" s="226">
        <v>0</v>
      </c>
      <c r="E160" s="226">
        <v>0</v>
      </c>
      <c r="F160" s="166">
        <v>0</v>
      </c>
      <c r="G160" s="241">
        <v>0</v>
      </c>
      <c r="H160" s="242">
        <v>0</v>
      </c>
    </row>
    <row r="161" spans="1:8" ht="15.75" x14ac:dyDescent="0.25">
      <c r="A161" s="164"/>
      <c r="B161" s="165">
        <f>DATE(23,8,1)</f>
        <v>8614</v>
      </c>
      <c r="C161" s="226">
        <v>0</v>
      </c>
      <c r="D161" s="226">
        <v>0</v>
      </c>
      <c r="E161" s="226">
        <v>0</v>
      </c>
      <c r="F161" s="166">
        <v>0</v>
      </c>
      <c r="G161" s="241">
        <v>0</v>
      </c>
      <c r="H161" s="242">
        <v>0</v>
      </c>
    </row>
    <row r="162" spans="1:8" ht="15.75" x14ac:dyDescent="0.25">
      <c r="A162" s="164"/>
      <c r="B162" s="165">
        <f>DATE(23,9,1)</f>
        <v>8645</v>
      </c>
      <c r="C162" s="226">
        <v>0</v>
      </c>
      <c r="D162" s="226">
        <v>0</v>
      </c>
      <c r="E162" s="226">
        <v>0</v>
      </c>
      <c r="F162" s="166">
        <v>0</v>
      </c>
      <c r="G162" s="241">
        <v>0</v>
      </c>
      <c r="H162" s="242">
        <v>0</v>
      </c>
    </row>
    <row r="163" spans="1:8" ht="15.75" x14ac:dyDescent="0.25">
      <c r="A163" s="164"/>
      <c r="B163" s="165">
        <f>DATE(23,10,1)</f>
        <v>8675</v>
      </c>
      <c r="C163" s="226">
        <v>0</v>
      </c>
      <c r="D163" s="226">
        <v>0</v>
      </c>
      <c r="E163" s="226">
        <v>0</v>
      </c>
      <c r="F163" s="166">
        <v>0</v>
      </c>
      <c r="G163" s="241">
        <v>0</v>
      </c>
      <c r="H163" s="242">
        <v>0</v>
      </c>
    </row>
    <row r="164" spans="1:8" ht="15.75" x14ac:dyDescent="0.25">
      <c r="A164" s="164"/>
      <c r="B164" s="165">
        <f>DATE(23,11,1)</f>
        <v>8706</v>
      </c>
      <c r="C164" s="226">
        <v>0</v>
      </c>
      <c r="D164" s="226">
        <v>0</v>
      </c>
      <c r="E164" s="226">
        <v>0</v>
      </c>
      <c r="F164" s="166">
        <v>0</v>
      </c>
      <c r="G164" s="241">
        <v>0</v>
      </c>
      <c r="H164" s="242">
        <v>0</v>
      </c>
    </row>
    <row r="165" spans="1:8" ht="15.75" x14ac:dyDescent="0.25">
      <c r="A165" s="164"/>
      <c r="B165" s="165">
        <f>DATE(23,12,1)</f>
        <v>8736</v>
      </c>
      <c r="C165" s="226">
        <v>0</v>
      </c>
      <c r="D165" s="226">
        <v>0</v>
      </c>
      <c r="E165" s="226">
        <v>0</v>
      </c>
      <c r="F165" s="166">
        <v>0</v>
      </c>
      <c r="G165" s="241">
        <v>0</v>
      </c>
      <c r="H165" s="242">
        <v>0</v>
      </c>
    </row>
    <row r="166" spans="1:8" ht="15.75" x14ac:dyDescent="0.25">
      <c r="A166" s="164"/>
      <c r="B166" s="165">
        <f>DATE(24,1,1)</f>
        <v>8767</v>
      </c>
      <c r="C166" s="226">
        <v>0</v>
      </c>
      <c r="D166" s="226">
        <v>0</v>
      </c>
      <c r="E166" s="226">
        <v>0</v>
      </c>
      <c r="F166" s="166">
        <v>0</v>
      </c>
      <c r="G166" s="241">
        <v>0</v>
      </c>
      <c r="H166" s="242">
        <v>0</v>
      </c>
    </row>
    <row r="167" spans="1:8" ht="15.75" x14ac:dyDescent="0.25">
      <c r="A167" s="164"/>
      <c r="B167" s="165">
        <f>DATE(24,2,1)</f>
        <v>8798</v>
      </c>
      <c r="C167" s="226">
        <v>0</v>
      </c>
      <c r="D167" s="226">
        <v>0</v>
      </c>
      <c r="E167" s="226">
        <v>0</v>
      </c>
      <c r="F167" s="166">
        <v>0</v>
      </c>
      <c r="G167" s="241">
        <v>0</v>
      </c>
      <c r="H167" s="242">
        <v>0</v>
      </c>
    </row>
    <row r="168" spans="1:8" ht="15.75" x14ac:dyDescent="0.25">
      <c r="A168" s="164"/>
      <c r="B168" s="165">
        <f>DATE(24,3,1)</f>
        <v>8827</v>
      </c>
      <c r="C168" s="226">
        <v>0</v>
      </c>
      <c r="D168" s="226">
        <v>0</v>
      </c>
      <c r="E168" s="226">
        <v>0</v>
      </c>
      <c r="F168" s="166">
        <v>0</v>
      </c>
      <c r="G168" s="241">
        <v>0</v>
      </c>
      <c r="H168" s="242">
        <v>0</v>
      </c>
    </row>
    <row r="169" spans="1:8" ht="15.75" x14ac:dyDescent="0.25">
      <c r="A169" s="164"/>
      <c r="B169" s="165">
        <f>DATE(24,4,1)</f>
        <v>8858</v>
      </c>
      <c r="C169" s="226">
        <v>0</v>
      </c>
      <c r="D169" s="226">
        <v>0</v>
      </c>
      <c r="E169" s="226">
        <v>0</v>
      </c>
      <c r="F169" s="166">
        <v>0</v>
      </c>
      <c r="G169" s="241">
        <v>0</v>
      </c>
      <c r="H169" s="242">
        <v>0</v>
      </c>
    </row>
    <row r="170" spans="1:8" ht="15.75" x14ac:dyDescent="0.25">
      <c r="A170" s="164"/>
      <c r="B170" s="165">
        <f>DATE(24,5,1)</f>
        <v>8888</v>
      </c>
      <c r="C170" s="226">
        <v>0</v>
      </c>
      <c r="D170" s="226">
        <v>0</v>
      </c>
      <c r="E170" s="226">
        <v>0</v>
      </c>
      <c r="F170" s="166">
        <v>0</v>
      </c>
      <c r="G170" s="241">
        <v>0</v>
      </c>
      <c r="H170" s="242">
        <v>0</v>
      </c>
    </row>
    <row r="171" spans="1:8" ht="15.75" x14ac:dyDescent="0.25">
      <c r="A171" s="164"/>
      <c r="B171" s="165">
        <f>DATE(24,6,1)</f>
        <v>8919</v>
      </c>
      <c r="C171" s="226">
        <v>0</v>
      </c>
      <c r="D171" s="226">
        <v>0</v>
      </c>
      <c r="E171" s="226">
        <v>0</v>
      </c>
      <c r="F171" s="166">
        <v>0</v>
      </c>
      <c r="G171" s="241">
        <v>0</v>
      </c>
      <c r="H171" s="242">
        <v>0</v>
      </c>
    </row>
    <row r="172" spans="1:8" ht="15.75" thickBot="1" x14ac:dyDescent="0.25">
      <c r="A172" s="167"/>
      <c r="B172" s="168"/>
      <c r="C172" s="226"/>
      <c r="D172" s="226"/>
      <c r="E172" s="226"/>
      <c r="F172" s="166"/>
      <c r="G172" s="241"/>
      <c r="H172" s="242"/>
    </row>
    <row r="173" spans="1:8" ht="17.25" thickTop="1" thickBot="1" x14ac:dyDescent="0.3">
      <c r="A173" s="182" t="s">
        <v>14</v>
      </c>
      <c r="B173" s="183"/>
      <c r="C173" s="230">
        <f>SUM(C160:C172)</f>
        <v>0</v>
      </c>
      <c r="D173" s="230">
        <f>SUM(D160:D172)</f>
        <v>0</v>
      </c>
      <c r="E173" s="230">
        <f>SUM(E160:E172)</f>
        <v>0</v>
      </c>
      <c r="F173" s="176">
        <v>0</v>
      </c>
      <c r="G173" s="245">
        <v>0</v>
      </c>
      <c r="H173" s="246">
        <v>0</v>
      </c>
    </row>
    <row r="174" spans="1:8" ht="15.75" thickTop="1" x14ac:dyDescent="0.2">
      <c r="A174" s="167"/>
      <c r="B174" s="168"/>
      <c r="C174" s="226"/>
      <c r="D174" s="226"/>
      <c r="E174" s="226"/>
      <c r="F174" s="166"/>
      <c r="G174" s="241"/>
      <c r="H174" s="242"/>
    </row>
    <row r="175" spans="1:8" ht="15.75" x14ac:dyDescent="0.25">
      <c r="A175" s="293" t="s">
        <v>37</v>
      </c>
      <c r="B175" s="165">
        <f>DATE(23,7,1)</f>
        <v>8583</v>
      </c>
      <c r="C175" s="226">
        <v>3921585</v>
      </c>
      <c r="D175" s="226">
        <v>179389.2</v>
      </c>
      <c r="E175" s="226">
        <v>215844.68</v>
      </c>
      <c r="F175" s="166">
        <f t="shared" ref="F175:F180" si="0">+(D175-E175)/E175</f>
        <v>-0.16889681969460624</v>
      </c>
      <c r="G175" s="241">
        <f>+D175/C175</f>
        <v>4.5744055018570304E-2</v>
      </c>
      <c r="H175" s="289">
        <f>1-G175</f>
        <v>0.95425594498142974</v>
      </c>
    </row>
    <row r="176" spans="1:8" ht="15.75" x14ac:dyDescent="0.25">
      <c r="A176" s="164"/>
      <c r="B176" s="165">
        <f>DATE(23,8,1)</f>
        <v>8614</v>
      </c>
      <c r="C176" s="226">
        <v>4810863</v>
      </c>
      <c r="D176" s="226">
        <v>198288.36</v>
      </c>
      <c r="E176" s="226">
        <v>222475.66</v>
      </c>
      <c r="F176" s="166">
        <f t="shared" si="0"/>
        <v>-0.10871885940241741</v>
      </c>
      <c r="G176" s="241">
        <f>+D176/C176</f>
        <v>4.1216796238013845E-2</v>
      </c>
      <c r="H176" s="289">
        <f>1-G176</f>
        <v>0.95878320376198611</v>
      </c>
    </row>
    <row r="177" spans="1:8" ht="15.75" x14ac:dyDescent="0.25">
      <c r="A177" s="164"/>
      <c r="B177" s="165">
        <f>DATE(23,9,1)</f>
        <v>8645</v>
      </c>
      <c r="C177" s="226">
        <v>4650603.5</v>
      </c>
      <c r="D177" s="226">
        <v>223122.42</v>
      </c>
      <c r="E177" s="226">
        <v>213180.35</v>
      </c>
      <c r="F177" s="166">
        <f t="shared" si="0"/>
        <v>4.6636896880974284E-2</v>
      </c>
      <c r="G177" s="241">
        <f>+D177/C177</f>
        <v>4.797708942506064E-2</v>
      </c>
      <c r="H177" s="289">
        <f>1-G177</f>
        <v>0.95202291057493937</v>
      </c>
    </row>
    <row r="178" spans="1:8" ht="15.75" x14ac:dyDescent="0.25">
      <c r="A178" s="164"/>
      <c r="B178" s="165">
        <f>DATE(23,10,1)</f>
        <v>8675</v>
      </c>
      <c r="C178" s="226">
        <v>5353656.5</v>
      </c>
      <c r="D178" s="226">
        <v>233641.67</v>
      </c>
      <c r="E178" s="226">
        <v>197241.83</v>
      </c>
      <c r="F178" s="166">
        <f t="shared" si="0"/>
        <v>0.18454422167954956</v>
      </c>
      <c r="G178" s="241">
        <f>+D178/C178</f>
        <v>4.3641513048138222E-2</v>
      </c>
      <c r="H178" s="289">
        <f>1-G178</f>
        <v>0.95635848695186176</v>
      </c>
    </row>
    <row r="179" spans="1:8" ht="15.75" x14ac:dyDescent="0.25">
      <c r="A179" s="164"/>
      <c r="B179" s="165">
        <f>DATE(23,11,1)</f>
        <v>8706</v>
      </c>
      <c r="C179" s="226">
        <v>945680</v>
      </c>
      <c r="D179" s="226">
        <v>43064.43</v>
      </c>
      <c r="E179" s="226">
        <v>191836.78</v>
      </c>
      <c r="F179" s="166">
        <f t="shared" si="0"/>
        <v>-0.77551525833575818</v>
      </c>
      <c r="G179" s="241">
        <f>+D179/C179</f>
        <v>4.5538057270958464E-2</v>
      </c>
      <c r="H179" s="289">
        <f>1-G179</f>
        <v>0.9544619427290415</v>
      </c>
    </row>
    <row r="180" spans="1:8" ht="15.75" x14ac:dyDescent="0.25">
      <c r="A180" s="164"/>
      <c r="B180" s="165">
        <f>DATE(23,12,1)</f>
        <v>8736</v>
      </c>
      <c r="C180" s="226">
        <v>0</v>
      </c>
      <c r="D180" s="226">
        <v>0</v>
      </c>
      <c r="E180" s="226">
        <v>198418.76</v>
      </c>
      <c r="F180" s="166">
        <f t="shared" si="0"/>
        <v>-1</v>
      </c>
      <c r="G180" s="241">
        <v>0</v>
      </c>
      <c r="H180" s="289">
        <v>0</v>
      </c>
    </row>
    <row r="181" spans="1:8" ht="15.75" x14ac:dyDescent="0.25">
      <c r="A181" s="164"/>
      <c r="B181" s="165">
        <f>DATE(24,1,1)</f>
        <v>8767</v>
      </c>
      <c r="C181" s="226">
        <v>0</v>
      </c>
      <c r="D181" s="226">
        <v>0</v>
      </c>
      <c r="E181" s="226">
        <v>161229.07</v>
      </c>
      <c r="F181" s="166">
        <f t="shared" ref="F181:F186" si="1">+(D181-E181)/E181</f>
        <v>-1</v>
      </c>
      <c r="G181" s="241">
        <v>0</v>
      </c>
      <c r="H181" s="289">
        <v>0</v>
      </c>
    </row>
    <row r="182" spans="1:8" ht="15.75" x14ac:dyDescent="0.25">
      <c r="A182" s="164"/>
      <c r="B182" s="291">
        <f>DATE(24,2,1)</f>
        <v>8798</v>
      </c>
      <c r="C182" s="226">
        <v>0</v>
      </c>
      <c r="D182" s="226">
        <v>0</v>
      </c>
      <c r="E182" s="294">
        <v>159252.82</v>
      </c>
      <c r="F182" s="166">
        <f t="shared" si="1"/>
        <v>-1</v>
      </c>
      <c r="G182" s="241">
        <v>0</v>
      </c>
      <c r="H182" s="289">
        <v>0</v>
      </c>
    </row>
    <row r="183" spans="1:8" ht="15.75" x14ac:dyDescent="0.25">
      <c r="A183" s="164"/>
      <c r="B183" s="165">
        <f>DATE(24,3,1)</f>
        <v>8827</v>
      </c>
      <c r="C183" s="226">
        <v>0</v>
      </c>
      <c r="D183" s="226">
        <v>0</v>
      </c>
      <c r="E183" s="294">
        <v>210856.45</v>
      </c>
      <c r="F183" s="166">
        <f t="shared" si="1"/>
        <v>-1</v>
      </c>
      <c r="G183" s="241">
        <v>0</v>
      </c>
      <c r="H183" s="289">
        <v>0</v>
      </c>
    </row>
    <row r="184" spans="1:8" ht="15.75" x14ac:dyDescent="0.25">
      <c r="A184" s="164"/>
      <c r="B184" s="165">
        <f>DATE(24,4,1)</f>
        <v>8858</v>
      </c>
      <c r="C184" s="226">
        <v>0</v>
      </c>
      <c r="D184" s="226">
        <v>0</v>
      </c>
      <c r="E184" s="294">
        <v>191780.04</v>
      </c>
      <c r="F184" s="166">
        <f t="shared" si="1"/>
        <v>-1</v>
      </c>
      <c r="G184" s="241">
        <v>0</v>
      </c>
      <c r="H184" s="289">
        <v>0</v>
      </c>
    </row>
    <row r="185" spans="1:8" ht="15.75" x14ac:dyDescent="0.25">
      <c r="A185" s="164"/>
      <c r="B185" s="165">
        <f>DATE(24,5,1)</f>
        <v>8888</v>
      </c>
      <c r="C185" s="226">
        <v>0</v>
      </c>
      <c r="D185" s="226">
        <v>0</v>
      </c>
      <c r="E185" s="294">
        <v>172569.71</v>
      </c>
      <c r="F185" s="166">
        <f t="shared" si="1"/>
        <v>-1</v>
      </c>
      <c r="G185" s="241">
        <v>0</v>
      </c>
      <c r="H185" s="289">
        <v>0</v>
      </c>
    </row>
    <row r="186" spans="1:8" ht="15.75" x14ac:dyDescent="0.25">
      <c r="A186" s="164"/>
      <c r="B186" s="165">
        <f>DATE(24,6,1)</f>
        <v>8919</v>
      </c>
      <c r="C186" s="226">
        <v>0</v>
      </c>
      <c r="D186" s="226">
        <v>0</v>
      </c>
      <c r="E186" s="294">
        <v>172470.29</v>
      </c>
      <c r="F186" s="166">
        <f t="shared" si="1"/>
        <v>-1</v>
      </c>
      <c r="G186" s="241">
        <v>0</v>
      </c>
      <c r="H186" s="289">
        <v>0</v>
      </c>
    </row>
    <row r="187" spans="1:8" ht="15.75" thickBot="1" x14ac:dyDescent="0.25">
      <c r="A187" s="167"/>
      <c r="B187" s="168"/>
      <c r="C187" s="226"/>
      <c r="D187" s="226"/>
      <c r="E187" s="226"/>
      <c r="F187" s="166"/>
      <c r="G187" s="241"/>
      <c r="H187" s="242"/>
    </row>
    <row r="188" spans="1:8" ht="17.25" thickTop="1" thickBot="1" x14ac:dyDescent="0.3">
      <c r="A188" s="174" t="s">
        <v>14</v>
      </c>
      <c r="B188" s="175"/>
      <c r="C188" s="228">
        <f>SUM(C175:C187)</f>
        <v>19682388</v>
      </c>
      <c r="D188" s="228">
        <f>SUM(D175:D187)</f>
        <v>877506.08000000007</v>
      </c>
      <c r="E188" s="228">
        <f>SUM(E175:E187)</f>
        <v>2307156.4400000004</v>
      </c>
      <c r="F188" s="176">
        <f>+(D188-E188)/E188</f>
        <v>-0.61965904661410831</v>
      </c>
      <c r="G188" s="245">
        <f>+D188/C188</f>
        <v>4.4583313772698724E-2</v>
      </c>
      <c r="H188" s="246">
        <f>1-G188</f>
        <v>0.95541668622730125</v>
      </c>
    </row>
    <row r="189" spans="1:8" ht="15.75" thickTop="1" x14ac:dyDescent="0.2">
      <c r="A189" s="167"/>
      <c r="B189" s="168"/>
      <c r="C189" s="226"/>
      <c r="D189" s="226"/>
      <c r="E189" s="226"/>
      <c r="F189" s="166"/>
      <c r="G189" s="241"/>
      <c r="H189" s="242"/>
    </row>
    <row r="190" spans="1:8" ht="15.75" x14ac:dyDescent="0.25">
      <c r="A190" s="164" t="s">
        <v>57</v>
      </c>
      <c r="B190" s="165">
        <f>DATE(23,7,1)</f>
        <v>8583</v>
      </c>
      <c r="C190" s="226">
        <v>0</v>
      </c>
      <c r="D190" s="226">
        <v>0</v>
      </c>
      <c r="E190" s="226">
        <v>0</v>
      </c>
      <c r="F190" s="166">
        <v>0</v>
      </c>
      <c r="G190" s="241">
        <v>0</v>
      </c>
      <c r="H190" s="242">
        <v>0</v>
      </c>
    </row>
    <row r="191" spans="1:8" ht="15.75" x14ac:dyDescent="0.25">
      <c r="A191" s="164"/>
      <c r="B191" s="165">
        <f>DATE(23,8,1)</f>
        <v>8614</v>
      </c>
      <c r="C191" s="226">
        <v>0</v>
      </c>
      <c r="D191" s="226">
        <v>0</v>
      </c>
      <c r="E191" s="226">
        <v>0</v>
      </c>
      <c r="F191" s="166">
        <v>0</v>
      </c>
      <c r="G191" s="241">
        <v>0</v>
      </c>
      <c r="H191" s="242">
        <v>0</v>
      </c>
    </row>
    <row r="192" spans="1:8" ht="15.75" x14ac:dyDescent="0.25">
      <c r="A192" s="164"/>
      <c r="B192" s="165">
        <f>DATE(23,9,1)</f>
        <v>8645</v>
      </c>
      <c r="C192" s="226">
        <v>0</v>
      </c>
      <c r="D192" s="226">
        <v>0</v>
      </c>
      <c r="E192" s="226">
        <v>0</v>
      </c>
      <c r="F192" s="166">
        <v>0</v>
      </c>
      <c r="G192" s="241">
        <v>0</v>
      </c>
      <c r="H192" s="242">
        <v>0</v>
      </c>
    </row>
    <row r="193" spans="1:8" ht="15.75" x14ac:dyDescent="0.25">
      <c r="A193" s="164"/>
      <c r="B193" s="165">
        <f>DATE(23,10,1)</f>
        <v>8675</v>
      </c>
      <c r="C193" s="226">
        <v>0</v>
      </c>
      <c r="D193" s="226">
        <v>0</v>
      </c>
      <c r="E193" s="226">
        <v>0</v>
      </c>
      <c r="F193" s="166">
        <v>0</v>
      </c>
      <c r="G193" s="241">
        <v>0</v>
      </c>
      <c r="H193" s="242">
        <v>0</v>
      </c>
    </row>
    <row r="194" spans="1:8" ht="15.75" x14ac:dyDescent="0.25">
      <c r="A194" s="164"/>
      <c r="B194" s="165">
        <f>DATE(23,11,1)</f>
        <v>8706</v>
      </c>
      <c r="C194" s="226">
        <v>0</v>
      </c>
      <c r="D194" s="226">
        <v>0</v>
      </c>
      <c r="E194" s="226">
        <v>0</v>
      </c>
      <c r="F194" s="166">
        <v>0</v>
      </c>
      <c r="G194" s="241">
        <v>0</v>
      </c>
      <c r="H194" s="242">
        <v>0</v>
      </c>
    </row>
    <row r="195" spans="1:8" ht="15.75" x14ac:dyDescent="0.25">
      <c r="A195" s="164"/>
      <c r="B195" s="165">
        <f>DATE(23,12,1)</f>
        <v>8736</v>
      </c>
      <c r="C195" s="226">
        <v>0</v>
      </c>
      <c r="D195" s="226">
        <v>0</v>
      </c>
      <c r="E195" s="226">
        <v>0</v>
      </c>
      <c r="F195" s="166">
        <v>0</v>
      </c>
      <c r="G195" s="241">
        <v>0</v>
      </c>
      <c r="H195" s="242">
        <v>0</v>
      </c>
    </row>
    <row r="196" spans="1:8" ht="15.75" x14ac:dyDescent="0.25">
      <c r="A196" s="164"/>
      <c r="B196" s="165">
        <f>DATE(24,1,1)</f>
        <v>8767</v>
      </c>
      <c r="C196" s="226">
        <v>0</v>
      </c>
      <c r="D196" s="226">
        <v>0</v>
      </c>
      <c r="E196" s="226">
        <v>0</v>
      </c>
      <c r="F196" s="166">
        <v>0</v>
      </c>
      <c r="G196" s="241">
        <v>0</v>
      </c>
      <c r="H196" s="242">
        <v>0</v>
      </c>
    </row>
    <row r="197" spans="1:8" ht="15.75" x14ac:dyDescent="0.25">
      <c r="A197" s="164"/>
      <c r="B197" s="165">
        <f>DATE(24,2,1)</f>
        <v>8798</v>
      </c>
      <c r="C197" s="226">
        <v>0</v>
      </c>
      <c r="D197" s="226">
        <v>0</v>
      </c>
      <c r="E197" s="226">
        <v>0</v>
      </c>
      <c r="F197" s="166">
        <v>0</v>
      </c>
      <c r="G197" s="241">
        <v>0</v>
      </c>
      <c r="H197" s="242">
        <v>0</v>
      </c>
    </row>
    <row r="198" spans="1:8" ht="15.75" x14ac:dyDescent="0.25">
      <c r="A198" s="164"/>
      <c r="B198" s="165">
        <f>DATE(24,3,1)</f>
        <v>8827</v>
      </c>
      <c r="C198" s="226">
        <v>0</v>
      </c>
      <c r="D198" s="226">
        <v>0</v>
      </c>
      <c r="E198" s="226">
        <v>0</v>
      </c>
      <c r="F198" s="166">
        <v>0</v>
      </c>
      <c r="G198" s="241">
        <v>0</v>
      </c>
      <c r="H198" s="242">
        <v>0</v>
      </c>
    </row>
    <row r="199" spans="1:8" ht="15.75" x14ac:dyDescent="0.25">
      <c r="A199" s="164"/>
      <c r="B199" s="165">
        <f>DATE(24,4,1)</f>
        <v>8858</v>
      </c>
      <c r="C199" s="226">
        <v>0</v>
      </c>
      <c r="D199" s="226">
        <v>0</v>
      </c>
      <c r="E199" s="226">
        <v>0</v>
      </c>
      <c r="F199" s="166">
        <v>0</v>
      </c>
      <c r="G199" s="241">
        <v>0</v>
      </c>
      <c r="H199" s="242">
        <v>0</v>
      </c>
    </row>
    <row r="200" spans="1:8" ht="15.75" x14ac:dyDescent="0.25">
      <c r="A200" s="164"/>
      <c r="B200" s="165">
        <f>DATE(24,5,1)</f>
        <v>8888</v>
      </c>
      <c r="C200" s="226">
        <v>0</v>
      </c>
      <c r="D200" s="226">
        <v>0</v>
      </c>
      <c r="E200" s="226">
        <v>0</v>
      </c>
      <c r="F200" s="166">
        <v>0</v>
      </c>
      <c r="G200" s="241">
        <v>0</v>
      </c>
      <c r="H200" s="242">
        <v>0</v>
      </c>
    </row>
    <row r="201" spans="1:8" ht="15.75" x14ac:dyDescent="0.25">
      <c r="A201" s="164"/>
      <c r="B201" s="165">
        <f>DATE(24,6,1)</f>
        <v>8919</v>
      </c>
      <c r="C201" s="226">
        <v>0</v>
      </c>
      <c r="D201" s="226">
        <v>0</v>
      </c>
      <c r="E201" s="226">
        <v>0</v>
      </c>
      <c r="F201" s="166">
        <v>0</v>
      </c>
      <c r="G201" s="241">
        <v>0</v>
      </c>
      <c r="H201" s="242">
        <v>0</v>
      </c>
    </row>
    <row r="202" spans="1:8" ht="15.75" thickBot="1" x14ac:dyDescent="0.25">
      <c r="A202" s="167"/>
      <c r="B202" s="168"/>
      <c r="C202" s="226"/>
      <c r="D202" s="226"/>
      <c r="E202" s="226"/>
      <c r="F202" s="166"/>
      <c r="G202" s="241"/>
      <c r="H202" s="242"/>
    </row>
    <row r="203" spans="1:8" ht="17.25" thickTop="1" thickBot="1" x14ac:dyDescent="0.3">
      <c r="A203" s="169" t="s">
        <v>14</v>
      </c>
      <c r="B203" s="155"/>
      <c r="C203" s="223">
        <f>SUM(C190:C202)</f>
        <v>0</v>
      </c>
      <c r="D203" s="223">
        <f>SUM(D190:D202)</f>
        <v>0</v>
      </c>
      <c r="E203" s="223">
        <f>SUM(E190:E202)</f>
        <v>0</v>
      </c>
      <c r="F203" s="176">
        <v>0</v>
      </c>
      <c r="G203" s="245">
        <v>0</v>
      </c>
      <c r="H203" s="246">
        <v>0</v>
      </c>
    </row>
    <row r="204" spans="1:8" ht="16.5" thickTop="1" thickBot="1" x14ac:dyDescent="0.25">
      <c r="A204" s="171"/>
      <c r="B204" s="172"/>
      <c r="C204" s="227"/>
      <c r="D204" s="227"/>
      <c r="E204" s="227"/>
      <c r="F204" s="173"/>
      <c r="G204" s="243"/>
      <c r="H204" s="244"/>
    </row>
    <row r="205" spans="1:8" ht="17.25" thickTop="1" thickBot="1" x14ac:dyDescent="0.3">
      <c r="A205" s="184" t="s">
        <v>38</v>
      </c>
      <c r="B205" s="155"/>
      <c r="C205" s="223">
        <f>C203+C188+C143+C113+C83+C53+C23+C68+C173+C38+C128+C158+C98</f>
        <v>29138889</v>
      </c>
      <c r="D205" s="223">
        <f>D203+D188+D143+D113+D83+D53+D23+D68+D173+D38+D128+D158+D98</f>
        <v>1318561.79</v>
      </c>
      <c r="E205" s="223">
        <f>E203+E188+E143+E113+E83+E53+E23+E68+E173+E38+E128+E158+E98</f>
        <v>3672730.95</v>
      </c>
      <c r="F205" s="176">
        <f>+(D205-E205)/E205</f>
        <v>-0.6409860106959373</v>
      </c>
      <c r="G205" s="236">
        <f>D205/C205</f>
        <v>4.525092875023478E-2</v>
      </c>
      <c r="H205" s="237">
        <f>1-G205</f>
        <v>0.95474907124976527</v>
      </c>
    </row>
    <row r="206" spans="1:8" ht="17.25" thickTop="1" thickBot="1" x14ac:dyDescent="0.3">
      <c r="A206" s="184"/>
      <c r="B206" s="155"/>
      <c r="C206" s="223"/>
      <c r="D206" s="223"/>
      <c r="E206" s="223"/>
      <c r="F206" s="170"/>
      <c r="G206" s="236"/>
      <c r="H206" s="237"/>
    </row>
    <row r="207" spans="1:8" ht="17.25" thickTop="1" thickBot="1" x14ac:dyDescent="0.3">
      <c r="A207" s="184" t="s">
        <v>39</v>
      </c>
      <c r="B207" s="155"/>
      <c r="C207" s="223">
        <f>+C21+C36+C51+C66+C81+C96+C111+C126+C141+C156+C171+C243+C186+C201</f>
        <v>1339961</v>
      </c>
      <c r="D207" s="223">
        <f>+D21+D36+D51+D66+D81+D96+D111+D126+D141+D156+D171+D243+D186+D201</f>
        <v>53994.21</v>
      </c>
      <c r="E207" s="223">
        <f>+E21+E36+E51+E66+E81+E96+E111+E126+E141+E156+E171+E243+E186+E201</f>
        <v>172470.29</v>
      </c>
      <c r="F207" s="176">
        <f>+(D207-E207)/E207</f>
        <v>-0.68693616738279972</v>
      </c>
      <c r="G207" s="236">
        <f>D207/C207</f>
        <v>4.0295359342548027E-2</v>
      </c>
      <c r="H207" s="237">
        <f>1-G207</f>
        <v>0.95970464065745198</v>
      </c>
    </row>
    <row r="208" spans="1:8" ht="16.5" thickTop="1" x14ac:dyDescent="0.25">
      <c r="A208" s="185"/>
      <c r="B208" s="186"/>
      <c r="C208" s="231"/>
      <c r="D208" s="231"/>
      <c r="E208" s="231"/>
      <c r="F208" s="187"/>
      <c r="G208" s="250"/>
      <c r="H208" s="250"/>
    </row>
    <row r="209" spans="1:8" ht="18.75" x14ac:dyDescent="0.3">
      <c r="A209" s="188" t="s">
        <v>49</v>
      </c>
      <c r="B209" s="189"/>
      <c r="C209" s="232"/>
      <c r="D209" s="232"/>
      <c r="E209" s="232"/>
      <c r="F209" s="190"/>
      <c r="G209" s="251"/>
      <c r="H209" s="251"/>
    </row>
    <row r="210" spans="1:8" ht="15.75" x14ac:dyDescent="0.25">
      <c r="A210" s="191"/>
      <c r="B210" s="189"/>
      <c r="C210" s="232"/>
      <c r="D210" s="232"/>
      <c r="E210" s="232"/>
      <c r="F210" s="190"/>
      <c r="G210" s="257"/>
      <c r="H210" s="257"/>
    </row>
  </sheetData>
  <printOptions horizontalCentered="1"/>
  <pageMargins left="0.7" right="0.45" top="0.25" bottom="0.25" header="0.3" footer="0.3"/>
  <pageSetup scale="65" orientation="landscape" r:id="rId1"/>
  <rowBreaks count="4" manualBreakCount="4">
    <brk id="53" max="16383" man="1"/>
    <brk id="98" max="16383" man="1"/>
    <brk id="143" max="16383" man="1"/>
    <brk id="1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11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 t="shared" ref="F10:F15" si="0">(+D10-E10)/E10</f>
        <v>-4.915227005321969E-2</v>
      </c>
      <c r="G10" s="241">
        <f t="shared" ref="G10:G15" si="1">D10/C10</f>
        <v>9.3826436670503097E-2</v>
      </c>
      <c r="H10" s="242">
        <f t="shared" ref="H10:H16" si="2">1-G10</f>
        <v>0.90617356332949694</v>
      </c>
      <c r="I10" s="157"/>
    </row>
    <row r="11" spans="1:9" ht="15.75" x14ac:dyDescent="0.25">
      <c r="A11" s="164"/>
      <c r="B11" s="165">
        <f>DATE(23,8,1)</f>
        <v>8614</v>
      </c>
      <c r="C11" s="226">
        <v>121966832.73999999</v>
      </c>
      <c r="D11" s="226">
        <v>11145204.02</v>
      </c>
      <c r="E11" s="226">
        <v>11827521.810000001</v>
      </c>
      <c r="F11" s="166">
        <f t="shared" si="0"/>
        <v>-5.7688990217977111E-2</v>
      </c>
      <c r="G11" s="241">
        <f t="shared" si="1"/>
        <v>9.1378973853970064E-2</v>
      </c>
      <c r="H11" s="242">
        <f t="shared" si="2"/>
        <v>0.90862102614602991</v>
      </c>
      <c r="I11" s="157"/>
    </row>
    <row r="12" spans="1:9" ht="15.75" x14ac:dyDescent="0.25">
      <c r="A12" s="164"/>
      <c r="B12" s="165">
        <f>DATE(23,9,1)</f>
        <v>8645</v>
      </c>
      <c r="C12" s="226">
        <v>119569753.25</v>
      </c>
      <c r="D12" s="226">
        <v>10888864.68</v>
      </c>
      <c r="E12" s="226">
        <v>11779242.130000001</v>
      </c>
      <c r="F12" s="166">
        <f t="shared" si="0"/>
        <v>-7.5588687300377363E-2</v>
      </c>
      <c r="G12" s="241">
        <f t="shared" si="1"/>
        <v>9.1067049851923987E-2</v>
      </c>
      <c r="H12" s="242">
        <f t="shared" si="2"/>
        <v>0.90893295014807607</v>
      </c>
      <c r="I12" s="157"/>
    </row>
    <row r="13" spans="1:9" ht="15.75" x14ac:dyDescent="0.25">
      <c r="A13" s="164"/>
      <c r="B13" s="165">
        <f>DATE(23,10,1)</f>
        <v>8675</v>
      </c>
      <c r="C13" s="226">
        <v>113617241.08</v>
      </c>
      <c r="D13" s="226">
        <v>10286786.27</v>
      </c>
      <c r="E13" s="226">
        <v>11839133.27</v>
      </c>
      <c r="F13" s="166">
        <f t="shared" si="0"/>
        <v>-0.1311199869616807</v>
      </c>
      <c r="G13" s="241">
        <f t="shared" si="1"/>
        <v>9.0538954935165894E-2</v>
      </c>
      <c r="H13" s="242">
        <f t="shared" si="2"/>
        <v>0.90946104506483416</v>
      </c>
      <c r="I13" s="157"/>
    </row>
    <row r="14" spans="1:9" ht="15.75" x14ac:dyDescent="0.25">
      <c r="A14" s="164"/>
      <c r="B14" s="165">
        <f>DATE(23,11,1)</f>
        <v>8706</v>
      </c>
      <c r="C14" s="226">
        <v>111981421.75</v>
      </c>
      <c r="D14" s="226">
        <v>10696499.550000001</v>
      </c>
      <c r="E14" s="226">
        <v>10518258.619999999</v>
      </c>
      <c r="F14" s="166">
        <f t="shared" si="0"/>
        <v>1.6945859237676889E-2</v>
      </c>
      <c r="G14" s="241">
        <f t="shared" si="1"/>
        <v>9.552030491164934E-2</v>
      </c>
      <c r="H14" s="242">
        <f t="shared" si="2"/>
        <v>0.90447969508835069</v>
      </c>
      <c r="I14" s="157"/>
    </row>
    <row r="15" spans="1:9" ht="15.75" x14ac:dyDescent="0.25">
      <c r="A15" s="164"/>
      <c r="B15" s="165">
        <f>DATE(23,12,1)</f>
        <v>8736</v>
      </c>
      <c r="C15" s="226">
        <v>129048538.48</v>
      </c>
      <c r="D15" s="226">
        <v>11420329.99</v>
      </c>
      <c r="E15" s="226">
        <v>11200076.720000001</v>
      </c>
      <c r="F15" s="166">
        <f t="shared" si="0"/>
        <v>1.9665335828163821E-2</v>
      </c>
      <c r="G15" s="241">
        <f t="shared" si="1"/>
        <v>8.8496391547820033E-2</v>
      </c>
      <c r="H15" s="242">
        <f t="shared" si="2"/>
        <v>0.91150360845217993</v>
      </c>
      <c r="I15" s="157"/>
    </row>
    <row r="16" spans="1:9" ht="15.75" x14ac:dyDescent="0.25">
      <c r="A16" s="164"/>
      <c r="B16" s="165">
        <f>DATE(24,1,1)</f>
        <v>8767</v>
      </c>
      <c r="C16" s="226">
        <v>104910741.22</v>
      </c>
      <c r="D16" s="226">
        <v>9832743.6199999992</v>
      </c>
      <c r="E16" s="226">
        <v>11398304.84</v>
      </c>
      <c r="F16" s="166">
        <f t="shared" ref="F16:F21" si="3">(+D16-E16)/E16</f>
        <v>-0.13735035533582032</v>
      </c>
      <c r="G16" s="241">
        <f t="shared" ref="G16:G21" si="4">D16/C16</f>
        <v>9.3724851294116132E-2</v>
      </c>
      <c r="H16" s="242">
        <f t="shared" si="2"/>
        <v>0.90627514870588388</v>
      </c>
      <c r="I16" s="157"/>
    </row>
    <row r="17" spans="1:9" ht="15.75" x14ac:dyDescent="0.25">
      <c r="A17" s="164"/>
      <c r="B17" s="165">
        <f>DATE(24,2,1)</f>
        <v>8798</v>
      </c>
      <c r="C17" s="226">
        <v>121349808.39</v>
      </c>
      <c r="D17" s="226">
        <v>11759548.859999999</v>
      </c>
      <c r="E17" s="226">
        <v>11481138.220000001</v>
      </c>
      <c r="F17" s="166">
        <f t="shared" si="3"/>
        <v>2.4249393628500253E-2</v>
      </c>
      <c r="G17" s="241">
        <f t="shared" si="4"/>
        <v>9.6906200479580332E-2</v>
      </c>
      <c r="H17" s="242">
        <f>1-G17</f>
        <v>0.90309379952041968</v>
      </c>
      <c r="I17" s="157"/>
    </row>
    <row r="18" spans="1:9" ht="15.75" x14ac:dyDescent="0.25">
      <c r="A18" s="164"/>
      <c r="B18" s="165">
        <f>DATE(24,3,1)</f>
        <v>8827</v>
      </c>
      <c r="C18" s="226">
        <v>137174130.78999999</v>
      </c>
      <c r="D18" s="226">
        <v>13285577.52</v>
      </c>
      <c r="E18" s="226">
        <v>13341210.529999999</v>
      </c>
      <c r="F18" s="166">
        <f t="shared" si="3"/>
        <v>-4.1700121495646452E-3</v>
      </c>
      <c r="G18" s="241">
        <f t="shared" si="4"/>
        <v>9.6851916928410525E-2</v>
      </c>
      <c r="H18" s="242">
        <f>1-G18</f>
        <v>0.90314808307158945</v>
      </c>
      <c r="I18" s="157"/>
    </row>
    <row r="19" spans="1:9" ht="15.75" x14ac:dyDescent="0.25">
      <c r="A19" s="164"/>
      <c r="B19" s="165">
        <f>DATE(24,4,1)</f>
        <v>8858</v>
      </c>
      <c r="C19" s="226">
        <v>118088531.37</v>
      </c>
      <c r="D19" s="226">
        <v>11366390.529999999</v>
      </c>
      <c r="E19" s="226">
        <v>12102886.369999999</v>
      </c>
      <c r="F19" s="166">
        <f t="shared" si="3"/>
        <v>-6.085290875948296E-2</v>
      </c>
      <c r="G19" s="241">
        <f t="shared" si="4"/>
        <v>9.6253128039896954E-2</v>
      </c>
      <c r="H19" s="242">
        <f>1-G19</f>
        <v>0.90374687196010306</v>
      </c>
      <c r="I19" s="157"/>
    </row>
    <row r="20" spans="1:9" ht="15.75" x14ac:dyDescent="0.25">
      <c r="A20" s="164"/>
      <c r="B20" s="165">
        <f>DATE(24,5,1)</f>
        <v>8888</v>
      </c>
      <c r="C20" s="226">
        <v>130156222.8</v>
      </c>
      <c r="D20" s="226">
        <v>12459666.23</v>
      </c>
      <c r="E20" s="226">
        <v>12234027.800000001</v>
      </c>
      <c r="F20" s="166">
        <f t="shared" si="3"/>
        <v>1.8443511302140385E-2</v>
      </c>
      <c r="G20" s="241">
        <f t="shared" si="4"/>
        <v>9.5728548062935959E-2</v>
      </c>
      <c r="H20" s="242">
        <f>1-G20</f>
        <v>0.90427145193706404</v>
      </c>
      <c r="I20" s="157"/>
    </row>
    <row r="21" spans="1:9" ht="15.75" x14ac:dyDescent="0.25">
      <c r="A21" s="164"/>
      <c r="B21" s="165">
        <f>DATE(24,6,1)</f>
        <v>8919</v>
      </c>
      <c r="C21" s="226">
        <v>115741763.2</v>
      </c>
      <c r="D21" s="226">
        <v>11756688.9</v>
      </c>
      <c r="E21" s="226">
        <v>11667506.34</v>
      </c>
      <c r="F21" s="166">
        <f t="shared" si="3"/>
        <v>7.6436692984047285E-3</v>
      </c>
      <c r="G21" s="241">
        <f t="shared" si="4"/>
        <v>0.10157689476083599</v>
      </c>
      <c r="H21" s="242">
        <f>1-G21</f>
        <v>0.89842310523916402</v>
      </c>
      <c r="I21" s="157"/>
    </row>
    <row r="22" spans="1:9" ht="15.75" thickBot="1" x14ac:dyDescent="0.25">
      <c r="A22" s="167"/>
      <c r="B22" s="168"/>
      <c r="C22" s="226"/>
      <c r="D22" s="226"/>
      <c r="E22" s="226"/>
      <c r="F22" s="166"/>
      <c r="G22" s="241"/>
      <c r="H22" s="242"/>
      <c r="I22" s="157"/>
    </row>
    <row r="23" spans="1:9" ht="17.25" thickTop="1" thickBot="1" x14ac:dyDescent="0.3">
      <c r="A23" s="169" t="s">
        <v>14</v>
      </c>
      <c r="B23" s="155"/>
      <c r="C23" s="223">
        <f>SUM(C10:C22)</f>
        <v>1453899518.4000001</v>
      </c>
      <c r="D23" s="223">
        <f>SUM(D10:D22)</f>
        <v>137123371.94999999</v>
      </c>
      <c r="E23" s="223">
        <f>SUM(E10:E22)</f>
        <v>142246330.33000001</v>
      </c>
      <c r="F23" s="170">
        <f>(+D23-E23)/E23</f>
        <v>-3.6014696253430054E-2</v>
      </c>
      <c r="G23" s="236">
        <f>D23/C23</f>
        <v>9.431420136991496E-2</v>
      </c>
      <c r="H23" s="237">
        <f>1-G23</f>
        <v>0.90568579863008503</v>
      </c>
      <c r="I23" s="157"/>
    </row>
    <row r="24" spans="1:9" ht="15.75" thickTop="1" x14ac:dyDescent="0.2">
      <c r="A24" s="171"/>
      <c r="B24" s="172"/>
      <c r="C24" s="227"/>
      <c r="D24" s="227"/>
      <c r="E24" s="227"/>
      <c r="F24" s="173"/>
      <c r="G24" s="243"/>
      <c r="H24" s="244"/>
      <c r="I24" s="157"/>
    </row>
    <row r="25" spans="1:9" ht="15.75" x14ac:dyDescent="0.25">
      <c r="A25" s="19" t="s">
        <v>48</v>
      </c>
      <c r="B25" s="165">
        <f>DATE(23,7,1)</f>
        <v>8583</v>
      </c>
      <c r="C25" s="226">
        <v>75800127.310000002</v>
      </c>
      <c r="D25" s="226">
        <v>7575374.3200000003</v>
      </c>
      <c r="E25" s="226">
        <v>7757914.71</v>
      </c>
      <c r="F25" s="166">
        <f t="shared" ref="F25:F30" si="5">(+D25-E25)/E25</f>
        <v>-2.3529569068954054E-2</v>
      </c>
      <c r="G25" s="241">
        <f t="shared" ref="G25:G30" si="6">D25/C25</f>
        <v>9.993880734552027E-2</v>
      </c>
      <c r="H25" s="242">
        <f t="shared" ref="H25:H31" si="7">1-G25</f>
        <v>0.9000611926544797</v>
      </c>
      <c r="I25" s="157"/>
    </row>
    <row r="26" spans="1:9" ht="15.75" x14ac:dyDescent="0.25">
      <c r="A26" s="19"/>
      <c r="B26" s="165">
        <f>DATE(23,8,1)</f>
        <v>8614</v>
      </c>
      <c r="C26" s="226">
        <v>70452827.459999993</v>
      </c>
      <c r="D26" s="226">
        <v>7089689.0300000003</v>
      </c>
      <c r="E26" s="226">
        <v>6870200.0300000003</v>
      </c>
      <c r="F26" s="166">
        <f t="shared" si="5"/>
        <v>3.1947978085290187E-2</v>
      </c>
      <c r="G26" s="241">
        <f t="shared" si="6"/>
        <v>0.1006302981101108</v>
      </c>
      <c r="H26" s="242">
        <f t="shared" si="7"/>
        <v>0.89936970188988918</v>
      </c>
      <c r="I26" s="157"/>
    </row>
    <row r="27" spans="1:9" ht="15.75" x14ac:dyDescent="0.25">
      <c r="A27" s="19"/>
      <c r="B27" s="165">
        <f>DATE(23,9,1)</f>
        <v>8645</v>
      </c>
      <c r="C27" s="226">
        <v>66505879.869999997</v>
      </c>
      <c r="D27" s="226">
        <v>6608716.9299999997</v>
      </c>
      <c r="E27" s="226">
        <v>7013550.54</v>
      </c>
      <c r="F27" s="166">
        <f t="shared" si="5"/>
        <v>-5.7721635809300141E-2</v>
      </c>
      <c r="G27" s="241">
        <f t="shared" si="6"/>
        <v>9.9370415712387444E-2</v>
      </c>
      <c r="H27" s="242">
        <f t="shared" si="7"/>
        <v>0.90062958428761253</v>
      </c>
      <c r="I27" s="157"/>
    </row>
    <row r="28" spans="1:9" ht="15.75" x14ac:dyDescent="0.25">
      <c r="A28" s="19"/>
      <c r="B28" s="165">
        <f>DATE(23,10,1)</f>
        <v>8675</v>
      </c>
      <c r="C28" s="226">
        <v>63554221.140000001</v>
      </c>
      <c r="D28" s="226">
        <v>6073572.6299999999</v>
      </c>
      <c r="E28" s="226">
        <v>6793373.3399999999</v>
      </c>
      <c r="F28" s="166">
        <f t="shared" si="5"/>
        <v>-0.10595630093840831</v>
      </c>
      <c r="G28" s="241">
        <f t="shared" si="6"/>
        <v>9.5565212208656769E-2</v>
      </c>
      <c r="H28" s="242">
        <f t="shared" si="7"/>
        <v>0.90443478779134323</v>
      </c>
      <c r="I28" s="157"/>
    </row>
    <row r="29" spans="1:9" ht="15.75" x14ac:dyDescent="0.25">
      <c r="A29" s="19"/>
      <c r="B29" s="165">
        <f>DATE(23,11,1)</f>
        <v>8706</v>
      </c>
      <c r="C29" s="226">
        <v>62962072.119999997</v>
      </c>
      <c r="D29" s="226">
        <v>6219601.8899999997</v>
      </c>
      <c r="E29" s="226">
        <v>6317939.5599999996</v>
      </c>
      <c r="F29" s="166">
        <f t="shared" si="5"/>
        <v>-1.5564832342270766E-2</v>
      </c>
      <c r="G29" s="241">
        <f t="shared" si="6"/>
        <v>9.8783310024263535E-2</v>
      </c>
      <c r="H29" s="242">
        <f t="shared" si="7"/>
        <v>0.90121668997573645</v>
      </c>
      <c r="I29" s="157"/>
    </row>
    <row r="30" spans="1:9" ht="15.75" x14ac:dyDescent="0.25">
      <c r="A30" s="19"/>
      <c r="B30" s="165">
        <f>DATE(23,12,1)</f>
        <v>8736</v>
      </c>
      <c r="C30" s="226">
        <v>71324672.930000007</v>
      </c>
      <c r="D30" s="226">
        <v>7129561.0199999996</v>
      </c>
      <c r="E30" s="226">
        <v>6662914.5199999996</v>
      </c>
      <c r="F30" s="166">
        <f t="shared" si="5"/>
        <v>7.003639302279388E-2</v>
      </c>
      <c r="G30" s="241">
        <f t="shared" si="6"/>
        <v>9.9959252908136662E-2</v>
      </c>
      <c r="H30" s="242">
        <f t="shared" si="7"/>
        <v>0.90004074709186332</v>
      </c>
      <c r="I30" s="157"/>
    </row>
    <row r="31" spans="1:9" ht="15.75" x14ac:dyDescent="0.25">
      <c r="A31" s="19"/>
      <c r="B31" s="165">
        <f>DATE(24,1,1)</f>
        <v>8767</v>
      </c>
      <c r="C31" s="226">
        <v>54725892.43</v>
      </c>
      <c r="D31" s="226">
        <v>5384241.8899999997</v>
      </c>
      <c r="E31" s="226">
        <v>6582615.0199999996</v>
      </c>
      <c r="F31" s="166">
        <f t="shared" ref="F31:F36" si="8">(+D31-E31)/E31</f>
        <v>-0.18205122528948989</v>
      </c>
      <c r="G31" s="241">
        <f t="shared" ref="G31:G36" si="9">D31/C31</f>
        <v>9.8385638879932277E-2</v>
      </c>
      <c r="H31" s="242">
        <f t="shared" si="7"/>
        <v>0.90161436112006776</v>
      </c>
      <c r="I31" s="157"/>
    </row>
    <row r="32" spans="1:9" ht="15.75" x14ac:dyDescent="0.25">
      <c r="A32" s="19"/>
      <c r="B32" s="165">
        <f>DATE(24,2,1)</f>
        <v>8798</v>
      </c>
      <c r="C32" s="226">
        <v>63979010.030000001</v>
      </c>
      <c r="D32" s="226">
        <v>6556548.7999999998</v>
      </c>
      <c r="E32" s="226">
        <v>7086159.2699999996</v>
      </c>
      <c r="F32" s="166">
        <f t="shared" si="8"/>
        <v>-7.4738719498185904E-2</v>
      </c>
      <c r="G32" s="241">
        <f t="shared" si="9"/>
        <v>0.10247968508618076</v>
      </c>
      <c r="H32" s="242">
        <f>1-G32</f>
        <v>0.89752031491381923</v>
      </c>
      <c r="I32" s="157"/>
    </row>
    <row r="33" spans="1:9" ht="15.75" x14ac:dyDescent="0.25">
      <c r="A33" s="19"/>
      <c r="B33" s="165">
        <f>DATE(24,3,1)</f>
        <v>8827</v>
      </c>
      <c r="C33" s="226">
        <v>74593888.549999997</v>
      </c>
      <c r="D33" s="226">
        <v>7259272.6699999999</v>
      </c>
      <c r="E33" s="226">
        <v>7680727.1699999999</v>
      </c>
      <c r="F33" s="166">
        <f t="shared" si="8"/>
        <v>-5.4871692571785494E-2</v>
      </c>
      <c r="G33" s="241">
        <f t="shared" si="9"/>
        <v>9.7317257634774432E-2</v>
      </c>
      <c r="H33" s="242">
        <f>1-G33</f>
        <v>0.90268274236522561</v>
      </c>
      <c r="I33" s="157"/>
    </row>
    <row r="34" spans="1:9" ht="15.75" x14ac:dyDescent="0.25">
      <c r="A34" s="19"/>
      <c r="B34" s="165">
        <f>DATE(24,4,1)</f>
        <v>8858</v>
      </c>
      <c r="C34" s="226">
        <v>65823373.479999997</v>
      </c>
      <c r="D34" s="226">
        <v>6609170.2699999996</v>
      </c>
      <c r="E34" s="226">
        <v>7399902.2699999996</v>
      </c>
      <c r="F34" s="166">
        <f t="shared" si="8"/>
        <v>-0.10685708691123025</v>
      </c>
      <c r="G34" s="241">
        <f t="shared" si="9"/>
        <v>0.10040765036158703</v>
      </c>
      <c r="H34" s="242">
        <f>1-G34</f>
        <v>0.89959234963841295</v>
      </c>
      <c r="I34" s="157"/>
    </row>
    <row r="35" spans="1:9" ht="15.75" x14ac:dyDescent="0.25">
      <c r="A35" s="19"/>
      <c r="B35" s="165">
        <f>DATE(24,5,1)</f>
        <v>8888</v>
      </c>
      <c r="C35" s="226">
        <v>66703632.240000002</v>
      </c>
      <c r="D35" s="226">
        <v>6835292.7800000003</v>
      </c>
      <c r="E35" s="226">
        <v>7036672.1100000003</v>
      </c>
      <c r="F35" s="166">
        <f t="shared" si="8"/>
        <v>-2.8618546786316021E-2</v>
      </c>
      <c r="G35" s="241">
        <f t="shared" si="9"/>
        <v>0.10247257233918811</v>
      </c>
      <c r="H35" s="242">
        <f>1-G35</f>
        <v>0.89752742766081184</v>
      </c>
      <c r="I35" s="157"/>
    </row>
    <row r="36" spans="1:9" ht="15.75" x14ac:dyDescent="0.25">
      <c r="A36" s="19"/>
      <c r="B36" s="165">
        <f>DATE(24,6,1)</f>
        <v>8919</v>
      </c>
      <c r="C36" s="226">
        <v>58287575.850000001</v>
      </c>
      <c r="D36" s="226">
        <v>5802971.29</v>
      </c>
      <c r="E36" s="226">
        <v>6592363.3600000003</v>
      </c>
      <c r="F36" s="166">
        <f t="shared" si="8"/>
        <v>-0.11974341019940385</v>
      </c>
      <c r="G36" s="241">
        <f t="shared" si="9"/>
        <v>9.9557602205547893E-2</v>
      </c>
      <c r="H36" s="242">
        <f>1-G36</f>
        <v>0.90044239779445212</v>
      </c>
      <c r="I36" s="157"/>
    </row>
    <row r="37" spans="1:9" ht="15.75" thickBot="1" x14ac:dyDescent="0.25">
      <c r="A37" s="167"/>
      <c r="B37" s="165"/>
      <c r="C37" s="226"/>
      <c r="D37" s="226"/>
      <c r="E37" s="226"/>
      <c r="F37" s="166"/>
      <c r="G37" s="241"/>
      <c r="H37" s="242"/>
      <c r="I37" s="157"/>
    </row>
    <row r="38" spans="1:9" ht="17.25" thickTop="1" thickBot="1" x14ac:dyDescent="0.3">
      <c r="A38" s="169" t="s">
        <v>14</v>
      </c>
      <c r="B38" s="155"/>
      <c r="C38" s="223">
        <f>SUM(C25:C37)</f>
        <v>794713173.40999997</v>
      </c>
      <c r="D38" s="223">
        <f>SUM(D25:D37)</f>
        <v>79144013.519999996</v>
      </c>
      <c r="E38" s="223">
        <f>SUM(E25:E37)</f>
        <v>83794331.899999991</v>
      </c>
      <c r="F38" s="170">
        <f>(+D38-E38)/E38</f>
        <v>-5.5496813144231251E-2</v>
      </c>
      <c r="G38" s="236">
        <f>D38/C38</f>
        <v>9.9588148489352976E-2</v>
      </c>
      <c r="H38" s="237">
        <f>1-G38</f>
        <v>0.90041185151064707</v>
      </c>
      <c r="I38" s="157"/>
    </row>
    <row r="39" spans="1:9" ht="15.75" thickTop="1" x14ac:dyDescent="0.2">
      <c r="A39" s="171"/>
      <c r="B39" s="172"/>
      <c r="C39" s="227"/>
      <c r="D39" s="227"/>
      <c r="E39" s="227"/>
      <c r="F39" s="173"/>
      <c r="G39" s="243"/>
      <c r="H39" s="244"/>
      <c r="I39" s="157"/>
    </row>
    <row r="40" spans="1:9" ht="15.75" x14ac:dyDescent="0.25">
      <c r="A40" s="19" t="s">
        <v>62</v>
      </c>
      <c r="B40" s="165">
        <f>DATE(23,7,1)</f>
        <v>8583</v>
      </c>
      <c r="C40" s="226">
        <v>37126873.899999999</v>
      </c>
      <c r="D40" s="226">
        <v>3728602.99</v>
      </c>
      <c r="E40" s="226">
        <v>3537425.2</v>
      </c>
      <c r="F40" s="166">
        <f t="shared" ref="F40:F45" si="10">(+D40-E40)/E40</f>
        <v>5.4044334280199065E-2</v>
      </c>
      <c r="G40" s="241">
        <f t="shared" ref="G40:G45" si="11">D40/C40</f>
        <v>0.10042868139242933</v>
      </c>
      <c r="H40" s="242">
        <f t="shared" ref="H40:H46" si="12">1-G40</f>
        <v>0.89957131860757067</v>
      </c>
      <c r="I40" s="157"/>
    </row>
    <row r="41" spans="1:9" ht="15.75" x14ac:dyDescent="0.25">
      <c r="A41" s="19"/>
      <c r="B41" s="165">
        <f>DATE(23,8,1)</f>
        <v>8614</v>
      </c>
      <c r="C41" s="226">
        <v>33173547.440000001</v>
      </c>
      <c r="D41" s="226">
        <v>3492885.71</v>
      </c>
      <c r="E41" s="226">
        <v>3224518.01</v>
      </c>
      <c r="F41" s="166">
        <f t="shared" si="10"/>
        <v>8.3227229361947402E-2</v>
      </c>
      <c r="G41" s="241">
        <f t="shared" si="11"/>
        <v>0.10529129320032708</v>
      </c>
      <c r="H41" s="242">
        <f t="shared" si="12"/>
        <v>0.89470870679967296</v>
      </c>
      <c r="I41" s="157"/>
    </row>
    <row r="42" spans="1:9" ht="15.75" x14ac:dyDescent="0.25">
      <c r="A42" s="19"/>
      <c r="B42" s="165">
        <f>DATE(23,9,1)</f>
        <v>8645</v>
      </c>
      <c r="C42" s="226">
        <v>34343922.799999997</v>
      </c>
      <c r="D42" s="226">
        <v>3669671.06</v>
      </c>
      <c r="E42" s="226">
        <v>3285954.25</v>
      </c>
      <c r="F42" s="166">
        <f t="shared" si="10"/>
        <v>0.11677484858469958</v>
      </c>
      <c r="G42" s="241">
        <f t="shared" si="11"/>
        <v>0.10685066704144817</v>
      </c>
      <c r="H42" s="242">
        <f t="shared" si="12"/>
        <v>0.89314933295855181</v>
      </c>
      <c r="I42" s="157"/>
    </row>
    <row r="43" spans="1:9" ht="15.75" x14ac:dyDescent="0.25">
      <c r="A43" s="19"/>
      <c r="B43" s="165">
        <f>DATE(23,10,1)</f>
        <v>8675</v>
      </c>
      <c r="C43" s="226">
        <v>31007658.719999999</v>
      </c>
      <c r="D43" s="226">
        <v>3409284.9</v>
      </c>
      <c r="E43" s="226">
        <v>3155435.74</v>
      </c>
      <c r="F43" s="166">
        <f t="shared" si="10"/>
        <v>8.0448210933935754E-2</v>
      </c>
      <c r="G43" s="241">
        <f t="shared" si="11"/>
        <v>0.10994976856479025</v>
      </c>
      <c r="H43" s="242">
        <f t="shared" si="12"/>
        <v>0.89005023143520978</v>
      </c>
      <c r="I43" s="157"/>
    </row>
    <row r="44" spans="1:9" ht="15.75" x14ac:dyDescent="0.25">
      <c r="A44" s="19"/>
      <c r="B44" s="165">
        <f>DATE(23,11,1)</f>
        <v>8706</v>
      </c>
      <c r="C44" s="226">
        <v>31665455.82</v>
      </c>
      <c r="D44" s="226">
        <v>3276327.35</v>
      </c>
      <c r="E44" s="226">
        <v>2805588.39</v>
      </c>
      <c r="F44" s="166">
        <f t="shared" si="10"/>
        <v>0.16778618049527927</v>
      </c>
      <c r="G44" s="241">
        <f t="shared" si="11"/>
        <v>0.10346692523941695</v>
      </c>
      <c r="H44" s="242">
        <f t="shared" si="12"/>
        <v>0.89653307476058308</v>
      </c>
      <c r="I44" s="157"/>
    </row>
    <row r="45" spans="1:9" ht="15.75" x14ac:dyDescent="0.25">
      <c r="A45" s="19"/>
      <c r="B45" s="165">
        <f>DATE(23,12,1)</f>
        <v>8736</v>
      </c>
      <c r="C45" s="226">
        <v>34846745.240000002</v>
      </c>
      <c r="D45" s="226">
        <v>3745372.22</v>
      </c>
      <c r="E45" s="226">
        <v>2840105.54</v>
      </c>
      <c r="F45" s="166">
        <f t="shared" si="10"/>
        <v>0.31874402808284374</v>
      </c>
      <c r="G45" s="241">
        <f t="shared" si="11"/>
        <v>0.10748126386566369</v>
      </c>
      <c r="H45" s="242">
        <f t="shared" si="12"/>
        <v>0.8925187361343363</v>
      </c>
      <c r="I45" s="157"/>
    </row>
    <row r="46" spans="1:9" ht="15.75" x14ac:dyDescent="0.25">
      <c r="A46" s="19"/>
      <c r="B46" s="165">
        <f>DATE(24,1,1)</f>
        <v>8767</v>
      </c>
      <c r="C46" s="226">
        <v>28973333.780000001</v>
      </c>
      <c r="D46" s="226">
        <v>3017306.94</v>
      </c>
      <c r="E46" s="226">
        <v>3252604.7</v>
      </c>
      <c r="F46" s="166">
        <f t="shared" ref="F46:F51" si="13">(+D46-E46)/E46</f>
        <v>-7.2341333086064913E-2</v>
      </c>
      <c r="G46" s="241">
        <f t="shared" ref="G46:G51" si="14">D46/C46</f>
        <v>0.10414082697251831</v>
      </c>
      <c r="H46" s="242">
        <f t="shared" si="12"/>
        <v>0.89585917302748164</v>
      </c>
      <c r="I46" s="157"/>
    </row>
    <row r="47" spans="1:9" ht="15.75" x14ac:dyDescent="0.25">
      <c r="A47" s="19"/>
      <c r="B47" s="165">
        <f>DATE(24,2,1)</f>
        <v>8798</v>
      </c>
      <c r="C47" s="226">
        <v>37865377.18</v>
      </c>
      <c r="D47" s="226">
        <v>3818039.93</v>
      </c>
      <c r="E47" s="226">
        <v>3649257.42</v>
      </c>
      <c r="F47" s="166">
        <f t="shared" si="13"/>
        <v>4.6251193208507679E-2</v>
      </c>
      <c r="G47" s="241">
        <f t="shared" si="14"/>
        <v>0.10083195294345673</v>
      </c>
      <c r="H47" s="242">
        <f>1-G47</f>
        <v>0.8991680470565433</v>
      </c>
      <c r="I47" s="157"/>
    </row>
    <row r="48" spans="1:9" ht="15.75" x14ac:dyDescent="0.25">
      <c r="A48" s="19"/>
      <c r="B48" s="165">
        <f>DATE(24,3,1)</f>
        <v>8827</v>
      </c>
      <c r="C48" s="226">
        <v>41736329.229999997</v>
      </c>
      <c r="D48" s="226">
        <v>4397667.5599999996</v>
      </c>
      <c r="E48" s="226">
        <v>4184272.39</v>
      </c>
      <c r="F48" s="166">
        <f t="shared" si="13"/>
        <v>5.0999349495026408E-2</v>
      </c>
      <c r="G48" s="241">
        <f t="shared" si="14"/>
        <v>0.1053678567601236</v>
      </c>
      <c r="H48" s="242">
        <f>1-G48</f>
        <v>0.89463214323987639</v>
      </c>
      <c r="I48" s="157"/>
    </row>
    <row r="49" spans="1:9" ht="15.75" x14ac:dyDescent="0.25">
      <c r="A49" s="19"/>
      <c r="B49" s="165">
        <f>DATE(24,4,1)</f>
        <v>8858</v>
      </c>
      <c r="C49" s="226">
        <v>34339147.990000002</v>
      </c>
      <c r="D49" s="226">
        <v>3702308.15</v>
      </c>
      <c r="E49" s="226">
        <v>3709089.71</v>
      </c>
      <c r="F49" s="166">
        <f t="shared" si="13"/>
        <v>-1.8283623557867668E-3</v>
      </c>
      <c r="G49" s="241">
        <f t="shared" si="14"/>
        <v>0.1078159583655995</v>
      </c>
      <c r="H49" s="242">
        <f>1-G49</f>
        <v>0.89218404163440046</v>
      </c>
      <c r="I49" s="157"/>
    </row>
    <row r="50" spans="1:9" ht="15.75" x14ac:dyDescent="0.25">
      <c r="A50" s="19"/>
      <c r="B50" s="165">
        <f>DATE(24,5,1)</f>
        <v>8888</v>
      </c>
      <c r="C50" s="226">
        <v>36679110.990000002</v>
      </c>
      <c r="D50" s="226">
        <v>3852241.31</v>
      </c>
      <c r="E50" s="226">
        <v>3621106.1</v>
      </c>
      <c r="F50" s="166">
        <f t="shared" si="13"/>
        <v>6.3830002109024078E-2</v>
      </c>
      <c r="G50" s="241">
        <f t="shared" si="14"/>
        <v>0.10502548197120302</v>
      </c>
      <c r="H50" s="242">
        <f>1-G50</f>
        <v>0.89497451802879702</v>
      </c>
      <c r="I50" s="157"/>
    </row>
    <row r="51" spans="1:9" ht="15.75" x14ac:dyDescent="0.25">
      <c r="A51" s="19"/>
      <c r="B51" s="165">
        <f>DATE(24,6,1)</f>
        <v>8919</v>
      </c>
      <c r="C51" s="226">
        <v>33867353.859999999</v>
      </c>
      <c r="D51" s="226">
        <v>3464937.85</v>
      </c>
      <c r="E51" s="226">
        <v>3438166.09</v>
      </c>
      <c r="F51" s="166">
        <f t="shared" si="13"/>
        <v>7.7866395337522053E-3</v>
      </c>
      <c r="G51" s="241">
        <f t="shared" si="14"/>
        <v>0.10230908102012551</v>
      </c>
      <c r="H51" s="242">
        <f>1-G51</f>
        <v>0.89769091897987452</v>
      </c>
      <c r="I51" s="157"/>
    </row>
    <row r="52" spans="1:9" ht="15.75" thickBot="1" x14ac:dyDescent="0.25">
      <c r="A52" s="167"/>
      <c r="B52" s="165"/>
      <c r="C52" s="226"/>
      <c r="D52" s="226"/>
      <c r="E52" s="226"/>
      <c r="F52" s="166"/>
      <c r="G52" s="241"/>
      <c r="H52" s="242"/>
      <c r="I52" s="157"/>
    </row>
    <row r="53" spans="1:9" ht="17.25" thickTop="1" thickBot="1" x14ac:dyDescent="0.3">
      <c r="A53" s="174" t="s">
        <v>14</v>
      </c>
      <c r="B53" s="175"/>
      <c r="C53" s="228">
        <f>SUM(C40:C52)</f>
        <v>415624856.95000005</v>
      </c>
      <c r="D53" s="228">
        <f>SUM(D40:D52)</f>
        <v>43574645.970000006</v>
      </c>
      <c r="E53" s="228">
        <f>SUM(E40:E52)</f>
        <v>40703523.540000007</v>
      </c>
      <c r="F53" s="176">
        <f>(+D53-E53)/E53</f>
        <v>7.0537441977928564E-2</v>
      </c>
      <c r="G53" s="245">
        <f>D53/C53</f>
        <v>0.10484128954597648</v>
      </c>
      <c r="H53" s="246">
        <f>1-G53</f>
        <v>0.89515871045402351</v>
      </c>
      <c r="I53" s="157"/>
    </row>
    <row r="54" spans="1:9" ht="15.75" thickTop="1" x14ac:dyDescent="0.2">
      <c r="A54" s="167"/>
      <c r="B54" s="168"/>
      <c r="C54" s="226"/>
      <c r="D54" s="226"/>
      <c r="E54" s="226"/>
      <c r="F54" s="166"/>
      <c r="G54" s="241"/>
      <c r="H54" s="242"/>
      <c r="I54" s="157"/>
    </row>
    <row r="55" spans="1:9" ht="15.75" x14ac:dyDescent="0.25">
      <c r="A55" s="177" t="s">
        <v>58</v>
      </c>
      <c r="B55" s="165">
        <f>DATE(23,7,1)</f>
        <v>8583</v>
      </c>
      <c r="C55" s="226">
        <v>203652069.36000001</v>
      </c>
      <c r="D55" s="226">
        <v>18456668.579999998</v>
      </c>
      <c r="E55" s="226">
        <v>17880290.199999999</v>
      </c>
      <c r="F55" s="166">
        <f t="shared" ref="F55:F60" si="15">(+D55-E55)/E55</f>
        <v>3.2235404098754444E-2</v>
      </c>
      <c r="G55" s="241">
        <f t="shared" ref="G55:G60" si="16">D55/C55</f>
        <v>9.0628436224597153E-2</v>
      </c>
      <c r="H55" s="242">
        <f t="shared" ref="H55:H61" si="17">1-G55</f>
        <v>0.90937156377540285</v>
      </c>
      <c r="I55" s="157"/>
    </row>
    <row r="56" spans="1:9" ht="15.75" x14ac:dyDescent="0.25">
      <c r="A56" s="177"/>
      <c r="B56" s="165">
        <f>DATE(23,8,1)</f>
        <v>8614</v>
      </c>
      <c r="C56" s="226">
        <v>191968973.33000001</v>
      </c>
      <c r="D56" s="226">
        <v>17397451.300000001</v>
      </c>
      <c r="E56" s="226">
        <v>17060867.379999999</v>
      </c>
      <c r="F56" s="166">
        <f t="shared" si="15"/>
        <v>1.9728417817406526E-2</v>
      </c>
      <c r="G56" s="241">
        <f t="shared" si="16"/>
        <v>9.0626370492138314E-2</v>
      </c>
      <c r="H56" s="242">
        <f t="shared" si="17"/>
        <v>0.90937362950786171</v>
      </c>
      <c r="I56" s="157"/>
    </row>
    <row r="57" spans="1:9" ht="15.75" x14ac:dyDescent="0.25">
      <c r="A57" s="177"/>
      <c r="B57" s="165">
        <f>DATE(23,9,1)</f>
        <v>8645</v>
      </c>
      <c r="C57" s="226">
        <v>188961524.24000001</v>
      </c>
      <c r="D57" s="226">
        <v>17402399.579999998</v>
      </c>
      <c r="E57" s="226">
        <v>17061917.539999999</v>
      </c>
      <c r="F57" s="166">
        <f t="shared" si="15"/>
        <v>1.9955672579109133E-2</v>
      </c>
      <c r="G57" s="241">
        <f t="shared" si="16"/>
        <v>9.2094936522089083E-2</v>
      </c>
      <c r="H57" s="242">
        <f t="shared" si="17"/>
        <v>0.90790506347791089</v>
      </c>
      <c r="I57" s="157"/>
    </row>
    <row r="58" spans="1:9" ht="15.75" x14ac:dyDescent="0.25">
      <c r="A58" s="177"/>
      <c r="B58" s="165">
        <f>DATE(23,10,1)</f>
        <v>8675</v>
      </c>
      <c r="C58" s="226">
        <v>184357310.63</v>
      </c>
      <c r="D58" s="226">
        <v>16465993.380000001</v>
      </c>
      <c r="E58" s="226">
        <v>16341780.85</v>
      </c>
      <c r="F58" s="166">
        <f t="shared" si="15"/>
        <v>7.6009176196975619E-3</v>
      </c>
      <c r="G58" s="241">
        <f t="shared" si="16"/>
        <v>8.9315651892138914E-2</v>
      </c>
      <c r="H58" s="242">
        <f t="shared" si="17"/>
        <v>0.91068434810786103</v>
      </c>
      <c r="I58" s="157"/>
    </row>
    <row r="59" spans="1:9" ht="15.75" x14ac:dyDescent="0.25">
      <c r="A59" s="177"/>
      <c r="B59" s="165">
        <f>DATE(23,11,1)</f>
        <v>8706</v>
      </c>
      <c r="C59" s="226">
        <v>183237380.37</v>
      </c>
      <c r="D59" s="226">
        <v>16419604.9</v>
      </c>
      <c r="E59" s="226">
        <v>14923708.42</v>
      </c>
      <c r="F59" s="166">
        <f t="shared" si="15"/>
        <v>0.10023624409568842</v>
      </c>
      <c r="G59" s="241">
        <f t="shared" si="16"/>
        <v>8.9608380488985923E-2</v>
      </c>
      <c r="H59" s="242">
        <f t="shared" si="17"/>
        <v>0.91039161951101411</v>
      </c>
      <c r="I59" s="157"/>
    </row>
    <row r="60" spans="1:9" ht="15.75" x14ac:dyDescent="0.25">
      <c r="A60" s="177"/>
      <c r="B60" s="165">
        <f>DATE(23,12,1)</f>
        <v>8736</v>
      </c>
      <c r="C60" s="226">
        <v>197745355.72</v>
      </c>
      <c r="D60" s="226">
        <v>18063260.059999999</v>
      </c>
      <c r="E60" s="226">
        <v>16991042.620000001</v>
      </c>
      <c r="F60" s="166">
        <f t="shared" si="15"/>
        <v>6.3104864367646299E-2</v>
      </c>
      <c r="G60" s="241">
        <f t="shared" si="16"/>
        <v>9.134606471151159E-2</v>
      </c>
      <c r="H60" s="242">
        <f t="shared" si="17"/>
        <v>0.90865393528848837</v>
      </c>
      <c r="I60" s="157"/>
    </row>
    <row r="61" spans="1:9" ht="15.75" x14ac:dyDescent="0.25">
      <c r="A61" s="177"/>
      <c r="B61" s="165">
        <f>DATE(24,1,1)</f>
        <v>8767</v>
      </c>
      <c r="C61" s="226">
        <v>168370808.71000001</v>
      </c>
      <c r="D61" s="226">
        <v>15246319.380000001</v>
      </c>
      <c r="E61" s="226">
        <v>15916443.26</v>
      </c>
      <c r="F61" s="166">
        <f t="shared" ref="F61:F66" si="18">(+D61-E61)/E61</f>
        <v>-4.2102614827528931E-2</v>
      </c>
      <c r="G61" s="241">
        <f t="shared" ref="G61:G66" si="19">D61/C61</f>
        <v>9.0552035099267653E-2</v>
      </c>
      <c r="H61" s="242">
        <f t="shared" si="17"/>
        <v>0.90944796490073232</v>
      </c>
      <c r="I61" s="157"/>
    </row>
    <row r="62" spans="1:9" ht="15.75" x14ac:dyDescent="0.25">
      <c r="A62" s="177"/>
      <c r="B62" s="165">
        <f>DATE(24,2,1)</f>
        <v>8798</v>
      </c>
      <c r="C62" s="226">
        <v>190047245.52000001</v>
      </c>
      <c r="D62" s="226">
        <v>17151647.350000001</v>
      </c>
      <c r="E62" s="226">
        <v>16962749.350000001</v>
      </c>
      <c r="F62" s="166">
        <f t="shared" si="18"/>
        <v>1.1136048532132558E-2</v>
      </c>
      <c r="G62" s="241">
        <f t="shared" si="19"/>
        <v>9.0249386688401184E-2</v>
      </c>
      <c r="H62" s="242">
        <f>1-G62</f>
        <v>0.90975061331159879</v>
      </c>
      <c r="I62" s="157"/>
    </row>
    <row r="63" spans="1:9" ht="15.75" x14ac:dyDescent="0.25">
      <c r="A63" s="177"/>
      <c r="B63" s="165">
        <f>DATE(24,3,1)</f>
        <v>8827</v>
      </c>
      <c r="C63" s="226">
        <v>207231450.55000001</v>
      </c>
      <c r="D63" s="226">
        <v>18487106.280000001</v>
      </c>
      <c r="E63" s="226">
        <v>19124762.489999998</v>
      </c>
      <c r="F63" s="166">
        <f t="shared" si="18"/>
        <v>-3.3341915243831989E-2</v>
      </c>
      <c r="G63" s="241">
        <f t="shared" si="19"/>
        <v>8.9209944875329156E-2</v>
      </c>
      <c r="H63" s="242">
        <f>1-G63</f>
        <v>0.91079005512467082</v>
      </c>
      <c r="I63" s="157"/>
    </row>
    <row r="64" spans="1:9" ht="15.75" x14ac:dyDescent="0.25">
      <c r="A64" s="177"/>
      <c r="B64" s="165">
        <f>DATE(24,4,1)</f>
        <v>8858</v>
      </c>
      <c r="C64" s="226">
        <v>190473732.43000001</v>
      </c>
      <c r="D64" s="226">
        <v>16930679.41</v>
      </c>
      <c r="E64" s="226">
        <v>18086108.760000002</v>
      </c>
      <c r="F64" s="166">
        <f t="shared" si="18"/>
        <v>-6.3884905555549765E-2</v>
      </c>
      <c r="G64" s="241">
        <f t="shared" si="19"/>
        <v>8.8887213969107814E-2</v>
      </c>
      <c r="H64" s="242">
        <f>1-G64</f>
        <v>0.91111278603089219</v>
      </c>
      <c r="I64" s="157"/>
    </row>
    <row r="65" spans="1:9" ht="15.75" x14ac:dyDescent="0.25">
      <c r="A65" s="177"/>
      <c r="B65" s="165">
        <f>DATE(24,5,1)</f>
        <v>8888</v>
      </c>
      <c r="C65" s="226">
        <v>202737299.44</v>
      </c>
      <c r="D65" s="226">
        <v>17871513.460000001</v>
      </c>
      <c r="E65" s="226">
        <v>18259703.82</v>
      </c>
      <c r="F65" s="166">
        <f t="shared" si="18"/>
        <v>-2.1259400690541944E-2</v>
      </c>
      <c r="G65" s="241">
        <f t="shared" si="19"/>
        <v>8.8151087685219301E-2</v>
      </c>
      <c r="H65" s="242">
        <f>1-G65</f>
        <v>0.91184891231478071</v>
      </c>
      <c r="I65" s="157"/>
    </row>
    <row r="66" spans="1:9" ht="15.75" x14ac:dyDescent="0.25">
      <c r="A66" s="177"/>
      <c r="B66" s="165">
        <f>DATE(24,6,1)</f>
        <v>8919</v>
      </c>
      <c r="C66" s="226">
        <v>192400573.68000001</v>
      </c>
      <c r="D66" s="226">
        <v>17383028.75</v>
      </c>
      <c r="E66" s="226">
        <v>17268374.030000001</v>
      </c>
      <c r="F66" s="166">
        <f t="shared" si="18"/>
        <v>6.639578213954102E-3</v>
      </c>
      <c r="G66" s="241">
        <f t="shared" si="19"/>
        <v>9.0348112885107065E-2</v>
      </c>
      <c r="H66" s="242">
        <f>1-G66</f>
        <v>0.90965188711489298</v>
      </c>
      <c r="I66" s="157"/>
    </row>
    <row r="67" spans="1:9" ht="15.75" thickBot="1" x14ac:dyDescent="0.25">
      <c r="A67" s="167"/>
      <c r="B67" s="168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8"/>
      <c r="C68" s="228">
        <f>SUM(C55:C67)</f>
        <v>2301183723.98</v>
      </c>
      <c r="D68" s="228">
        <f>SUM(D55:D67)</f>
        <v>207275672.43000001</v>
      </c>
      <c r="E68" s="228">
        <f>SUM(E55:E67)</f>
        <v>205877748.72</v>
      </c>
      <c r="F68" s="176">
        <f>(+D68-E68)/E68</f>
        <v>6.790067011570187E-3</v>
      </c>
      <c r="G68" s="245">
        <f>D68/C68</f>
        <v>9.0073500116499811E-2</v>
      </c>
      <c r="H68" s="246">
        <f>1-G68</f>
        <v>0.90992649988350016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60</v>
      </c>
      <c r="B70" s="165">
        <f>DATE(23,7,1)</f>
        <v>8583</v>
      </c>
      <c r="C70" s="226">
        <v>121881486.05</v>
      </c>
      <c r="D70" s="226">
        <v>12067335.59</v>
      </c>
      <c r="E70" s="226">
        <v>11877741.560000001</v>
      </c>
      <c r="F70" s="166">
        <f t="shared" ref="F70:F75" si="20">(+D70-E70)/E70</f>
        <v>1.5962127904725964E-2</v>
      </c>
      <c r="G70" s="241">
        <f t="shared" ref="G70:G75" si="21">D70/C70</f>
        <v>9.9008766475406795E-2</v>
      </c>
      <c r="H70" s="242">
        <f t="shared" ref="H70:H76" si="22">1-G70</f>
        <v>0.9009912335245932</v>
      </c>
      <c r="I70" s="157"/>
    </row>
    <row r="71" spans="1:9" ht="15.75" x14ac:dyDescent="0.25">
      <c r="A71" s="164"/>
      <c r="B71" s="165">
        <f>DATE(23,8,1)</f>
        <v>8614</v>
      </c>
      <c r="C71" s="226">
        <v>115554383.93000001</v>
      </c>
      <c r="D71" s="226">
        <v>10973674.99</v>
      </c>
      <c r="E71" s="226">
        <v>11399779.33</v>
      </c>
      <c r="F71" s="166">
        <f t="shared" si="20"/>
        <v>-3.7378297216565493E-2</v>
      </c>
      <c r="G71" s="241">
        <f t="shared" si="21"/>
        <v>9.4965457966939462E-2</v>
      </c>
      <c r="H71" s="242">
        <f t="shared" si="22"/>
        <v>0.90503454203306055</v>
      </c>
      <c r="I71" s="157"/>
    </row>
    <row r="72" spans="1:9" ht="15.75" x14ac:dyDescent="0.25">
      <c r="A72" s="164"/>
      <c r="B72" s="165">
        <f>DATE(23,9,1)</f>
        <v>8645</v>
      </c>
      <c r="C72" s="226">
        <v>112575369.23999999</v>
      </c>
      <c r="D72" s="226">
        <v>10801103.67</v>
      </c>
      <c r="E72" s="226">
        <v>10069352.810000001</v>
      </c>
      <c r="F72" s="166">
        <f t="shared" si="20"/>
        <v>7.2671091559458362E-2</v>
      </c>
      <c r="G72" s="241">
        <f t="shared" si="21"/>
        <v>9.5945531806101145E-2</v>
      </c>
      <c r="H72" s="242">
        <f t="shared" si="22"/>
        <v>0.9040544681938989</v>
      </c>
      <c r="I72" s="157"/>
    </row>
    <row r="73" spans="1:9" ht="15.75" x14ac:dyDescent="0.25">
      <c r="A73" s="164"/>
      <c r="B73" s="165">
        <f>DATE(23,10,1)</f>
        <v>8675</v>
      </c>
      <c r="C73" s="226">
        <v>105123042.13</v>
      </c>
      <c r="D73" s="226">
        <v>10564246.92</v>
      </c>
      <c r="E73" s="226">
        <v>10695374.6</v>
      </c>
      <c r="F73" s="166">
        <f t="shared" si="20"/>
        <v>-1.2260223218362048E-2</v>
      </c>
      <c r="G73" s="241">
        <f t="shared" si="21"/>
        <v>0.10049411343077158</v>
      </c>
      <c r="H73" s="242">
        <f t="shared" si="22"/>
        <v>0.89950588656922847</v>
      </c>
      <c r="I73" s="157"/>
    </row>
    <row r="74" spans="1:9" ht="15.75" x14ac:dyDescent="0.25">
      <c r="A74" s="164"/>
      <c r="B74" s="165">
        <f>DATE(23,11,1)</f>
        <v>8706</v>
      </c>
      <c r="C74" s="226">
        <v>100178994.58</v>
      </c>
      <c r="D74" s="226">
        <v>9910289.5700000003</v>
      </c>
      <c r="E74" s="226">
        <v>10611649.119999999</v>
      </c>
      <c r="F74" s="166">
        <f t="shared" si="20"/>
        <v>-6.6093360425773198E-2</v>
      </c>
      <c r="G74" s="241">
        <f t="shared" si="21"/>
        <v>9.8925823837111224E-2</v>
      </c>
      <c r="H74" s="242">
        <f t="shared" si="22"/>
        <v>0.90107417616288876</v>
      </c>
      <c r="I74" s="157"/>
    </row>
    <row r="75" spans="1:9" ht="15.75" x14ac:dyDescent="0.25">
      <c r="A75" s="164"/>
      <c r="B75" s="165">
        <f>DATE(23,12,1)</f>
        <v>8736</v>
      </c>
      <c r="C75" s="226">
        <v>122205739.61</v>
      </c>
      <c r="D75" s="226">
        <v>11817185.1</v>
      </c>
      <c r="E75" s="226">
        <v>11067872.5</v>
      </c>
      <c r="F75" s="166">
        <f t="shared" si="20"/>
        <v>6.7701593056840842E-2</v>
      </c>
      <c r="G75" s="241">
        <f t="shared" si="21"/>
        <v>9.6699100530896906E-2</v>
      </c>
      <c r="H75" s="242">
        <f t="shared" si="22"/>
        <v>0.90330089946910308</v>
      </c>
      <c r="I75" s="157"/>
    </row>
    <row r="76" spans="1:9" ht="15.75" x14ac:dyDescent="0.25">
      <c r="A76" s="164"/>
      <c r="B76" s="165">
        <f>DATE(24,1,1)</f>
        <v>8767</v>
      </c>
      <c r="C76" s="226">
        <v>90178722.310000002</v>
      </c>
      <c r="D76" s="226">
        <v>8636364.1500000004</v>
      </c>
      <c r="E76" s="226">
        <v>10685663.300000001</v>
      </c>
      <c r="F76" s="166">
        <f t="shared" ref="F76:F81" si="23">(+D76-E76)/E76</f>
        <v>-0.1917802472776772</v>
      </c>
      <c r="G76" s="241">
        <f t="shared" ref="G76:G81" si="24">D76/C76</f>
        <v>9.576942241775703E-2</v>
      </c>
      <c r="H76" s="242">
        <f t="shared" si="22"/>
        <v>0.90423057758224301</v>
      </c>
      <c r="I76" s="157"/>
    </row>
    <row r="77" spans="1:9" ht="15.75" x14ac:dyDescent="0.25">
      <c r="A77" s="164"/>
      <c r="B77" s="165">
        <f>DATE(24,2,1)</f>
        <v>8798</v>
      </c>
      <c r="C77" s="226">
        <v>106593420.09</v>
      </c>
      <c r="D77" s="226">
        <v>10543506.25</v>
      </c>
      <c r="E77" s="226">
        <v>10567662.619999999</v>
      </c>
      <c r="F77" s="166">
        <f t="shared" si="23"/>
        <v>-2.2858763445269019E-3</v>
      </c>
      <c r="G77" s="241">
        <f t="shared" si="24"/>
        <v>9.8913293532544536E-2</v>
      </c>
      <c r="H77" s="242">
        <f>1-G77</f>
        <v>0.90108670646745548</v>
      </c>
      <c r="I77" s="157"/>
    </row>
    <row r="78" spans="1:9" ht="15.75" x14ac:dyDescent="0.25">
      <c r="A78" s="164"/>
      <c r="B78" s="165">
        <f>DATE(24,3,1)</f>
        <v>8827</v>
      </c>
      <c r="C78" s="226">
        <v>125177415.75</v>
      </c>
      <c r="D78" s="226">
        <v>12150632.48</v>
      </c>
      <c r="E78" s="226">
        <v>12565055.32</v>
      </c>
      <c r="F78" s="166">
        <f t="shared" si="23"/>
        <v>-3.2982173929656827E-2</v>
      </c>
      <c r="G78" s="241">
        <f t="shared" si="24"/>
        <v>9.7067289711962282E-2</v>
      </c>
      <c r="H78" s="242">
        <f>1-G78</f>
        <v>0.90293271028803768</v>
      </c>
      <c r="I78" s="157"/>
    </row>
    <row r="79" spans="1:9" ht="15.75" x14ac:dyDescent="0.25">
      <c r="A79" s="164"/>
      <c r="B79" s="165">
        <f>DATE(24,4,1)</f>
        <v>8858</v>
      </c>
      <c r="C79" s="226">
        <v>104878769.86</v>
      </c>
      <c r="D79" s="226">
        <v>9858056.8100000005</v>
      </c>
      <c r="E79" s="226">
        <v>11102592.5</v>
      </c>
      <c r="F79" s="166">
        <f t="shared" si="23"/>
        <v>-0.11209415188389554</v>
      </c>
      <c r="G79" s="241">
        <f t="shared" si="24"/>
        <v>9.3994779145095519E-2</v>
      </c>
      <c r="H79" s="242">
        <f>1-G79</f>
        <v>0.90600522085490454</v>
      </c>
      <c r="I79" s="157"/>
    </row>
    <row r="80" spans="1:9" ht="15.75" x14ac:dyDescent="0.25">
      <c r="A80" s="164"/>
      <c r="B80" s="165">
        <f>DATE(24,5,1)</f>
        <v>8888</v>
      </c>
      <c r="C80" s="226">
        <v>110620161.83</v>
      </c>
      <c r="D80" s="226">
        <v>10632938.92</v>
      </c>
      <c r="E80" s="226">
        <v>10673361.42</v>
      </c>
      <c r="F80" s="166">
        <f t="shared" si="23"/>
        <v>-3.7872323825046674E-3</v>
      </c>
      <c r="G80" s="241">
        <f t="shared" si="24"/>
        <v>9.6121165835398051E-2</v>
      </c>
      <c r="H80" s="242">
        <f>1-G80</f>
        <v>0.90387883416460191</v>
      </c>
      <c r="I80" s="157"/>
    </row>
    <row r="81" spans="1:9" ht="15.75" x14ac:dyDescent="0.25">
      <c r="A81" s="164"/>
      <c r="B81" s="165">
        <f>DATE(24,6,1)</f>
        <v>8919</v>
      </c>
      <c r="C81" s="226">
        <v>105260315.3</v>
      </c>
      <c r="D81" s="226">
        <v>9896895.9900000002</v>
      </c>
      <c r="E81" s="226">
        <v>10429388.119999999</v>
      </c>
      <c r="F81" s="166">
        <f t="shared" si="23"/>
        <v>-5.1056890766090213E-2</v>
      </c>
      <c r="G81" s="241">
        <f t="shared" si="24"/>
        <v>9.402305096458323E-2</v>
      </c>
      <c r="H81" s="242">
        <f>1-G81</f>
        <v>0.90597694903541681</v>
      </c>
      <c r="I81" s="157"/>
    </row>
    <row r="82" spans="1:9" ht="15.75" thickBot="1" x14ac:dyDescent="0.25">
      <c r="A82" s="167"/>
      <c r="B82" s="165"/>
      <c r="C82" s="226"/>
      <c r="D82" s="226"/>
      <c r="E82" s="226"/>
      <c r="F82" s="166"/>
      <c r="G82" s="241"/>
      <c r="H82" s="242"/>
      <c r="I82" s="157"/>
    </row>
    <row r="83" spans="1:9" ht="17.25" thickTop="1" thickBot="1" x14ac:dyDescent="0.3">
      <c r="A83" s="174" t="s">
        <v>14</v>
      </c>
      <c r="B83" s="175"/>
      <c r="C83" s="228">
        <f>SUM(C70:C82)</f>
        <v>1320227820.6800001</v>
      </c>
      <c r="D83" s="230">
        <f>SUM(D70:D82)</f>
        <v>127852230.44000001</v>
      </c>
      <c r="E83" s="271">
        <f>SUM(E70:E82)</f>
        <v>131745493.2</v>
      </c>
      <c r="F83" s="272">
        <f>(+D83-E83)/E83</f>
        <v>-2.9551392350778267E-2</v>
      </c>
      <c r="G83" s="249">
        <f>D83/C83</f>
        <v>9.684103640093579E-2</v>
      </c>
      <c r="H83" s="270">
        <f>1-G83</f>
        <v>0.90315896359906422</v>
      </c>
      <c r="I83" s="157"/>
    </row>
    <row r="84" spans="1:9" ht="15.75" thickTop="1" x14ac:dyDescent="0.2">
      <c r="A84" s="167"/>
      <c r="B84" s="168"/>
      <c r="C84" s="226"/>
      <c r="D84" s="226"/>
      <c r="E84" s="226"/>
      <c r="F84" s="166"/>
      <c r="G84" s="241"/>
      <c r="H84" s="242"/>
      <c r="I84" s="157"/>
    </row>
    <row r="85" spans="1:9" ht="15.75" x14ac:dyDescent="0.25">
      <c r="A85" s="164" t="s">
        <v>64</v>
      </c>
      <c r="B85" s="165">
        <f>DATE(23,7,1)</f>
        <v>8583</v>
      </c>
      <c r="C85" s="226">
        <v>53239780.990000002</v>
      </c>
      <c r="D85" s="226">
        <v>5575819.8300000001</v>
      </c>
      <c r="E85" s="226">
        <v>5559220.0999999996</v>
      </c>
      <c r="F85" s="166">
        <f t="shared" ref="F85:F90" si="25">(+D85-E85)/E85</f>
        <v>2.9859817926619686E-3</v>
      </c>
      <c r="G85" s="241">
        <f t="shared" ref="G85:G90" si="26">D85/C85</f>
        <v>0.10473032995848167</v>
      </c>
      <c r="H85" s="242">
        <f t="shared" ref="H85:H91" si="27">1-G85</f>
        <v>0.89526967004151836</v>
      </c>
      <c r="I85" s="157"/>
    </row>
    <row r="86" spans="1:9" ht="15.75" x14ac:dyDescent="0.25">
      <c r="A86" s="164"/>
      <c r="B86" s="165">
        <f>DATE(23,8,1)</f>
        <v>8614</v>
      </c>
      <c r="C86" s="226">
        <v>49967048.579999998</v>
      </c>
      <c r="D86" s="226">
        <v>5122977.68</v>
      </c>
      <c r="E86" s="226">
        <v>4834999.09</v>
      </c>
      <c r="F86" s="166">
        <f t="shared" si="25"/>
        <v>5.9561250093223876E-2</v>
      </c>
      <c r="G86" s="241">
        <f t="shared" si="26"/>
        <v>0.10252712188509254</v>
      </c>
      <c r="H86" s="242">
        <f t="shared" si="27"/>
        <v>0.8974728781149075</v>
      </c>
      <c r="I86" s="157"/>
    </row>
    <row r="87" spans="1:9" ht="15.75" x14ac:dyDescent="0.25">
      <c r="A87" s="164"/>
      <c r="B87" s="165">
        <f>DATE(23,9,1)</f>
        <v>8645</v>
      </c>
      <c r="C87" s="226">
        <v>48479872.609999999</v>
      </c>
      <c r="D87" s="226">
        <v>4693957.13</v>
      </c>
      <c r="E87" s="226">
        <v>4841899.8</v>
      </c>
      <c r="F87" s="166">
        <f t="shared" si="25"/>
        <v>-3.0554674014526266E-2</v>
      </c>
      <c r="G87" s="241">
        <f t="shared" si="26"/>
        <v>9.6822802480544715E-2</v>
      </c>
      <c r="H87" s="242">
        <f t="shared" si="27"/>
        <v>0.90317719751945524</v>
      </c>
      <c r="I87" s="157"/>
    </row>
    <row r="88" spans="1:9" ht="15.75" x14ac:dyDescent="0.25">
      <c r="A88" s="164"/>
      <c r="B88" s="165">
        <f>DATE(23,10,1)</f>
        <v>8675</v>
      </c>
      <c r="C88" s="226">
        <v>45241468.390000001</v>
      </c>
      <c r="D88" s="226">
        <v>4687600.6900000004</v>
      </c>
      <c r="E88" s="226">
        <v>4853868.22</v>
      </c>
      <c r="F88" s="166">
        <f t="shared" si="25"/>
        <v>-3.4254644432847689E-2</v>
      </c>
      <c r="G88" s="241">
        <f t="shared" si="26"/>
        <v>0.10361292099520204</v>
      </c>
      <c r="H88" s="242">
        <f t="shared" si="27"/>
        <v>0.89638707900479797</v>
      </c>
      <c r="I88" s="157"/>
    </row>
    <row r="89" spans="1:9" ht="15.75" x14ac:dyDescent="0.25">
      <c r="A89" s="164"/>
      <c r="B89" s="165">
        <f>DATE(23,11,1)</f>
        <v>8706</v>
      </c>
      <c r="C89" s="226">
        <v>44523750.759999998</v>
      </c>
      <c r="D89" s="226">
        <v>4597031.58</v>
      </c>
      <c r="E89" s="226">
        <v>4436643.53</v>
      </c>
      <c r="F89" s="166">
        <f t="shared" si="25"/>
        <v>3.6150763277571642E-2</v>
      </c>
      <c r="G89" s="241">
        <f t="shared" si="26"/>
        <v>0.10324897389664572</v>
      </c>
      <c r="H89" s="242">
        <f t="shared" si="27"/>
        <v>0.89675102610335422</v>
      </c>
      <c r="I89" s="157"/>
    </row>
    <row r="90" spans="1:9" ht="15.75" x14ac:dyDescent="0.25">
      <c r="A90" s="164"/>
      <c r="B90" s="165">
        <f>DATE(23,12,1)</f>
        <v>8736</v>
      </c>
      <c r="C90" s="226">
        <v>52832745.200000003</v>
      </c>
      <c r="D90" s="226">
        <v>5308528.92</v>
      </c>
      <c r="E90" s="226">
        <v>4878718.8099999996</v>
      </c>
      <c r="F90" s="166">
        <f t="shared" si="25"/>
        <v>8.809897162324884E-2</v>
      </c>
      <c r="G90" s="241">
        <f t="shared" si="26"/>
        <v>0.10047800658293259</v>
      </c>
      <c r="H90" s="242">
        <f t="shared" si="27"/>
        <v>0.8995219934170674</v>
      </c>
      <c r="I90" s="157"/>
    </row>
    <row r="91" spans="1:9" ht="15.75" x14ac:dyDescent="0.25">
      <c r="A91" s="164"/>
      <c r="B91" s="165">
        <f>DATE(24,1,1)</f>
        <v>8767</v>
      </c>
      <c r="C91" s="226">
        <v>41233936.259999998</v>
      </c>
      <c r="D91" s="226">
        <v>4172035.59</v>
      </c>
      <c r="E91" s="226">
        <v>4734129.4000000004</v>
      </c>
      <c r="F91" s="166">
        <f t="shared" ref="F91:F96" si="28">(+D91-E91)/E91</f>
        <v>-0.11873224462347828</v>
      </c>
      <c r="G91" s="241">
        <f t="shared" ref="G91:G96" si="29">D91/C91</f>
        <v>0.10117965851461012</v>
      </c>
      <c r="H91" s="242">
        <f t="shared" si="27"/>
        <v>0.89882034148538992</v>
      </c>
      <c r="I91" s="157"/>
    </row>
    <row r="92" spans="1:9" ht="15.75" x14ac:dyDescent="0.25">
      <c r="A92" s="164"/>
      <c r="B92" s="165">
        <f>DATE(24,2,1)</f>
        <v>8798</v>
      </c>
      <c r="C92" s="226">
        <v>49754245.509999998</v>
      </c>
      <c r="D92" s="226">
        <v>5059953.28</v>
      </c>
      <c r="E92" s="226">
        <v>5419047.3600000003</v>
      </c>
      <c r="F92" s="166">
        <f t="shared" si="28"/>
        <v>-6.6265167315312054E-2</v>
      </c>
      <c r="G92" s="241">
        <f t="shared" si="29"/>
        <v>0.10169892494868626</v>
      </c>
      <c r="H92" s="242">
        <f>1-G92</f>
        <v>0.89830107505131374</v>
      </c>
      <c r="I92" s="157"/>
    </row>
    <row r="93" spans="1:9" ht="15.75" x14ac:dyDescent="0.25">
      <c r="A93" s="164"/>
      <c r="B93" s="165">
        <f>DATE(24,3,1)</f>
        <v>8827</v>
      </c>
      <c r="C93" s="226">
        <v>54987237.240000002</v>
      </c>
      <c r="D93" s="226">
        <v>5789027.5099999998</v>
      </c>
      <c r="E93" s="226">
        <v>5872959.04</v>
      </c>
      <c r="F93" s="166">
        <f t="shared" si="28"/>
        <v>-1.4291182592685043E-2</v>
      </c>
      <c r="G93" s="241">
        <f t="shared" si="29"/>
        <v>0.10527947575785496</v>
      </c>
      <c r="H93" s="242">
        <f>1-G93</f>
        <v>0.89472052424214499</v>
      </c>
      <c r="I93" s="157"/>
    </row>
    <row r="94" spans="1:9" ht="15.75" x14ac:dyDescent="0.25">
      <c r="A94" s="164"/>
      <c r="B94" s="165">
        <f>DATE(24,4,1)</f>
        <v>8858</v>
      </c>
      <c r="C94" s="226">
        <v>53344453.509999998</v>
      </c>
      <c r="D94" s="226">
        <v>5212460.2699999996</v>
      </c>
      <c r="E94" s="226">
        <v>5332993.75</v>
      </c>
      <c r="F94" s="166">
        <f t="shared" si="28"/>
        <v>-2.2601466577754838E-2</v>
      </c>
      <c r="G94" s="241">
        <f t="shared" si="29"/>
        <v>9.7713256524839406E-2</v>
      </c>
      <c r="H94" s="242">
        <f>1-G94</f>
        <v>0.90228674347516058</v>
      </c>
      <c r="I94" s="157"/>
    </row>
    <row r="95" spans="1:9" ht="15.75" x14ac:dyDescent="0.25">
      <c r="A95" s="164"/>
      <c r="B95" s="165">
        <f>DATE(24,5,1)</f>
        <v>8888</v>
      </c>
      <c r="C95" s="226">
        <v>53092953.840000004</v>
      </c>
      <c r="D95" s="226">
        <v>5367127.79</v>
      </c>
      <c r="E95" s="226">
        <v>4975986.96</v>
      </c>
      <c r="F95" s="166">
        <f t="shared" si="28"/>
        <v>7.8605678259253325E-2</v>
      </c>
      <c r="G95" s="241">
        <f t="shared" si="29"/>
        <v>0.10108926706497216</v>
      </c>
      <c r="H95" s="242">
        <f>1-G95</f>
        <v>0.89891073293502788</v>
      </c>
      <c r="I95" s="157"/>
    </row>
    <row r="96" spans="1:9" ht="15.75" x14ac:dyDescent="0.25">
      <c r="A96" s="164"/>
      <c r="B96" s="165">
        <f>DATE(24,6,1)</f>
        <v>8919</v>
      </c>
      <c r="C96" s="226">
        <v>50278736.340000004</v>
      </c>
      <c r="D96" s="226">
        <v>5278253.54</v>
      </c>
      <c r="E96" s="226">
        <v>5123741.92</v>
      </c>
      <c r="F96" s="166">
        <f t="shared" si="28"/>
        <v>3.015601144875777E-2</v>
      </c>
      <c r="G96" s="241">
        <f t="shared" si="29"/>
        <v>0.10497983688983062</v>
      </c>
      <c r="H96" s="242">
        <f>1-G96</f>
        <v>0.89502016311016941</v>
      </c>
      <c r="I96" s="157"/>
    </row>
    <row r="97" spans="1:9" ht="15.75" thickBot="1" x14ac:dyDescent="0.25">
      <c r="A97" s="167"/>
      <c r="B97" s="165"/>
      <c r="C97" s="226"/>
      <c r="D97" s="226"/>
      <c r="E97" s="226"/>
      <c r="F97" s="166"/>
      <c r="G97" s="241"/>
      <c r="H97" s="242"/>
      <c r="I97" s="157"/>
    </row>
    <row r="98" spans="1:9" ht="17.25" thickTop="1" thickBot="1" x14ac:dyDescent="0.3">
      <c r="A98" s="174" t="s">
        <v>14</v>
      </c>
      <c r="B98" s="175"/>
      <c r="C98" s="228">
        <f>SUM(C85:C97)</f>
        <v>596976229.23000002</v>
      </c>
      <c r="D98" s="230">
        <f>SUM(D85:D97)</f>
        <v>60864773.810000002</v>
      </c>
      <c r="E98" s="271">
        <f>SUM(E85:E97)</f>
        <v>60864207.979999997</v>
      </c>
      <c r="F98" s="272">
        <f>(+D98-E98)/E98</f>
        <v>9.2965967813397713E-6</v>
      </c>
      <c r="G98" s="249">
        <f>D98/C98</f>
        <v>0.10195510445785326</v>
      </c>
      <c r="H98" s="270">
        <f>1-G98</f>
        <v>0.89804489554214673</v>
      </c>
      <c r="I98" s="157"/>
    </row>
    <row r="99" spans="1:9" ht="15.75" thickTop="1" x14ac:dyDescent="0.2">
      <c r="A99" s="167"/>
      <c r="B99" s="168"/>
      <c r="C99" s="226"/>
      <c r="D99" s="226"/>
      <c r="E99" s="226"/>
      <c r="F99" s="166"/>
      <c r="G99" s="241"/>
      <c r="H99" s="242"/>
      <c r="I99" s="157"/>
    </row>
    <row r="100" spans="1:9" ht="15.75" x14ac:dyDescent="0.25">
      <c r="A100" s="290" t="s">
        <v>67</v>
      </c>
      <c r="B100" s="165">
        <f>DATE(23,7,1)</f>
        <v>8583</v>
      </c>
      <c r="C100" s="226">
        <v>89298695.370000005</v>
      </c>
      <c r="D100" s="226">
        <v>9977929.8800000008</v>
      </c>
      <c r="E100" s="226">
        <v>9654928.8200000003</v>
      </c>
      <c r="F100" s="166">
        <f t="shared" ref="F100:F105" si="30">(+D100-E100)/E100</f>
        <v>3.3454525250451353E-2</v>
      </c>
      <c r="G100" s="241">
        <f t="shared" ref="G100:G105" si="31">D100/C100</f>
        <v>0.11173656948354586</v>
      </c>
      <c r="H100" s="242">
        <f t="shared" ref="H100:H106" si="32">1-G100</f>
        <v>0.88826343051645418</v>
      </c>
      <c r="I100" s="157"/>
    </row>
    <row r="101" spans="1:9" ht="15.75" x14ac:dyDescent="0.25">
      <c r="A101" s="290"/>
      <c r="B101" s="165">
        <f>DATE(23,8,1)</f>
        <v>8614</v>
      </c>
      <c r="C101" s="226">
        <v>89627706.310000002</v>
      </c>
      <c r="D101" s="226">
        <v>9956028.8800000008</v>
      </c>
      <c r="E101" s="226">
        <v>9270730.9700000007</v>
      </c>
      <c r="F101" s="166">
        <f t="shared" si="30"/>
        <v>7.3920590751432425E-2</v>
      </c>
      <c r="G101" s="241">
        <f t="shared" si="31"/>
        <v>0.11108204471466186</v>
      </c>
      <c r="H101" s="242">
        <f t="shared" si="32"/>
        <v>0.88891795528533812</v>
      </c>
      <c r="I101" s="157"/>
    </row>
    <row r="102" spans="1:9" ht="15.75" x14ac:dyDescent="0.25">
      <c r="A102" s="290"/>
      <c r="B102" s="165">
        <f>DATE(23,9,1)</f>
        <v>8645</v>
      </c>
      <c r="C102" s="226">
        <v>95507709.879999995</v>
      </c>
      <c r="D102" s="226">
        <v>10479555.779999999</v>
      </c>
      <c r="E102" s="226">
        <v>9446104.3000000007</v>
      </c>
      <c r="F102" s="166">
        <f t="shared" si="30"/>
        <v>0.10940504648037801</v>
      </c>
      <c r="G102" s="241">
        <f t="shared" si="31"/>
        <v>0.10972471011153932</v>
      </c>
      <c r="H102" s="242">
        <f t="shared" si="32"/>
        <v>0.89027528988846072</v>
      </c>
      <c r="I102" s="157"/>
    </row>
    <row r="103" spans="1:9" ht="15.75" x14ac:dyDescent="0.25">
      <c r="A103" s="290"/>
      <c r="B103" s="165">
        <f>DATE(23,10,1)</f>
        <v>8675</v>
      </c>
      <c r="C103" s="226">
        <v>94703586.390000001</v>
      </c>
      <c r="D103" s="226">
        <v>10708668.119999999</v>
      </c>
      <c r="E103" s="226">
        <v>9283650.1199999992</v>
      </c>
      <c r="F103" s="166">
        <f t="shared" si="30"/>
        <v>0.15349759863634327</v>
      </c>
      <c r="G103" s="241">
        <f t="shared" si="31"/>
        <v>0.1130756344949863</v>
      </c>
      <c r="H103" s="242">
        <f t="shared" si="32"/>
        <v>0.88692436550501375</v>
      </c>
      <c r="I103" s="157"/>
    </row>
    <row r="104" spans="1:9" ht="15.75" x14ac:dyDescent="0.25">
      <c r="A104" s="290"/>
      <c r="B104" s="165">
        <f>DATE(23,11,1)</f>
        <v>8706</v>
      </c>
      <c r="C104" s="226">
        <v>94033257.400000006</v>
      </c>
      <c r="D104" s="226">
        <v>10522780.289999999</v>
      </c>
      <c r="E104" s="226">
        <v>9336104.8499999996</v>
      </c>
      <c r="F104" s="166">
        <f t="shared" si="30"/>
        <v>0.12710605322732632</v>
      </c>
      <c r="G104" s="241">
        <f t="shared" si="31"/>
        <v>0.11190487898593204</v>
      </c>
      <c r="H104" s="242">
        <f t="shared" si="32"/>
        <v>0.88809512101406796</v>
      </c>
      <c r="I104" s="157"/>
    </row>
    <row r="105" spans="1:9" ht="15.75" x14ac:dyDescent="0.25">
      <c r="A105" s="290"/>
      <c r="B105" s="165">
        <f>DATE(23,12,1)</f>
        <v>8736</v>
      </c>
      <c r="C105" s="226">
        <v>96743255.180000007</v>
      </c>
      <c r="D105" s="226">
        <v>10763645.630000001</v>
      </c>
      <c r="E105" s="226">
        <v>9794618.4299999997</v>
      </c>
      <c r="F105" s="166">
        <f t="shared" si="30"/>
        <v>9.8934655487135828E-2</v>
      </c>
      <c r="G105" s="241">
        <f t="shared" si="31"/>
        <v>0.11125990757674234</v>
      </c>
      <c r="H105" s="242">
        <f t="shared" si="32"/>
        <v>0.88874009242325769</v>
      </c>
      <c r="I105" s="157"/>
    </row>
    <row r="106" spans="1:9" ht="15.75" x14ac:dyDescent="0.25">
      <c r="A106" s="290"/>
      <c r="B106" s="165">
        <f>DATE(24,1,1)</f>
        <v>8767</v>
      </c>
      <c r="C106" s="226">
        <v>76940806.450000003</v>
      </c>
      <c r="D106" s="226">
        <v>8504931.5700000003</v>
      </c>
      <c r="E106" s="226">
        <v>9804638.4499999993</v>
      </c>
      <c r="F106" s="166">
        <f t="shared" ref="F106:F111" si="33">(+D106-E106)/E106</f>
        <v>-0.13256040869105165</v>
      </c>
      <c r="G106" s="241">
        <f t="shared" ref="G106:G111" si="34">D106/C106</f>
        <v>0.11053863304028314</v>
      </c>
      <c r="H106" s="242">
        <f t="shared" si="32"/>
        <v>0.88946136695971689</v>
      </c>
      <c r="I106" s="157"/>
    </row>
    <row r="107" spans="1:9" ht="15.75" x14ac:dyDescent="0.25">
      <c r="A107" s="290"/>
      <c r="B107" s="165">
        <f>DATE(24,2,1)</f>
        <v>8798</v>
      </c>
      <c r="C107" s="226">
        <v>88691280.519999996</v>
      </c>
      <c r="D107" s="226">
        <v>10006367.91</v>
      </c>
      <c r="E107" s="226">
        <v>9413288.1199999992</v>
      </c>
      <c r="F107" s="166">
        <f t="shared" si="33"/>
        <v>6.3004529601076428E-2</v>
      </c>
      <c r="G107" s="241">
        <f t="shared" si="34"/>
        <v>0.1128224539248089</v>
      </c>
      <c r="H107" s="242">
        <f>1-G107</f>
        <v>0.88717754607519106</v>
      </c>
      <c r="I107" s="157"/>
    </row>
    <row r="108" spans="1:9" ht="15.75" x14ac:dyDescent="0.25">
      <c r="A108" s="290"/>
      <c r="B108" s="165">
        <f>DATE(24,3,1)</f>
        <v>8827</v>
      </c>
      <c r="C108" s="226">
        <v>97221834.390000001</v>
      </c>
      <c r="D108" s="226">
        <v>11055740.75</v>
      </c>
      <c r="E108" s="226">
        <v>10565430.359999999</v>
      </c>
      <c r="F108" s="166">
        <f t="shared" si="33"/>
        <v>4.6407043848992878E-2</v>
      </c>
      <c r="G108" s="241">
        <f t="shared" si="34"/>
        <v>0.11371664420206791</v>
      </c>
      <c r="H108" s="242">
        <f>1-G108</f>
        <v>0.88628335579793205</v>
      </c>
      <c r="I108" s="157"/>
    </row>
    <row r="109" spans="1:9" ht="15.75" x14ac:dyDescent="0.25">
      <c r="A109" s="290"/>
      <c r="B109" s="165">
        <f>DATE(24,4,1)</f>
        <v>8858</v>
      </c>
      <c r="C109" s="226">
        <v>90081218.349999994</v>
      </c>
      <c r="D109" s="226">
        <v>10008008.73</v>
      </c>
      <c r="E109" s="226">
        <v>9868981.7899999991</v>
      </c>
      <c r="F109" s="166">
        <f t="shared" si="33"/>
        <v>1.408726279552709E-2</v>
      </c>
      <c r="G109" s="241">
        <f t="shared" si="34"/>
        <v>0.1110998376056045</v>
      </c>
      <c r="H109" s="242">
        <f>1-G109</f>
        <v>0.88890016239439551</v>
      </c>
      <c r="I109" s="157"/>
    </row>
    <row r="110" spans="1:9" ht="15.75" x14ac:dyDescent="0.25">
      <c r="A110" s="290"/>
      <c r="B110" s="165">
        <f>DATE(24,5,1)</f>
        <v>8888</v>
      </c>
      <c r="C110" s="226">
        <v>92882417.810000002</v>
      </c>
      <c r="D110" s="226">
        <v>10349441.470000001</v>
      </c>
      <c r="E110" s="226">
        <v>9605509.1300000008</v>
      </c>
      <c r="F110" s="166">
        <f t="shared" si="33"/>
        <v>7.7448506886172705E-2</v>
      </c>
      <c r="G110" s="241">
        <f t="shared" si="34"/>
        <v>0.11142519449882095</v>
      </c>
      <c r="H110" s="242">
        <f>1-G110</f>
        <v>0.88857480550117907</v>
      </c>
      <c r="I110" s="157"/>
    </row>
    <row r="111" spans="1:9" ht="15.75" x14ac:dyDescent="0.25">
      <c r="A111" s="290"/>
      <c r="B111" s="165">
        <f>DATE(24,6,1)</f>
        <v>8919</v>
      </c>
      <c r="C111" s="226">
        <v>89935337.819999993</v>
      </c>
      <c r="D111" s="226">
        <v>10021170.189999999</v>
      </c>
      <c r="E111" s="226">
        <v>9491555.8100000005</v>
      </c>
      <c r="F111" s="166">
        <f t="shared" si="33"/>
        <v>5.5798479259007688E-2</v>
      </c>
      <c r="G111" s="241">
        <f t="shared" si="34"/>
        <v>0.11142639181560368</v>
      </c>
      <c r="H111" s="242">
        <f>1-G111</f>
        <v>0.88857360818439635</v>
      </c>
      <c r="I111" s="157"/>
    </row>
    <row r="112" spans="1:9" ht="15.75" thickBot="1" x14ac:dyDescent="0.25">
      <c r="A112" s="167"/>
      <c r="B112" s="165"/>
      <c r="C112" s="226"/>
      <c r="D112" s="226"/>
      <c r="E112" s="226"/>
      <c r="F112" s="166"/>
      <c r="G112" s="241"/>
      <c r="H112" s="242"/>
      <c r="I112" s="157"/>
    </row>
    <row r="113" spans="1:9" ht="17.25" thickTop="1" thickBot="1" x14ac:dyDescent="0.3">
      <c r="A113" s="174" t="s">
        <v>14</v>
      </c>
      <c r="B113" s="175"/>
      <c r="C113" s="228">
        <f>SUM(C100:C112)</f>
        <v>1095667105.8699999</v>
      </c>
      <c r="D113" s="230">
        <f>SUM(D100:D112)</f>
        <v>122354269.2</v>
      </c>
      <c r="E113" s="271">
        <f>SUM(E100:E112)</f>
        <v>115535541.15000001</v>
      </c>
      <c r="F113" s="272">
        <f>(+D113-E113)/E113</f>
        <v>5.901844559802797E-2</v>
      </c>
      <c r="G113" s="249">
        <f>D113/C113</f>
        <v>0.11167102539128089</v>
      </c>
      <c r="H113" s="270">
        <f>1-G113</f>
        <v>0.88832897460871907</v>
      </c>
      <c r="I113" s="157"/>
    </row>
    <row r="114" spans="1:9" ht="15.75" thickTop="1" x14ac:dyDescent="0.2">
      <c r="A114" s="167"/>
      <c r="B114" s="168"/>
      <c r="C114" s="226"/>
      <c r="D114" s="226"/>
      <c r="E114" s="226"/>
      <c r="F114" s="166"/>
      <c r="G114" s="241"/>
      <c r="H114" s="242"/>
      <c r="I114" s="157"/>
    </row>
    <row r="115" spans="1:9" ht="15.75" x14ac:dyDescent="0.25">
      <c r="A115" s="164" t="s">
        <v>69</v>
      </c>
      <c r="B115" s="165">
        <f>DATE(23,7,1)</f>
        <v>8583</v>
      </c>
      <c r="C115" s="226">
        <v>121213119.26000001</v>
      </c>
      <c r="D115" s="226">
        <v>12329543.52</v>
      </c>
      <c r="E115" s="226">
        <v>11762621.74</v>
      </c>
      <c r="F115" s="166">
        <f t="shared" ref="F115:F120" si="35">(+D115-E115)/E115</f>
        <v>4.8196889480184822E-2</v>
      </c>
      <c r="G115" s="241">
        <f t="shared" ref="G115:G120" si="36">D115/C115</f>
        <v>0.10171789650552054</v>
      </c>
      <c r="H115" s="242">
        <f t="shared" ref="H115:H121" si="37">1-G115</f>
        <v>0.89828210349447946</v>
      </c>
      <c r="I115" s="157"/>
    </row>
    <row r="116" spans="1:9" ht="15.75" x14ac:dyDescent="0.25">
      <c r="A116" s="164"/>
      <c r="B116" s="165">
        <f>DATE(23,8,1)</f>
        <v>8614</v>
      </c>
      <c r="C116" s="226">
        <v>112407031.68000001</v>
      </c>
      <c r="D116" s="226">
        <v>11665095.210000001</v>
      </c>
      <c r="E116" s="226">
        <v>12540537.029999999</v>
      </c>
      <c r="F116" s="166">
        <f t="shared" si="35"/>
        <v>-6.9808957774753169E-2</v>
      </c>
      <c r="G116" s="241">
        <f t="shared" si="36"/>
        <v>0.10377549371829477</v>
      </c>
      <c r="H116" s="242">
        <f t="shared" si="37"/>
        <v>0.89622450628170525</v>
      </c>
      <c r="I116" s="157"/>
    </row>
    <row r="117" spans="1:9" ht="15.75" x14ac:dyDescent="0.25">
      <c r="A117" s="164"/>
      <c r="B117" s="165">
        <f>DATE(23,9,1)</f>
        <v>8645</v>
      </c>
      <c r="C117" s="226">
        <v>114671749.77</v>
      </c>
      <c r="D117" s="226">
        <v>12009719.560000001</v>
      </c>
      <c r="E117" s="226">
        <v>12203478.51</v>
      </c>
      <c r="F117" s="166">
        <f t="shared" si="35"/>
        <v>-1.58773541364641E-2</v>
      </c>
      <c r="G117" s="241">
        <f t="shared" si="36"/>
        <v>0.10473128372147626</v>
      </c>
      <c r="H117" s="242">
        <f t="shared" si="37"/>
        <v>0.89526871627852378</v>
      </c>
      <c r="I117" s="157"/>
    </row>
    <row r="118" spans="1:9" ht="15.75" x14ac:dyDescent="0.25">
      <c r="A118" s="164"/>
      <c r="B118" s="165">
        <f>DATE(23,10,1)</f>
        <v>8675</v>
      </c>
      <c r="C118" s="226">
        <v>104976582.06999999</v>
      </c>
      <c r="D118" s="226">
        <v>10536048.18</v>
      </c>
      <c r="E118" s="226">
        <v>11570843.18</v>
      </c>
      <c r="F118" s="166">
        <f t="shared" si="35"/>
        <v>-8.9431252666929667E-2</v>
      </c>
      <c r="G118" s="241">
        <f t="shared" si="36"/>
        <v>0.10036570035185945</v>
      </c>
      <c r="H118" s="242">
        <f t="shared" si="37"/>
        <v>0.89963429964814057</v>
      </c>
      <c r="I118" s="157"/>
    </row>
    <row r="119" spans="1:9" ht="15.75" x14ac:dyDescent="0.25">
      <c r="A119" s="164"/>
      <c r="B119" s="165">
        <f>DATE(23,11,1)</f>
        <v>8706</v>
      </c>
      <c r="C119" s="226">
        <v>104619738.67</v>
      </c>
      <c r="D119" s="226">
        <v>10658883.08</v>
      </c>
      <c r="E119" s="226">
        <v>10635557.710000001</v>
      </c>
      <c r="F119" s="166">
        <f t="shared" si="35"/>
        <v>2.1931496810992509E-3</v>
      </c>
      <c r="G119" s="241">
        <f t="shared" si="36"/>
        <v>0.10188214208430693</v>
      </c>
      <c r="H119" s="242">
        <f t="shared" si="37"/>
        <v>0.8981178579156931</v>
      </c>
      <c r="I119" s="157"/>
    </row>
    <row r="120" spans="1:9" ht="15.75" x14ac:dyDescent="0.25">
      <c r="A120" s="164"/>
      <c r="B120" s="165">
        <f>DATE(23,12,1)</f>
        <v>8736</v>
      </c>
      <c r="C120" s="226">
        <v>121790851.01000001</v>
      </c>
      <c r="D120" s="226">
        <v>12581806.52</v>
      </c>
      <c r="E120" s="226">
        <v>11765807.74</v>
      </c>
      <c r="F120" s="166">
        <f t="shared" si="35"/>
        <v>6.9353400806122581E-2</v>
      </c>
      <c r="G120" s="241">
        <f t="shared" si="36"/>
        <v>0.10330666397073564</v>
      </c>
      <c r="H120" s="242">
        <f t="shared" si="37"/>
        <v>0.89669333602926438</v>
      </c>
      <c r="I120" s="157"/>
    </row>
    <row r="121" spans="1:9" ht="15.75" x14ac:dyDescent="0.25">
      <c r="A121" s="164"/>
      <c r="B121" s="165">
        <f>DATE(24,1,1)</f>
        <v>8767</v>
      </c>
      <c r="C121" s="226">
        <v>99986536.260000005</v>
      </c>
      <c r="D121" s="226">
        <v>9437829.5099999998</v>
      </c>
      <c r="E121" s="226">
        <v>10527686.77</v>
      </c>
      <c r="F121" s="166">
        <f t="shared" ref="F121:F126" si="38">(+D121-E121)/E121</f>
        <v>-0.10352295654404238</v>
      </c>
      <c r="G121" s="241">
        <f t="shared" ref="G121:G126" si="39">D121/C121</f>
        <v>9.4391003659316075E-2</v>
      </c>
      <c r="H121" s="242">
        <f t="shared" si="37"/>
        <v>0.90560899634068392</v>
      </c>
      <c r="I121" s="157"/>
    </row>
    <row r="122" spans="1:9" ht="15.75" x14ac:dyDescent="0.25">
      <c r="A122" s="164"/>
      <c r="B122" s="165">
        <f>DATE(24,2,1)</f>
        <v>8798</v>
      </c>
      <c r="C122" s="226">
        <v>106918206.59</v>
      </c>
      <c r="D122" s="226">
        <v>10885967.029999999</v>
      </c>
      <c r="E122" s="226">
        <v>11416592.51</v>
      </c>
      <c r="F122" s="166">
        <f t="shared" si="38"/>
        <v>-4.6478446133136134E-2</v>
      </c>
      <c r="G122" s="241">
        <f t="shared" si="39"/>
        <v>0.10181584013791489</v>
      </c>
      <c r="H122" s="242">
        <f>1-G122</f>
        <v>0.89818415986208511</v>
      </c>
      <c r="I122" s="157"/>
    </row>
    <row r="123" spans="1:9" ht="15.75" x14ac:dyDescent="0.25">
      <c r="A123" s="164"/>
      <c r="B123" s="165">
        <f>DATE(24,3,1)</f>
        <v>8827</v>
      </c>
      <c r="C123" s="226">
        <v>117947283</v>
      </c>
      <c r="D123" s="226">
        <v>12259841.130000001</v>
      </c>
      <c r="E123" s="226">
        <v>12928099</v>
      </c>
      <c r="F123" s="166">
        <f t="shared" si="38"/>
        <v>-5.1690342872528994E-2</v>
      </c>
      <c r="G123" s="241">
        <f t="shared" si="39"/>
        <v>0.10394339588136169</v>
      </c>
      <c r="H123" s="242">
        <f>1-G123</f>
        <v>0.8960566041186383</v>
      </c>
      <c r="I123" s="157"/>
    </row>
    <row r="124" spans="1:9" ht="15.75" x14ac:dyDescent="0.25">
      <c r="A124" s="164"/>
      <c r="B124" s="165">
        <f>DATE(24,4,1)</f>
        <v>8858</v>
      </c>
      <c r="C124" s="226">
        <v>101768152.77</v>
      </c>
      <c r="D124" s="226">
        <v>10611574.689999999</v>
      </c>
      <c r="E124" s="226">
        <v>12012834.470000001</v>
      </c>
      <c r="F124" s="166">
        <f t="shared" si="38"/>
        <v>-0.11664688991589851</v>
      </c>
      <c r="G124" s="241">
        <f t="shared" si="39"/>
        <v>0.1042720576247716</v>
      </c>
      <c r="H124" s="242">
        <f>1-G124</f>
        <v>0.89572794237522846</v>
      </c>
      <c r="I124" s="157"/>
    </row>
    <row r="125" spans="1:9" ht="15.75" x14ac:dyDescent="0.25">
      <c r="A125" s="164"/>
      <c r="B125" s="165">
        <f>DATE(24,5,1)</f>
        <v>8888</v>
      </c>
      <c r="C125" s="226">
        <v>109609499.28</v>
      </c>
      <c r="D125" s="226">
        <v>10929752.800000001</v>
      </c>
      <c r="E125" s="226">
        <v>11374055.65</v>
      </c>
      <c r="F125" s="166">
        <f t="shared" si="38"/>
        <v>-3.9062834196700945E-2</v>
      </c>
      <c r="G125" s="241">
        <f t="shared" si="39"/>
        <v>9.971537934024946E-2</v>
      </c>
      <c r="H125" s="242">
        <f>1-G125</f>
        <v>0.90028462065975057</v>
      </c>
      <c r="I125" s="157"/>
    </row>
    <row r="126" spans="1:9" ht="15.75" x14ac:dyDescent="0.25">
      <c r="A126" s="164"/>
      <c r="B126" s="165">
        <f>DATE(24,6,1)</f>
        <v>8919</v>
      </c>
      <c r="C126" s="226">
        <v>96568531.140000001</v>
      </c>
      <c r="D126" s="226">
        <v>9777311.8599999994</v>
      </c>
      <c r="E126" s="226">
        <v>11796109.390000001</v>
      </c>
      <c r="F126" s="166">
        <f t="shared" si="38"/>
        <v>-0.171140963791961</v>
      </c>
      <c r="G126" s="241">
        <f t="shared" si="39"/>
        <v>0.10124739130416475</v>
      </c>
      <c r="H126" s="242">
        <f>1-G126</f>
        <v>0.89875260869583529</v>
      </c>
      <c r="I126" s="157"/>
    </row>
    <row r="127" spans="1:9" ht="15.75" thickBot="1" x14ac:dyDescent="0.25">
      <c r="A127" s="167"/>
      <c r="B127" s="165"/>
      <c r="C127" s="226"/>
      <c r="D127" s="226"/>
      <c r="E127" s="226"/>
      <c r="F127" s="166"/>
      <c r="G127" s="241"/>
      <c r="H127" s="242"/>
      <c r="I127" s="157"/>
    </row>
    <row r="128" spans="1:9" ht="17.25" thickTop="1" thickBot="1" x14ac:dyDescent="0.3">
      <c r="A128" s="174" t="s">
        <v>14</v>
      </c>
      <c r="B128" s="175"/>
      <c r="C128" s="228">
        <f>SUM(C115:C127)</f>
        <v>1312477281.5</v>
      </c>
      <c r="D128" s="230">
        <f>SUM(D115:D127)</f>
        <v>133683373.08999999</v>
      </c>
      <c r="E128" s="271">
        <f>SUM(E115:E127)</f>
        <v>140534223.69999999</v>
      </c>
      <c r="F128" s="176">
        <f>(+D128-E128)/E128</f>
        <v>-4.8748628125093486E-2</v>
      </c>
      <c r="G128" s="249">
        <f>D128/C128</f>
        <v>0.10185576160009135</v>
      </c>
      <c r="H128" s="270">
        <f>1-G128</f>
        <v>0.89814423839990865</v>
      </c>
      <c r="I128" s="157"/>
    </row>
    <row r="129" spans="1:9" ht="15.75" thickTop="1" x14ac:dyDescent="0.2">
      <c r="A129" s="167"/>
      <c r="B129" s="179"/>
      <c r="C129" s="229"/>
      <c r="D129" s="229"/>
      <c r="E129" s="229"/>
      <c r="F129" s="180"/>
      <c r="G129" s="247"/>
      <c r="H129" s="248"/>
      <c r="I129" s="157"/>
    </row>
    <row r="130" spans="1:9" ht="15.75" x14ac:dyDescent="0.25">
      <c r="A130" s="164" t="s">
        <v>16</v>
      </c>
      <c r="B130" s="165">
        <f>DATE(23,7,1)</f>
        <v>8583</v>
      </c>
      <c r="C130" s="226">
        <v>160295640.59</v>
      </c>
      <c r="D130" s="226">
        <v>15534932.51</v>
      </c>
      <c r="E130" s="226">
        <v>15914314.48</v>
      </c>
      <c r="F130" s="166">
        <f t="shared" ref="F130:F135" si="40">(+D130-E130)/E130</f>
        <v>-2.383903940548501E-2</v>
      </c>
      <c r="G130" s="241">
        <f t="shared" ref="G130:G135" si="41">D130/C130</f>
        <v>9.691425451634611E-2</v>
      </c>
      <c r="H130" s="242">
        <f t="shared" ref="H130:H136" si="42">1-G130</f>
        <v>0.90308574548365383</v>
      </c>
      <c r="I130" s="157"/>
    </row>
    <row r="131" spans="1:9" ht="15.75" x14ac:dyDescent="0.25">
      <c r="A131" s="164"/>
      <c r="B131" s="165">
        <f>DATE(23,8,1)</f>
        <v>8614</v>
      </c>
      <c r="C131" s="226">
        <v>149700012.46000001</v>
      </c>
      <c r="D131" s="226">
        <v>14573354.48</v>
      </c>
      <c r="E131" s="226">
        <v>14340389.18</v>
      </c>
      <c r="F131" s="166">
        <f t="shared" si="40"/>
        <v>1.6245395928648064E-2</v>
      </c>
      <c r="G131" s="241">
        <f t="shared" si="41"/>
        <v>9.7350389225211428E-2</v>
      </c>
      <c r="H131" s="242">
        <f t="shared" si="42"/>
        <v>0.90264961077478856</v>
      </c>
      <c r="I131" s="157"/>
    </row>
    <row r="132" spans="1:9" ht="15.75" x14ac:dyDescent="0.25">
      <c r="A132" s="164"/>
      <c r="B132" s="165">
        <f>DATE(23,9,1)</f>
        <v>8645</v>
      </c>
      <c r="C132" s="226">
        <v>152315348.52000001</v>
      </c>
      <c r="D132" s="226">
        <v>14733622.32</v>
      </c>
      <c r="E132" s="226">
        <v>15068846.289999999</v>
      </c>
      <c r="F132" s="166">
        <f t="shared" si="40"/>
        <v>-2.2246160293138063E-2</v>
      </c>
      <c r="G132" s="241">
        <f t="shared" si="41"/>
        <v>9.6731041639348508E-2</v>
      </c>
      <c r="H132" s="242">
        <f t="shared" si="42"/>
        <v>0.90326895836065146</v>
      </c>
      <c r="I132" s="157"/>
    </row>
    <row r="133" spans="1:9" ht="15.75" x14ac:dyDescent="0.25">
      <c r="A133" s="164"/>
      <c r="B133" s="165">
        <f>DATE(23,10,1)</f>
        <v>8675</v>
      </c>
      <c r="C133" s="226">
        <v>141638869.83000001</v>
      </c>
      <c r="D133" s="226">
        <v>13951699.710000001</v>
      </c>
      <c r="E133" s="226">
        <v>14552868.960000001</v>
      </c>
      <c r="F133" s="166">
        <f t="shared" si="40"/>
        <v>-4.1309328878887941E-2</v>
      </c>
      <c r="G133" s="241">
        <f t="shared" si="41"/>
        <v>9.8501913540720312E-2</v>
      </c>
      <c r="H133" s="242">
        <f t="shared" si="42"/>
        <v>0.90149808645927965</v>
      </c>
      <c r="I133" s="157"/>
    </row>
    <row r="134" spans="1:9" ht="15.75" x14ac:dyDescent="0.25">
      <c r="A134" s="164"/>
      <c r="B134" s="165">
        <f>DATE(23,11,1)</f>
        <v>8706</v>
      </c>
      <c r="C134" s="226">
        <v>135854742.69</v>
      </c>
      <c r="D134" s="226">
        <v>12735247.210000001</v>
      </c>
      <c r="E134" s="226">
        <v>13319735.5</v>
      </c>
      <c r="F134" s="166">
        <f t="shared" si="40"/>
        <v>-4.3881373620369493E-2</v>
      </c>
      <c r="G134" s="241">
        <f t="shared" si="41"/>
        <v>9.374164609814109E-2</v>
      </c>
      <c r="H134" s="242">
        <f t="shared" si="42"/>
        <v>0.90625835390185894</v>
      </c>
      <c r="I134" s="157"/>
    </row>
    <row r="135" spans="1:9" ht="15.75" x14ac:dyDescent="0.25">
      <c r="A135" s="164"/>
      <c r="B135" s="165">
        <f>DATE(23,12,1)</f>
        <v>8736</v>
      </c>
      <c r="C135" s="226">
        <v>163571833.31</v>
      </c>
      <c r="D135" s="226">
        <v>15817366.869999999</v>
      </c>
      <c r="E135" s="226">
        <v>14436386.73</v>
      </c>
      <c r="F135" s="166">
        <f t="shared" si="40"/>
        <v>9.5659680349945764E-2</v>
      </c>
      <c r="G135" s="241">
        <f t="shared" si="41"/>
        <v>9.6699820194733985E-2</v>
      </c>
      <c r="H135" s="242">
        <f t="shared" si="42"/>
        <v>0.903300179805266</v>
      </c>
      <c r="I135" s="157"/>
    </row>
    <row r="136" spans="1:9" ht="15.75" x14ac:dyDescent="0.25">
      <c r="A136" s="164"/>
      <c r="B136" s="165">
        <f>DATE(24,1,1)</f>
        <v>8767</v>
      </c>
      <c r="C136" s="226">
        <v>125201005.5</v>
      </c>
      <c r="D136" s="226">
        <v>12314089.77</v>
      </c>
      <c r="E136" s="226">
        <v>13555175.18</v>
      </c>
      <c r="F136" s="166">
        <f t="shared" ref="F136:F141" si="43">(+D136-E136)/E136</f>
        <v>-9.1558050229491775E-2</v>
      </c>
      <c r="G136" s="241">
        <f t="shared" ref="G136:G141" si="44">D136/C136</f>
        <v>9.835455970040112E-2</v>
      </c>
      <c r="H136" s="242">
        <f t="shared" si="42"/>
        <v>0.90164544029959892</v>
      </c>
      <c r="I136" s="157"/>
    </row>
    <row r="137" spans="1:9" ht="15.75" x14ac:dyDescent="0.25">
      <c r="A137" s="164"/>
      <c r="B137" s="165">
        <f>DATE(24,2,1)</f>
        <v>8798</v>
      </c>
      <c r="C137" s="226">
        <v>146899480.97999999</v>
      </c>
      <c r="D137" s="226">
        <v>14557071.74</v>
      </c>
      <c r="E137" s="226">
        <v>14262692.57</v>
      </c>
      <c r="F137" s="166">
        <f t="shared" si="43"/>
        <v>2.0639803357971411E-2</v>
      </c>
      <c r="G137" s="241">
        <f t="shared" si="44"/>
        <v>9.9095460670701144E-2</v>
      </c>
      <c r="H137" s="242">
        <f>1-G137</f>
        <v>0.90090453932929881</v>
      </c>
      <c r="I137" s="157"/>
    </row>
    <row r="138" spans="1:9" ht="15.75" x14ac:dyDescent="0.25">
      <c r="A138" s="164"/>
      <c r="B138" s="165">
        <f>DATE(24,3,1)</f>
        <v>8827</v>
      </c>
      <c r="C138" s="226">
        <v>169553670.02000001</v>
      </c>
      <c r="D138" s="226">
        <v>16843580.629999999</v>
      </c>
      <c r="E138" s="226">
        <v>16320245.869999999</v>
      </c>
      <c r="F138" s="166">
        <f t="shared" si="43"/>
        <v>3.2066597780980602E-2</v>
      </c>
      <c r="G138" s="241">
        <f t="shared" si="44"/>
        <v>9.9340702138816475E-2</v>
      </c>
      <c r="H138" s="242">
        <f>1-G138</f>
        <v>0.90065929786118348</v>
      </c>
      <c r="I138" s="157"/>
    </row>
    <row r="139" spans="1:9" ht="15.75" x14ac:dyDescent="0.25">
      <c r="A139" s="164"/>
      <c r="B139" s="165">
        <f>DATE(24,4,1)</f>
        <v>8858</v>
      </c>
      <c r="C139" s="226">
        <v>151525930.12</v>
      </c>
      <c r="D139" s="226">
        <v>14638948.1</v>
      </c>
      <c r="E139" s="226">
        <v>15426763.890000001</v>
      </c>
      <c r="F139" s="166">
        <f t="shared" si="43"/>
        <v>-5.1068117436520961E-2</v>
      </c>
      <c r="G139" s="241">
        <f t="shared" si="44"/>
        <v>9.6610184728163531E-2</v>
      </c>
      <c r="H139" s="242">
        <f>1-G139</f>
        <v>0.90338981527183648</v>
      </c>
      <c r="I139" s="157"/>
    </row>
    <row r="140" spans="1:9" ht="15.75" x14ac:dyDescent="0.25">
      <c r="A140" s="164"/>
      <c r="B140" s="165">
        <f>DATE(24,5,1)</f>
        <v>8888</v>
      </c>
      <c r="C140" s="226">
        <v>160531155.90000001</v>
      </c>
      <c r="D140" s="226">
        <v>15430652.15</v>
      </c>
      <c r="E140" s="226">
        <v>14519933.27</v>
      </c>
      <c r="F140" s="166">
        <f t="shared" si="43"/>
        <v>6.2721974203673522E-2</v>
      </c>
      <c r="G140" s="241">
        <f t="shared" si="44"/>
        <v>9.612247581156301E-2</v>
      </c>
      <c r="H140" s="242">
        <f>1-G140</f>
        <v>0.90387752418843703</v>
      </c>
      <c r="I140" s="157"/>
    </row>
    <row r="141" spans="1:9" ht="15.75" x14ac:dyDescent="0.25">
      <c r="A141" s="164"/>
      <c r="B141" s="165">
        <f>DATE(24,6,1)</f>
        <v>8919</v>
      </c>
      <c r="C141" s="226">
        <v>151684599.25999999</v>
      </c>
      <c r="D141" s="226">
        <v>14883952.84</v>
      </c>
      <c r="E141" s="226">
        <v>14329296.02</v>
      </c>
      <c r="F141" s="166">
        <f t="shared" si="43"/>
        <v>3.8707890410376235E-2</v>
      </c>
      <c r="G141" s="241">
        <f t="shared" si="44"/>
        <v>9.8124350874195673E-2</v>
      </c>
      <c r="H141" s="242">
        <f>1-G141</f>
        <v>0.90187564912580431</v>
      </c>
      <c r="I141" s="157"/>
    </row>
    <row r="142" spans="1:9" ht="15.75" customHeight="1" thickBot="1" x14ac:dyDescent="0.3">
      <c r="A142" s="164"/>
      <c r="B142" s="165"/>
      <c r="C142" s="226"/>
      <c r="D142" s="226"/>
      <c r="E142" s="226"/>
      <c r="F142" s="166"/>
      <c r="G142" s="241"/>
      <c r="H142" s="242"/>
      <c r="I142" s="157"/>
    </row>
    <row r="143" spans="1:9" ht="17.25" thickTop="1" thickBot="1" x14ac:dyDescent="0.3">
      <c r="A143" s="174" t="s">
        <v>14</v>
      </c>
      <c r="B143" s="181"/>
      <c r="C143" s="228">
        <f>SUM(C130:C142)</f>
        <v>1808772289.1800001</v>
      </c>
      <c r="D143" s="228">
        <f>SUM(D130:D142)</f>
        <v>176014518.33000001</v>
      </c>
      <c r="E143" s="228">
        <f>SUM(E130:E142)</f>
        <v>176046647.94</v>
      </c>
      <c r="F143" s="176">
        <f>(+D143-E143)/E143</f>
        <v>-1.8250622988819917E-4</v>
      </c>
      <c r="G143" s="245">
        <f>D143/C143</f>
        <v>9.7311596038324705E-2</v>
      </c>
      <c r="H143" s="246">
        <f>1-G143</f>
        <v>0.90268840396167527</v>
      </c>
      <c r="I143" s="157"/>
    </row>
    <row r="144" spans="1:9" ht="15.75" thickTop="1" x14ac:dyDescent="0.2">
      <c r="A144" s="171"/>
      <c r="B144" s="172"/>
      <c r="C144" s="227"/>
      <c r="D144" s="227"/>
      <c r="E144" s="227"/>
      <c r="F144" s="173"/>
      <c r="G144" s="243"/>
      <c r="H144" s="244"/>
      <c r="I144" s="157"/>
    </row>
    <row r="145" spans="1:9" ht="15.75" x14ac:dyDescent="0.25">
      <c r="A145" s="164" t="s">
        <v>53</v>
      </c>
      <c r="B145" s="165">
        <f>DATE(23,7,1)</f>
        <v>8583</v>
      </c>
      <c r="C145" s="226">
        <v>214046132.72999999</v>
      </c>
      <c r="D145" s="226">
        <v>19538214.289999999</v>
      </c>
      <c r="E145" s="226">
        <v>19656587.449999999</v>
      </c>
      <c r="F145" s="166">
        <f t="shared" ref="F145:F150" si="45">(+D145-E145)/E145</f>
        <v>-6.022060558634767E-3</v>
      </c>
      <c r="G145" s="241">
        <f t="shared" ref="G145:G150" si="46">D145/C145</f>
        <v>9.1280389142305629E-2</v>
      </c>
      <c r="H145" s="242">
        <f t="shared" ref="H145:H151" si="47">1-G145</f>
        <v>0.90871961085769437</v>
      </c>
      <c r="I145" s="157"/>
    </row>
    <row r="146" spans="1:9" ht="15.75" x14ac:dyDescent="0.25">
      <c r="A146" s="164"/>
      <c r="B146" s="165">
        <f>DATE(23,8,1)</f>
        <v>8614</v>
      </c>
      <c r="C146" s="226">
        <v>203623905.31</v>
      </c>
      <c r="D146" s="226">
        <v>18436883.300000001</v>
      </c>
      <c r="E146" s="226">
        <v>17776767.91</v>
      </c>
      <c r="F146" s="166">
        <f t="shared" si="45"/>
        <v>3.7133600063972518E-2</v>
      </c>
      <c r="G146" s="241">
        <f t="shared" si="46"/>
        <v>9.0543805610306019E-2</v>
      </c>
      <c r="H146" s="242">
        <f t="shared" si="47"/>
        <v>0.90945619438969394</v>
      </c>
      <c r="I146" s="157"/>
    </row>
    <row r="147" spans="1:9" ht="15.75" x14ac:dyDescent="0.25">
      <c r="A147" s="164"/>
      <c r="B147" s="165">
        <f>DATE(23,9,1)</f>
        <v>8645</v>
      </c>
      <c r="C147" s="226">
        <v>197195020.69</v>
      </c>
      <c r="D147" s="226">
        <v>17898589.149999999</v>
      </c>
      <c r="E147" s="226">
        <v>17845168.100000001</v>
      </c>
      <c r="F147" s="166">
        <f t="shared" si="45"/>
        <v>2.9935862582318299E-3</v>
      </c>
      <c r="G147" s="241">
        <f t="shared" si="46"/>
        <v>9.0765928507583554E-2</v>
      </c>
      <c r="H147" s="242">
        <f t="shared" si="47"/>
        <v>0.90923407149241642</v>
      </c>
      <c r="I147" s="157"/>
    </row>
    <row r="148" spans="1:9" ht="15.75" x14ac:dyDescent="0.25">
      <c r="A148" s="164"/>
      <c r="B148" s="165">
        <f>DATE(23,10,1)</f>
        <v>8675</v>
      </c>
      <c r="C148" s="226">
        <v>192922839.52000001</v>
      </c>
      <c r="D148" s="226">
        <v>17243191.43</v>
      </c>
      <c r="E148" s="226">
        <v>17788599.370000001</v>
      </c>
      <c r="F148" s="166">
        <f t="shared" si="45"/>
        <v>-3.0660533112000784E-2</v>
      </c>
      <c r="G148" s="241">
        <f t="shared" si="46"/>
        <v>8.9378693952990598E-2</v>
      </c>
      <c r="H148" s="242">
        <f t="shared" si="47"/>
        <v>0.91062130604700942</v>
      </c>
      <c r="I148" s="157"/>
    </row>
    <row r="149" spans="1:9" ht="15.75" x14ac:dyDescent="0.25">
      <c r="A149" s="164"/>
      <c r="B149" s="165">
        <f>DATE(23,11,1)</f>
        <v>8706</v>
      </c>
      <c r="C149" s="226">
        <v>193570145.53</v>
      </c>
      <c r="D149" s="226">
        <v>17317167.579999998</v>
      </c>
      <c r="E149" s="226">
        <v>17618885.149999999</v>
      </c>
      <c r="F149" s="166">
        <f t="shared" si="45"/>
        <v>-1.7124668640001908E-2</v>
      </c>
      <c r="G149" s="241">
        <f t="shared" si="46"/>
        <v>8.9461975309183914E-2</v>
      </c>
      <c r="H149" s="242">
        <f t="shared" si="47"/>
        <v>0.91053802469081613</v>
      </c>
      <c r="I149" s="157"/>
    </row>
    <row r="150" spans="1:9" ht="15.75" x14ac:dyDescent="0.25">
      <c r="A150" s="164"/>
      <c r="B150" s="165">
        <f>DATE(23,12,1)</f>
        <v>8736</v>
      </c>
      <c r="C150" s="226">
        <v>208744378.69</v>
      </c>
      <c r="D150" s="226">
        <v>19257637.91</v>
      </c>
      <c r="E150" s="226">
        <v>18411025.469999999</v>
      </c>
      <c r="F150" s="166">
        <f t="shared" si="45"/>
        <v>4.5983991569590793E-2</v>
      </c>
      <c r="G150" s="241">
        <f t="shared" si="46"/>
        <v>9.225464192546684E-2</v>
      </c>
      <c r="H150" s="242">
        <f t="shared" si="47"/>
        <v>0.90774535807453316</v>
      </c>
      <c r="I150" s="157"/>
    </row>
    <row r="151" spans="1:9" ht="15.75" x14ac:dyDescent="0.25">
      <c r="A151" s="164"/>
      <c r="B151" s="165">
        <f>DATE(24,1,1)</f>
        <v>8767</v>
      </c>
      <c r="C151" s="226">
        <v>179293140.63999999</v>
      </c>
      <c r="D151" s="226">
        <v>15797155.789999999</v>
      </c>
      <c r="E151" s="226">
        <v>17516119.75</v>
      </c>
      <c r="F151" s="166">
        <f t="shared" ref="F151:F156" si="48">(+D151-E151)/E151</f>
        <v>-9.8136116019645322E-2</v>
      </c>
      <c r="G151" s="241">
        <f t="shared" ref="G151:G156" si="49">D151/C151</f>
        <v>8.8107976320850281E-2</v>
      </c>
      <c r="H151" s="242">
        <f t="shared" si="47"/>
        <v>0.91189202367914968</v>
      </c>
      <c r="I151" s="157"/>
    </row>
    <row r="152" spans="1:9" ht="15.75" x14ac:dyDescent="0.25">
      <c r="A152" s="164"/>
      <c r="B152" s="165">
        <f>DATE(24,2,1)</f>
        <v>8798</v>
      </c>
      <c r="C152" s="226">
        <v>197414312.77000001</v>
      </c>
      <c r="D152" s="226">
        <v>18190190.059999999</v>
      </c>
      <c r="E152" s="226">
        <v>17893264.16</v>
      </c>
      <c r="F152" s="166">
        <f t="shared" si="48"/>
        <v>1.6594283599957679E-2</v>
      </c>
      <c r="G152" s="241">
        <f t="shared" si="49"/>
        <v>9.2142204912937106E-2</v>
      </c>
      <c r="H152" s="242">
        <f>1-G152</f>
        <v>0.90785779508706288</v>
      </c>
      <c r="I152" s="157"/>
    </row>
    <row r="153" spans="1:9" ht="15.75" x14ac:dyDescent="0.25">
      <c r="A153" s="164"/>
      <c r="B153" s="165">
        <f>DATE(24,3,1)</f>
        <v>8827</v>
      </c>
      <c r="C153" s="226">
        <v>218753820.24000001</v>
      </c>
      <c r="D153" s="226">
        <v>20103313.18</v>
      </c>
      <c r="E153" s="226">
        <v>20524459.280000001</v>
      </c>
      <c r="F153" s="166">
        <f t="shared" si="48"/>
        <v>-2.051922997115866E-2</v>
      </c>
      <c r="G153" s="241">
        <f t="shared" si="49"/>
        <v>9.1899255327034648E-2</v>
      </c>
      <c r="H153" s="242">
        <f>1-G153</f>
        <v>0.90810074467296531</v>
      </c>
      <c r="I153" s="157"/>
    </row>
    <row r="154" spans="1:9" ht="15.75" x14ac:dyDescent="0.25">
      <c r="A154" s="164"/>
      <c r="B154" s="165">
        <f>DATE(24,4,1)</f>
        <v>8858</v>
      </c>
      <c r="C154" s="226">
        <v>209631482.72999999</v>
      </c>
      <c r="D154" s="226">
        <v>18688679.920000002</v>
      </c>
      <c r="E154" s="226">
        <v>19237395.370000001</v>
      </c>
      <c r="F154" s="166">
        <f t="shared" si="48"/>
        <v>-2.8523375407447336E-2</v>
      </c>
      <c r="G154" s="241">
        <f t="shared" si="49"/>
        <v>8.9150158538307656E-2</v>
      </c>
      <c r="H154" s="242">
        <f>1-G154</f>
        <v>0.91084984146169234</v>
      </c>
      <c r="I154" s="157"/>
    </row>
    <row r="155" spans="1:9" ht="15.75" x14ac:dyDescent="0.25">
      <c r="A155" s="164"/>
      <c r="B155" s="165">
        <f>DATE(24,5,1)</f>
        <v>8888</v>
      </c>
      <c r="C155" s="226">
        <v>206917530.75</v>
      </c>
      <c r="D155" s="226">
        <v>18712318.280000001</v>
      </c>
      <c r="E155" s="226">
        <v>18582653.739999998</v>
      </c>
      <c r="F155" s="166">
        <f t="shared" si="48"/>
        <v>6.9777192113790552E-3</v>
      </c>
      <c r="G155" s="241">
        <f t="shared" si="49"/>
        <v>9.0433701833647087E-2</v>
      </c>
      <c r="H155" s="242">
        <f>1-G155</f>
        <v>0.90956629816635293</v>
      </c>
      <c r="I155" s="157"/>
    </row>
    <row r="156" spans="1:9" ht="15.75" x14ac:dyDescent="0.25">
      <c r="A156" s="164"/>
      <c r="B156" s="165">
        <f>DATE(24,6,1)</f>
        <v>8919</v>
      </c>
      <c r="C156" s="226">
        <v>201995371.16</v>
      </c>
      <c r="D156" s="226">
        <v>18052983.120000001</v>
      </c>
      <c r="E156" s="226">
        <v>17543800.5</v>
      </c>
      <c r="F156" s="166">
        <f t="shared" si="48"/>
        <v>2.9023507192754559E-2</v>
      </c>
      <c r="G156" s="241">
        <f t="shared" si="49"/>
        <v>8.9373251556840283E-2</v>
      </c>
      <c r="H156" s="242">
        <f>1-G156</f>
        <v>0.91062674844315972</v>
      </c>
      <c r="I156" s="157"/>
    </row>
    <row r="157" spans="1:9" ht="15.75" thickBot="1" x14ac:dyDescent="0.25">
      <c r="A157" s="167"/>
      <c r="B157" s="168"/>
      <c r="C157" s="226"/>
      <c r="D157" s="226"/>
      <c r="E157" s="226"/>
      <c r="F157" s="166"/>
      <c r="G157" s="241"/>
      <c r="H157" s="242"/>
      <c r="I157" s="157"/>
    </row>
    <row r="158" spans="1:9" ht="17.25" thickTop="1" thickBot="1" x14ac:dyDescent="0.3">
      <c r="A158" s="174" t="s">
        <v>14</v>
      </c>
      <c r="B158" s="175"/>
      <c r="C158" s="228">
        <f>SUM(C145:C157)</f>
        <v>2424108080.7600002</v>
      </c>
      <c r="D158" s="228">
        <f>SUM(D145:D157)</f>
        <v>219236324.01000002</v>
      </c>
      <c r="E158" s="228">
        <f>SUM(E145:E157)</f>
        <v>220394726.25</v>
      </c>
      <c r="F158" s="176">
        <f>(+D158-E158)/E158</f>
        <v>-5.2560342967824516E-3</v>
      </c>
      <c r="G158" s="249">
        <f>D158/C158</f>
        <v>9.043999553900485E-2</v>
      </c>
      <c r="H158" s="270">
        <f>1-G158</f>
        <v>0.90956000446099516</v>
      </c>
      <c r="I158" s="157"/>
    </row>
    <row r="159" spans="1:9" ht="15.75" thickTop="1" x14ac:dyDescent="0.2">
      <c r="A159" s="167"/>
      <c r="B159" s="168"/>
      <c r="C159" s="226"/>
      <c r="D159" s="226"/>
      <c r="E159" s="226"/>
      <c r="F159" s="166"/>
      <c r="G159" s="241"/>
      <c r="H159" s="242"/>
      <c r="I159" s="157"/>
    </row>
    <row r="160" spans="1:9" ht="15.75" x14ac:dyDescent="0.25">
      <c r="A160" s="164" t="s">
        <v>54</v>
      </c>
      <c r="B160" s="165">
        <f>DATE(23,7,1)</f>
        <v>8583</v>
      </c>
      <c r="C160" s="226">
        <v>28158647.050000001</v>
      </c>
      <c r="D160" s="226">
        <v>3124210.48</v>
      </c>
      <c r="E160" s="226">
        <v>3220140.18</v>
      </c>
      <c r="F160" s="166">
        <f t="shared" ref="F160:F165" si="50">(+D160-E160)/E160</f>
        <v>-2.9790535392158046E-2</v>
      </c>
      <c r="G160" s="241">
        <f t="shared" ref="G160:G165" si="51">D160/C160</f>
        <v>0.11095030505025631</v>
      </c>
      <c r="H160" s="242">
        <f t="shared" ref="H160:H166" si="52">1-G160</f>
        <v>0.88904969494974373</v>
      </c>
      <c r="I160" s="157"/>
    </row>
    <row r="161" spans="1:9" ht="15.75" x14ac:dyDescent="0.25">
      <c r="A161" s="164"/>
      <c r="B161" s="165">
        <f>DATE(23,8,1)</f>
        <v>8614</v>
      </c>
      <c r="C161" s="226">
        <v>24636212.309999999</v>
      </c>
      <c r="D161" s="226">
        <v>2824739.23</v>
      </c>
      <c r="E161" s="226">
        <v>2910388.06</v>
      </c>
      <c r="F161" s="166">
        <f t="shared" si="50"/>
        <v>-2.94286632003294E-2</v>
      </c>
      <c r="G161" s="241">
        <f t="shared" si="51"/>
        <v>0.11465801619404863</v>
      </c>
      <c r="H161" s="242">
        <f t="shared" si="52"/>
        <v>0.88534198380595142</v>
      </c>
      <c r="I161" s="157"/>
    </row>
    <row r="162" spans="1:9" ht="15.75" x14ac:dyDescent="0.25">
      <c r="A162" s="164"/>
      <c r="B162" s="165">
        <f>DATE(23,9,1)</f>
        <v>8645</v>
      </c>
      <c r="C162" s="226">
        <v>25252043.170000002</v>
      </c>
      <c r="D162" s="226">
        <v>2831375.91</v>
      </c>
      <c r="E162" s="226">
        <v>3079109.35</v>
      </c>
      <c r="F162" s="166">
        <f t="shared" si="50"/>
        <v>-8.045620075168812E-2</v>
      </c>
      <c r="G162" s="241">
        <f t="shared" si="51"/>
        <v>0.11212462654759511</v>
      </c>
      <c r="H162" s="242">
        <f t="shared" si="52"/>
        <v>0.88787537345240486</v>
      </c>
      <c r="I162" s="157"/>
    </row>
    <row r="163" spans="1:9" ht="15.75" x14ac:dyDescent="0.25">
      <c r="A163" s="164"/>
      <c r="B163" s="165">
        <f>DATE(23,10,1)</f>
        <v>8675</v>
      </c>
      <c r="C163" s="226">
        <v>25583626.219999999</v>
      </c>
      <c r="D163" s="226">
        <v>3046238.53</v>
      </c>
      <c r="E163" s="226">
        <v>3026739.97</v>
      </c>
      <c r="F163" s="166">
        <f t="shared" si="50"/>
        <v>6.4420994843503486E-3</v>
      </c>
      <c r="G163" s="241">
        <f t="shared" si="51"/>
        <v>0.11906984974704653</v>
      </c>
      <c r="H163" s="242">
        <f t="shared" si="52"/>
        <v>0.88093015025295351</v>
      </c>
      <c r="I163" s="157"/>
    </row>
    <row r="164" spans="1:9" ht="15.75" x14ac:dyDescent="0.25">
      <c r="A164" s="164"/>
      <c r="B164" s="165">
        <f>DATE(23,11,1)</f>
        <v>8706</v>
      </c>
      <c r="C164" s="226">
        <v>26619923.899999999</v>
      </c>
      <c r="D164" s="226">
        <v>2721817.54</v>
      </c>
      <c r="E164" s="226">
        <v>2771028.1</v>
      </c>
      <c r="F164" s="166">
        <f t="shared" si="50"/>
        <v>-1.7758953797689766E-2</v>
      </c>
      <c r="G164" s="241">
        <f t="shared" si="51"/>
        <v>0.10224738245776879</v>
      </c>
      <c r="H164" s="242">
        <f t="shared" si="52"/>
        <v>0.89775261754223123</v>
      </c>
      <c r="I164" s="157"/>
    </row>
    <row r="165" spans="1:9" ht="15.75" x14ac:dyDescent="0.25">
      <c r="A165" s="164"/>
      <c r="B165" s="165">
        <f>DATE(23,12,1)</f>
        <v>8736</v>
      </c>
      <c r="C165" s="226">
        <v>28602763.739999998</v>
      </c>
      <c r="D165" s="226">
        <v>3202742.31</v>
      </c>
      <c r="E165" s="226">
        <v>3065877.72</v>
      </c>
      <c r="F165" s="166">
        <f t="shared" si="50"/>
        <v>4.4641242247587046E-2</v>
      </c>
      <c r="G165" s="241">
        <f t="shared" si="51"/>
        <v>0.11197317640746279</v>
      </c>
      <c r="H165" s="242">
        <f t="shared" si="52"/>
        <v>0.88802682359253726</v>
      </c>
      <c r="I165" s="157"/>
    </row>
    <row r="166" spans="1:9" ht="15.75" x14ac:dyDescent="0.25">
      <c r="A166" s="164"/>
      <c r="B166" s="165">
        <f>DATE(24,1,1)</f>
        <v>8767</v>
      </c>
      <c r="C166" s="226">
        <v>19789387.68</v>
      </c>
      <c r="D166" s="226">
        <v>2214416.4300000002</v>
      </c>
      <c r="E166" s="226">
        <v>2868849.61</v>
      </c>
      <c r="F166" s="166">
        <f t="shared" ref="F166:F171" si="53">(+D166-E166)/E166</f>
        <v>-0.2281169349968121</v>
      </c>
      <c r="G166" s="241">
        <f t="shared" ref="G166:G171" si="54">D166/C166</f>
        <v>0.11189918888890049</v>
      </c>
      <c r="H166" s="242">
        <f t="shared" si="52"/>
        <v>0.88810081111109951</v>
      </c>
      <c r="I166" s="157"/>
    </row>
    <row r="167" spans="1:9" ht="15.75" x14ac:dyDescent="0.25">
      <c r="A167" s="164"/>
      <c r="B167" s="165">
        <f>DATE(24,2,1)</f>
        <v>8798</v>
      </c>
      <c r="C167" s="226">
        <v>26875239.739999998</v>
      </c>
      <c r="D167" s="226">
        <v>3115244.86</v>
      </c>
      <c r="E167" s="226">
        <v>3074017.42</v>
      </c>
      <c r="F167" s="166">
        <f t="shared" si="53"/>
        <v>1.3411583074242938E-2</v>
      </c>
      <c r="G167" s="241">
        <f t="shared" si="54"/>
        <v>0.11591505378697693</v>
      </c>
      <c r="H167" s="242">
        <f>1-G167</f>
        <v>0.88408494621302303</v>
      </c>
      <c r="I167" s="157"/>
    </row>
    <row r="168" spans="1:9" ht="15.75" x14ac:dyDescent="0.25">
      <c r="A168" s="164"/>
      <c r="B168" s="165">
        <f>DATE(24,3,1)</f>
        <v>8827</v>
      </c>
      <c r="C168" s="226">
        <v>30232569.559999999</v>
      </c>
      <c r="D168" s="226">
        <v>3466286.77</v>
      </c>
      <c r="E168" s="226">
        <v>3299257.76</v>
      </c>
      <c r="F168" s="166">
        <f t="shared" si="53"/>
        <v>5.0626238430064419E-2</v>
      </c>
      <c r="G168" s="241">
        <f t="shared" si="54"/>
        <v>0.11465405754283495</v>
      </c>
      <c r="H168" s="242">
        <f>1-G168</f>
        <v>0.88534594245716502</v>
      </c>
      <c r="I168" s="157"/>
    </row>
    <row r="169" spans="1:9" ht="15.75" x14ac:dyDescent="0.25">
      <c r="A169" s="164"/>
      <c r="B169" s="165">
        <f>DATE(24,4,1)</f>
        <v>8858</v>
      </c>
      <c r="C169" s="226">
        <v>26090352.949999999</v>
      </c>
      <c r="D169" s="226">
        <v>2942373.37</v>
      </c>
      <c r="E169" s="226">
        <v>3131346.14</v>
      </c>
      <c r="F169" s="166">
        <f t="shared" si="53"/>
        <v>-6.0348732318682603E-2</v>
      </c>
      <c r="G169" s="241">
        <f t="shared" si="54"/>
        <v>0.1127762961136944</v>
      </c>
      <c r="H169" s="242">
        <f>1-G169</f>
        <v>0.88722370388630556</v>
      </c>
      <c r="I169" s="157"/>
    </row>
    <row r="170" spans="1:9" ht="15.75" x14ac:dyDescent="0.25">
      <c r="A170" s="164"/>
      <c r="B170" s="165">
        <f>DATE(24,5,1)</f>
        <v>8888</v>
      </c>
      <c r="C170" s="226">
        <v>28407111.379999999</v>
      </c>
      <c r="D170" s="226">
        <v>3152975.06</v>
      </c>
      <c r="E170" s="226">
        <v>3139965.67</v>
      </c>
      <c r="F170" s="166">
        <f t="shared" si="53"/>
        <v>4.143163132098871E-3</v>
      </c>
      <c r="G170" s="241">
        <f t="shared" si="54"/>
        <v>0.1109924560024026</v>
      </c>
      <c r="H170" s="242">
        <f>1-G170</f>
        <v>0.8890075439975974</v>
      </c>
      <c r="I170" s="157"/>
    </row>
    <row r="171" spans="1:9" ht="15.75" x14ac:dyDescent="0.25">
      <c r="A171" s="164"/>
      <c r="B171" s="165">
        <f>DATE(24,6,1)</f>
        <v>8919</v>
      </c>
      <c r="C171" s="226">
        <v>26073053.949999999</v>
      </c>
      <c r="D171" s="226">
        <v>2822934.51</v>
      </c>
      <c r="E171" s="226">
        <v>2818937.01</v>
      </c>
      <c r="F171" s="166">
        <f t="shared" si="53"/>
        <v>1.4180877351353091E-3</v>
      </c>
      <c r="G171" s="241">
        <f t="shared" si="54"/>
        <v>0.1082701901899758</v>
      </c>
      <c r="H171" s="242">
        <f>1-G171</f>
        <v>0.89172980981002414</v>
      </c>
      <c r="I171" s="157"/>
    </row>
    <row r="172" spans="1:9" ht="15.75" thickBot="1" x14ac:dyDescent="0.25">
      <c r="A172" s="167"/>
      <c r="B172" s="168"/>
      <c r="C172" s="226"/>
      <c r="D172" s="226"/>
      <c r="E172" s="226"/>
      <c r="F172" s="166"/>
      <c r="G172" s="241"/>
      <c r="H172" s="242"/>
      <c r="I172" s="157"/>
    </row>
    <row r="173" spans="1:9" ht="17.25" thickTop="1" thickBot="1" x14ac:dyDescent="0.3">
      <c r="A173" s="182" t="s">
        <v>14</v>
      </c>
      <c r="B173" s="183"/>
      <c r="C173" s="230">
        <f>SUM(C160:C172)</f>
        <v>316320931.65000004</v>
      </c>
      <c r="D173" s="230">
        <f>SUM(D160:D172)</f>
        <v>35465355</v>
      </c>
      <c r="E173" s="230">
        <f>SUM(E160:E172)</f>
        <v>36405656.989999995</v>
      </c>
      <c r="F173" s="176">
        <f>(+D173-E173)/E173</f>
        <v>-2.5828458205225616E-2</v>
      </c>
      <c r="G173" s="249">
        <f>D173/C173</f>
        <v>0.11211826803558289</v>
      </c>
      <c r="H173" s="246">
        <f>1-G173</f>
        <v>0.88788173196441711</v>
      </c>
      <c r="I173" s="157"/>
    </row>
    <row r="174" spans="1:9" ht="15.75" thickTop="1" x14ac:dyDescent="0.2">
      <c r="A174" s="167"/>
      <c r="B174" s="168"/>
      <c r="C174" s="226"/>
      <c r="D174" s="226"/>
      <c r="E174" s="226"/>
      <c r="F174" s="166"/>
      <c r="G174" s="241"/>
      <c r="H174" s="242"/>
      <c r="I174" s="157"/>
    </row>
    <row r="175" spans="1:9" ht="15.75" x14ac:dyDescent="0.25">
      <c r="A175" s="164" t="s">
        <v>37</v>
      </c>
      <c r="B175" s="165">
        <f>DATE(23,7,1)</f>
        <v>8583</v>
      </c>
      <c r="C175" s="226">
        <v>221709382.90000001</v>
      </c>
      <c r="D175" s="226">
        <v>20801294.73</v>
      </c>
      <c r="E175" s="226">
        <v>21735779.219999999</v>
      </c>
      <c r="F175" s="166">
        <f t="shared" ref="F175:F180" si="55">(+D175-E175)/E175</f>
        <v>-4.2992914150514566E-2</v>
      </c>
      <c r="G175" s="241">
        <f t="shared" ref="G175:G180" si="56">D175/C175</f>
        <v>9.3822347335575942E-2</v>
      </c>
      <c r="H175" s="242">
        <f t="shared" ref="H175:H181" si="57">1-G175</f>
        <v>0.90617765266442407</v>
      </c>
      <c r="I175" s="157"/>
    </row>
    <row r="176" spans="1:9" ht="15.75" x14ac:dyDescent="0.25">
      <c r="A176" s="164"/>
      <c r="B176" s="165">
        <f>DATE(23,8,1)</f>
        <v>8614</v>
      </c>
      <c r="C176" s="226">
        <v>209669300.15000001</v>
      </c>
      <c r="D176" s="226">
        <v>20038616.34</v>
      </c>
      <c r="E176" s="226">
        <v>20453352.670000002</v>
      </c>
      <c r="F176" s="166">
        <f t="shared" si="55"/>
        <v>-2.0277180797274245E-2</v>
      </c>
      <c r="G176" s="241">
        <f t="shared" si="56"/>
        <v>9.5572486413910501E-2</v>
      </c>
      <c r="H176" s="242">
        <f t="shared" si="57"/>
        <v>0.90442751358608953</v>
      </c>
      <c r="I176" s="157"/>
    </row>
    <row r="177" spans="1:9" ht="15.75" x14ac:dyDescent="0.25">
      <c r="A177" s="164"/>
      <c r="B177" s="165">
        <f>DATE(23,9,1)</f>
        <v>8645</v>
      </c>
      <c r="C177" s="226">
        <v>204140702.06999999</v>
      </c>
      <c r="D177" s="226">
        <v>19545369.489999998</v>
      </c>
      <c r="E177" s="226">
        <v>19785542.02</v>
      </c>
      <c r="F177" s="166">
        <f t="shared" si="55"/>
        <v>-1.2138789513940301E-2</v>
      </c>
      <c r="G177" s="241">
        <f t="shared" si="56"/>
        <v>9.574459817081396E-2</v>
      </c>
      <c r="H177" s="242">
        <f t="shared" si="57"/>
        <v>0.90425540182918607</v>
      </c>
      <c r="I177" s="157"/>
    </row>
    <row r="178" spans="1:9" ht="15.75" x14ac:dyDescent="0.25">
      <c r="A178" s="164"/>
      <c r="B178" s="165">
        <f>DATE(23,10,1)</f>
        <v>8675</v>
      </c>
      <c r="C178" s="226">
        <v>199447600.25999999</v>
      </c>
      <c r="D178" s="226">
        <v>18492281.440000001</v>
      </c>
      <c r="E178" s="226">
        <v>19416414.079999998</v>
      </c>
      <c r="F178" s="166">
        <f t="shared" si="55"/>
        <v>-4.7595433234600491E-2</v>
      </c>
      <c r="G178" s="241">
        <f t="shared" si="56"/>
        <v>9.2717492794565856E-2</v>
      </c>
      <c r="H178" s="242">
        <f t="shared" si="57"/>
        <v>0.90728250720543413</v>
      </c>
      <c r="I178" s="157"/>
    </row>
    <row r="179" spans="1:9" ht="15.75" x14ac:dyDescent="0.25">
      <c r="A179" s="164"/>
      <c r="B179" s="165">
        <f>DATE(23,11,1)</f>
        <v>8706</v>
      </c>
      <c r="C179" s="226">
        <v>202111138.21000001</v>
      </c>
      <c r="D179" s="226">
        <v>18402679.75</v>
      </c>
      <c r="E179" s="226">
        <v>19493781.030000001</v>
      </c>
      <c r="F179" s="166">
        <f t="shared" si="55"/>
        <v>-5.5971762395445414E-2</v>
      </c>
      <c r="G179" s="241">
        <f t="shared" si="56"/>
        <v>9.105227902323236E-2</v>
      </c>
      <c r="H179" s="242">
        <f t="shared" si="57"/>
        <v>0.90894772097676768</v>
      </c>
      <c r="I179" s="157"/>
    </row>
    <row r="180" spans="1:9" ht="15.75" x14ac:dyDescent="0.25">
      <c r="A180" s="164"/>
      <c r="B180" s="165">
        <f>DATE(23,12,1)</f>
        <v>8736</v>
      </c>
      <c r="C180" s="226">
        <v>234556705.40000001</v>
      </c>
      <c r="D180" s="226">
        <v>21541149.52</v>
      </c>
      <c r="E180" s="226">
        <v>20690373.02</v>
      </c>
      <c r="F180" s="166">
        <f t="shared" si="55"/>
        <v>4.1119437488034233E-2</v>
      </c>
      <c r="G180" s="241">
        <f t="shared" si="56"/>
        <v>9.1837705015786766E-2</v>
      </c>
      <c r="H180" s="242">
        <f t="shared" si="57"/>
        <v>0.90816229498421319</v>
      </c>
      <c r="I180" s="157"/>
    </row>
    <row r="181" spans="1:9" ht="15.75" x14ac:dyDescent="0.25">
      <c r="A181" s="164"/>
      <c r="B181" s="165">
        <f>DATE(24,1,1)</f>
        <v>8767</v>
      </c>
      <c r="C181" s="226">
        <v>190006271.88</v>
      </c>
      <c r="D181" s="226">
        <v>17525611.690000001</v>
      </c>
      <c r="E181" s="226">
        <v>20127849.170000002</v>
      </c>
      <c r="F181" s="166">
        <f t="shared" ref="F181:F186" si="58">(+D181-E181)/E181</f>
        <v>-0.12928542230327136</v>
      </c>
      <c r="G181" s="241">
        <f t="shared" ref="G181:G186" si="59">D181/C181</f>
        <v>9.2237016792100654E-2</v>
      </c>
      <c r="H181" s="242">
        <f t="shared" si="57"/>
        <v>0.90776298320789939</v>
      </c>
      <c r="I181" s="157"/>
    </row>
    <row r="182" spans="1:9" ht="15.75" x14ac:dyDescent="0.25">
      <c r="A182" s="164"/>
      <c r="B182" s="165">
        <f>DATE(24,2,1)</f>
        <v>8798</v>
      </c>
      <c r="C182" s="226">
        <v>207289326.72999999</v>
      </c>
      <c r="D182" s="226">
        <v>19835218.719999999</v>
      </c>
      <c r="E182" s="226">
        <v>19683573.59</v>
      </c>
      <c r="F182" s="166">
        <f t="shared" si="58"/>
        <v>7.7041462672733582E-3</v>
      </c>
      <c r="G182" s="241">
        <f t="shared" si="59"/>
        <v>9.5688567438090594E-2</v>
      </c>
      <c r="H182" s="242">
        <f>1-G182</f>
        <v>0.90431143256190938</v>
      </c>
      <c r="I182" s="157"/>
    </row>
    <row r="183" spans="1:9" ht="15.75" x14ac:dyDescent="0.25">
      <c r="A183" s="164"/>
      <c r="B183" s="165">
        <f>DATE(24,3,1)</f>
        <v>8827</v>
      </c>
      <c r="C183" s="226">
        <v>237330522.63999999</v>
      </c>
      <c r="D183" s="226">
        <v>21654368.93</v>
      </c>
      <c r="E183" s="226">
        <v>21826103.260000002</v>
      </c>
      <c r="F183" s="166">
        <f t="shared" si="58"/>
        <v>-7.8683000787746621E-3</v>
      </c>
      <c r="G183" s="241">
        <f t="shared" si="59"/>
        <v>9.1241399079742075E-2</v>
      </c>
      <c r="H183" s="242">
        <f>1-G183</f>
        <v>0.90875860092025795</v>
      </c>
      <c r="I183" s="157"/>
    </row>
    <row r="184" spans="1:9" ht="15.75" x14ac:dyDescent="0.25">
      <c r="A184" s="164"/>
      <c r="B184" s="165">
        <f>DATE(24,4,1)</f>
        <v>8858</v>
      </c>
      <c r="C184" s="226">
        <v>216940213.47</v>
      </c>
      <c r="D184" s="226">
        <v>19967581.98</v>
      </c>
      <c r="E184" s="226">
        <v>21507201.809999999</v>
      </c>
      <c r="F184" s="166">
        <f t="shared" si="58"/>
        <v>-7.1586245556320385E-2</v>
      </c>
      <c r="G184" s="241">
        <f t="shared" si="59"/>
        <v>9.2041865639453047E-2</v>
      </c>
      <c r="H184" s="242">
        <f>1-G184</f>
        <v>0.90795813436054695</v>
      </c>
      <c r="I184" s="157"/>
    </row>
    <row r="185" spans="1:9" ht="15.75" x14ac:dyDescent="0.25">
      <c r="A185" s="164"/>
      <c r="B185" s="165">
        <f>DATE(24,5,1)</f>
        <v>8888</v>
      </c>
      <c r="C185" s="226">
        <v>225886553.46000001</v>
      </c>
      <c r="D185" s="226">
        <v>20676896.300000001</v>
      </c>
      <c r="E185" s="226">
        <v>19648589.84</v>
      </c>
      <c r="F185" s="166">
        <f t="shared" si="58"/>
        <v>5.2334873310175473E-2</v>
      </c>
      <c r="G185" s="241">
        <f t="shared" si="59"/>
        <v>9.1536640775129033E-2</v>
      </c>
      <c r="H185" s="242">
        <f>1-G185</f>
        <v>0.90846335922487098</v>
      </c>
      <c r="I185" s="157"/>
    </row>
    <row r="186" spans="1:9" ht="15.75" x14ac:dyDescent="0.25">
      <c r="A186" s="164"/>
      <c r="B186" s="165">
        <f>DATE(24,6,1)</f>
        <v>8919</v>
      </c>
      <c r="C186" s="226">
        <v>214180918.63</v>
      </c>
      <c r="D186" s="226">
        <v>19693169.75</v>
      </c>
      <c r="E186" s="226">
        <v>19287927.359999999</v>
      </c>
      <c r="F186" s="166">
        <f t="shared" si="58"/>
        <v>2.1010157412786969E-2</v>
      </c>
      <c r="G186" s="241">
        <f t="shared" si="59"/>
        <v>9.1946424900810966E-2</v>
      </c>
      <c r="H186" s="242">
        <f>1-G186</f>
        <v>0.90805357509918905</v>
      </c>
      <c r="I186" s="157"/>
    </row>
    <row r="187" spans="1:9" ht="15.75" thickBot="1" x14ac:dyDescent="0.25">
      <c r="A187" s="167"/>
      <c r="B187" s="165"/>
      <c r="C187" s="226"/>
      <c r="D187" s="226"/>
      <c r="E187" s="226"/>
      <c r="F187" s="166"/>
      <c r="G187" s="241"/>
      <c r="H187" s="242"/>
      <c r="I187" s="157"/>
    </row>
    <row r="188" spans="1:9" ht="17.25" thickTop="1" thickBot="1" x14ac:dyDescent="0.3">
      <c r="A188" s="174" t="s">
        <v>14</v>
      </c>
      <c r="B188" s="175"/>
      <c r="C188" s="228">
        <f>SUM(C175:C187)</f>
        <v>2563268635.7999997</v>
      </c>
      <c r="D188" s="228">
        <f>SUM(D175:D187)</f>
        <v>238174238.64000002</v>
      </c>
      <c r="E188" s="228">
        <f>SUM(E175:E187)</f>
        <v>243656487.06999999</v>
      </c>
      <c r="F188" s="176">
        <f>(+D188-E188)/E188</f>
        <v>-2.2499907537552998E-2</v>
      </c>
      <c r="G188" s="245">
        <f>D188/C188</f>
        <v>9.2918173036383875E-2</v>
      </c>
      <c r="H188" s="246">
        <f>1-G188</f>
        <v>0.90708182696361617</v>
      </c>
      <c r="I188" s="157"/>
    </row>
    <row r="189" spans="1:9" ht="15.75" thickTop="1" x14ac:dyDescent="0.2">
      <c r="A189" s="167"/>
      <c r="B189" s="168"/>
      <c r="C189" s="226"/>
      <c r="D189" s="226"/>
      <c r="E189" s="226"/>
      <c r="F189" s="166"/>
      <c r="G189" s="241"/>
      <c r="H189" s="242"/>
      <c r="I189" s="157"/>
    </row>
    <row r="190" spans="1:9" ht="15.75" x14ac:dyDescent="0.25">
      <c r="A190" s="164" t="s">
        <v>57</v>
      </c>
      <c r="B190" s="165">
        <f>DATE(23,7,1)</f>
        <v>8583</v>
      </c>
      <c r="C190" s="226">
        <v>33435275.829999998</v>
      </c>
      <c r="D190" s="226">
        <v>3743935.17</v>
      </c>
      <c r="E190" s="226">
        <v>3941098.7</v>
      </c>
      <c r="F190" s="166">
        <f t="shared" ref="F190:F195" si="60">(+D190-E190)/E190</f>
        <v>-5.0027554498952347E-2</v>
      </c>
      <c r="G190" s="241">
        <f t="shared" ref="G190:G195" si="61">D190/C190</f>
        <v>0.11197560292416467</v>
      </c>
      <c r="H190" s="242">
        <f t="shared" ref="H190:H196" si="62">1-G190</f>
        <v>0.88802439707583536</v>
      </c>
      <c r="I190" s="157"/>
    </row>
    <row r="191" spans="1:9" ht="15.75" x14ac:dyDescent="0.25">
      <c r="A191" s="164"/>
      <c r="B191" s="165">
        <f>DATE(23,8,1)</f>
        <v>8614</v>
      </c>
      <c r="C191" s="226">
        <v>32794629.890000001</v>
      </c>
      <c r="D191" s="226">
        <v>3650833.47</v>
      </c>
      <c r="E191" s="226">
        <v>3508347.49</v>
      </c>
      <c r="F191" s="166">
        <f t="shared" si="60"/>
        <v>4.0613417116216154E-2</v>
      </c>
      <c r="G191" s="241">
        <f t="shared" si="61"/>
        <v>0.11132412478035746</v>
      </c>
      <c r="H191" s="242">
        <f t="shared" si="62"/>
        <v>0.88867587521964253</v>
      </c>
      <c r="I191" s="157"/>
    </row>
    <row r="192" spans="1:9" ht="15.75" x14ac:dyDescent="0.25">
      <c r="A192" s="164"/>
      <c r="B192" s="165">
        <f>DATE(23,9,1)</f>
        <v>8645</v>
      </c>
      <c r="C192" s="226">
        <v>29987636.98</v>
      </c>
      <c r="D192" s="226">
        <v>3571965.85</v>
      </c>
      <c r="E192" s="226">
        <v>3766686.61</v>
      </c>
      <c r="F192" s="166">
        <f t="shared" si="60"/>
        <v>-5.16955032794724E-2</v>
      </c>
      <c r="G192" s="241">
        <f t="shared" si="61"/>
        <v>0.1191146155458095</v>
      </c>
      <c r="H192" s="242">
        <f t="shared" si="62"/>
        <v>0.88088538445419051</v>
      </c>
      <c r="I192" s="157"/>
    </row>
    <row r="193" spans="1:9" ht="15.75" x14ac:dyDescent="0.25">
      <c r="A193" s="164"/>
      <c r="B193" s="165">
        <f>DATE(23,10,1)</f>
        <v>8675</v>
      </c>
      <c r="C193" s="226">
        <v>30636225.07</v>
      </c>
      <c r="D193" s="226">
        <v>3454191.96</v>
      </c>
      <c r="E193" s="226">
        <v>3644045.37</v>
      </c>
      <c r="F193" s="166">
        <f t="shared" si="60"/>
        <v>-5.209962849611835E-2</v>
      </c>
      <c r="G193" s="241">
        <f t="shared" si="61"/>
        <v>0.11274861547424975</v>
      </c>
      <c r="H193" s="242">
        <f t="shared" si="62"/>
        <v>0.88725138452575025</v>
      </c>
      <c r="I193" s="157"/>
    </row>
    <row r="194" spans="1:9" ht="15.75" x14ac:dyDescent="0.25">
      <c r="A194" s="164"/>
      <c r="B194" s="165">
        <f>DATE(23,11,1)</f>
        <v>8706</v>
      </c>
      <c r="C194" s="226">
        <v>32172056.850000001</v>
      </c>
      <c r="D194" s="226">
        <v>3511199.02</v>
      </c>
      <c r="E194" s="226">
        <v>3367619.94</v>
      </c>
      <c r="F194" s="166">
        <f t="shared" si="60"/>
        <v>4.2635179313019529E-2</v>
      </c>
      <c r="G194" s="241">
        <f t="shared" si="61"/>
        <v>0.10913815788560624</v>
      </c>
      <c r="H194" s="242">
        <f t="shared" si="62"/>
        <v>0.89086184211439379</v>
      </c>
      <c r="I194" s="157"/>
    </row>
    <row r="195" spans="1:9" ht="15.75" x14ac:dyDescent="0.25">
      <c r="A195" s="164"/>
      <c r="B195" s="165">
        <f>DATE(23,12,1)</f>
        <v>8736</v>
      </c>
      <c r="C195" s="226">
        <v>38178845.460000001</v>
      </c>
      <c r="D195" s="226">
        <v>4306408.66</v>
      </c>
      <c r="E195" s="226">
        <v>3754875.29</v>
      </c>
      <c r="F195" s="166">
        <f t="shared" si="60"/>
        <v>0.14688460398907152</v>
      </c>
      <c r="G195" s="241">
        <f t="shared" si="61"/>
        <v>0.1127956754090908</v>
      </c>
      <c r="H195" s="242">
        <f t="shared" si="62"/>
        <v>0.88720432459090914</v>
      </c>
      <c r="I195" s="157"/>
    </row>
    <row r="196" spans="1:9" ht="15.75" x14ac:dyDescent="0.25">
      <c r="A196" s="164"/>
      <c r="B196" s="165">
        <f>DATE(24,1,1)</f>
        <v>8767</v>
      </c>
      <c r="C196" s="226">
        <v>28892759.120000001</v>
      </c>
      <c r="D196" s="226">
        <v>3188752.13</v>
      </c>
      <c r="E196" s="226">
        <v>3530111.77</v>
      </c>
      <c r="F196" s="166">
        <f t="shared" ref="F196:F201" si="63">(+D196-E196)/E196</f>
        <v>-9.6699385810098626E-2</v>
      </c>
      <c r="G196" s="241">
        <f t="shared" ref="G196:G201" si="64">D196/C196</f>
        <v>0.11036509586212201</v>
      </c>
      <c r="H196" s="242">
        <f t="shared" si="62"/>
        <v>0.88963490413787794</v>
      </c>
      <c r="I196" s="157"/>
    </row>
    <row r="197" spans="1:9" ht="15.75" x14ac:dyDescent="0.25">
      <c r="A197" s="164"/>
      <c r="B197" s="165">
        <f>DATE(24,2,1)</f>
        <v>8798</v>
      </c>
      <c r="C197" s="226">
        <v>35733426.780000001</v>
      </c>
      <c r="D197" s="226">
        <v>4123827.11</v>
      </c>
      <c r="E197" s="226">
        <v>3950011.33</v>
      </c>
      <c r="F197" s="166">
        <f t="shared" si="63"/>
        <v>4.4003868718017015E-2</v>
      </c>
      <c r="G197" s="241">
        <f t="shared" si="64"/>
        <v>0.11540530762384384</v>
      </c>
      <c r="H197" s="242">
        <f>1-G197</f>
        <v>0.88459469237615618</v>
      </c>
      <c r="I197" s="157"/>
    </row>
    <row r="198" spans="1:9" ht="15.75" x14ac:dyDescent="0.25">
      <c r="A198" s="164"/>
      <c r="B198" s="165">
        <f>DATE(24,3,1)</f>
        <v>8827</v>
      </c>
      <c r="C198" s="226">
        <v>38581505.340000004</v>
      </c>
      <c r="D198" s="226">
        <v>4281903.96</v>
      </c>
      <c r="E198" s="226">
        <v>4407775.3899999997</v>
      </c>
      <c r="F198" s="166">
        <f t="shared" si="63"/>
        <v>-2.8556679699597784E-2</v>
      </c>
      <c r="G198" s="241">
        <f t="shared" si="64"/>
        <v>0.11098333054311041</v>
      </c>
      <c r="H198" s="242">
        <f>1-G198</f>
        <v>0.88901666945688962</v>
      </c>
      <c r="I198" s="157"/>
    </row>
    <row r="199" spans="1:9" ht="15.75" x14ac:dyDescent="0.25">
      <c r="A199" s="164"/>
      <c r="B199" s="165">
        <f>DATE(24,4,1)</f>
        <v>8858</v>
      </c>
      <c r="C199" s="226">
        <v>33627180.039999999</v>
      </c>
      <c r="D199" s="226">
        <v>3925969.76</v>
      </c>
      <c r="E199" s="226">
        <v>4100329.58</v>
      </c>
      <c r="F199" s="166">
        <f t="shared" si="63"/>
        <v>-4.2523367109431311E-2</v>
      </c>
      <c r="G199" s="241">
        <f t="shared" si="64"/>
        <v>0.11674989562996374</v>
      </c>
      <c r="H199" s="242">
        <f>1-G199</f>
        <v>0.88325010437003626</v>
      </c>
      <c r="I199" s="157"/>
    </row>
    <row r="200" spans="1:9" ht="15.75" x14ac:dyDescent="0.25">
      <c r="A200" s="164"/>
      <c r="B200" s="165">
        <f>DATE(24,5,1)</f>
        <v>8888</v>
      </c>
      <c r="C200" s="226">
        <v>36475132.979999997</v>
      </c>
      <c r="D200" s="226">
        <v>3940403.62</v>
      </c>
      <c r="E200" s="226">
        <v>3909436.47</v>
      </c>
      <c r="F200" s="166">
        <f t="shared" si="63"/>
        <v>7.9211288475036674E-3</v>
      </c>
      <c r="G200" s="241">
        <f t="shared" si="64"/>
        <v>0.10802986303464877</v>
      </c>
      <c r="H200" s="242">
        <f>1-G200</f>
        <v>0.89197013696535121</v>
      </c>
      <c r="I200" s="157"/>
    </row>
    <row r="201" spans="1:9" ht="15.75" x14ac:dyDescent="0.25">
      <c r="A201" s="164"/>
      <c r="B201" s="165">
        <f>DATE(24,6,1)</f>
        <v>8919</v>
      </c>
      <c r="C201" s="226">
        <v>35734703.159999996</v>
      </c>
      <c r="D201" s="226">
        <v>3899081.58</v>
      </c>
      <c r="E201" s="226">
        <v>3593052.78</v>
      </c>
      <c r="F201" s="166">
        <f t="shared" si="63"/>
        <v>8.5172364208911042E-2</v>
      </c>
      <c r="G201" s="241">
        <f t="shared" si="64"/>
        <v>0.10911190622018309</v>
      </c>
      <c r="H201" s="242">
        <f>1-G201</f>
        <v>0.89088809377981693</v>
      </c>
      <c r="I201" s="157"/>
    </row>
    <row r="202" spans="1:9" ht="15.75" thickBot="1" x14ac:dyDescent="0.25">
      <c r="A202" s="167"/>
      <c r="B202" s="168"/>
      <c r="C202" s="226"/>
      <c r="D202" s="226"/>
      <c r="E202" s="226"/>
      <c r="F202" s="166"/>
      <c r="G202" s="241"/>
      <c r="H202" s="242"/>
      <c r="I202" s="157"/>
    </row>
    <row r="203" spans="1:9" ht="17.25" thickTop="1" thickBot="1" x14ac:dyDescent="0.3">
      <c r="A203" s="169" t="s">
        <v>14</v>
      </c>
      <c r="B203" s="155"/>
      <c r="C203" s="223">
        <f>SUM(C190:C202)</f>
        <v>406249377.50000012</v>
      </c>
      <c r="D203" s="223">
        <f>SUM(D190:D202)</f>
        <v>45598472.289999992</v>
      </c>
      <c r="E203" s="223">
        <f>SUM(E190:E202)</f>
        <v>45473390.719999999</v>
      </c>
      <c r="F203" s="176">
        <f>(+D203-E203)/E203</f>
        <v>2.7506541302401663E-3</v>
      </c>
      <c r="G203" s="245">
        <f>D203/C203</f>
        <v>0.11224256531937696</v>
      </c>
      <c r="H203" s="246">
        <f>1-G203</f>
        <v>0.88775743468062307</v>
      </c>
      <c r="I203" s="157"/>
    </row>
    <row r="204" spans="1:9" ht="16.5" thickTop="1" thickBot="1" x14ac:dyDescent="0.25">
      <c r="A204" s="171"/>
      <c r="B204" s="172"/>
      <c r="C204" s="227"/>
      <c r="D204" s="227"/>
      <c r="E204" s="227"/>
      <c r="F204" s="173"/>
      <c r="G204" s="243"/>
      <c r="H204" s="244"/>
      <c r="I204" s="157"/>
    </row>
    <row r="205" spans="1:9" ht="17.25" thickTop="1" thickBot="1" x14ac:dyDescent="0.3">
      <c r="A205" s="184" t="s">
        <v>38</v>
      </c>
      <c r="B205" s="155"/>
      <c r="C205" s="223">
        <f>C203+C188+C143+C113+C83+C53+C23+C68+C173+C38+C128+C158+C98</f>
        <v>16809489024.909998</v>
      </c>
      <c r="D205" s="223">
        <f>D203+D188+D143+D113+D83+D53+D23+D68+D173+D38+D128+D158+D98</f>
        <v>1626361258.6800001</v>
      </c>
      <c r="E205" s="223">
        <f>E203+E188+E143+E113+E83+E53+E23+E68+E173+E38+E128+E158+E98</f>
        <v>1643278309.4900002</v>
      </c>
      <c r="F205" s="170">
        <f>(+D205-E205)/E205</f>
        <v>-1.0294696103699241E-2</v>
      </c>
      <c r="G205" s="236">
        <f>D205/C205</f>
        <v>9.6752569710470901E-2</v>
      </c>
      <c r="H205" s="237">
        <f>1-G205</f>
        <v>0.90324743028952914</v>
      </c>
      <c r="I205" s="157"/>
    </row>
    <row r="206" spans="1:9" ht="17.25" thickTop="1" thickBot="1" x14ac:dyDescent="0.3">
      <c r="A206" s="184"/>
      <c r="B206" s="155"/>
      <c r="C206" s="223"/>
      <c r="D206" s="223"/>
      <c r="E206" s="223"/>
      <c r="F206" s="170"/>
      <c r="G206" s="236"/>
      <c r="H206" s="237"/>
      <c r="I206" s="157"/>
    </row>
    <row r="207" spans="1:9" ht="17.25" thickTop="1" thickBot="1" x14ac:dyDescent="0.3">
      <c r="A207" s="184" t="s">
        <v>39</v>
      </c>
      <c r="B207" s="155"/>
      <c r="C207" s="223">
        <f>+C21+C36+C51+C66+C81+C96+C111+C141+C126+C156+C171+C186+C201</f>
        <v>1372008833.3500001</v>
      </c>
      <c r="D207" s="223">
        <f>+D21+D36+D51+D66+D81+D96+D111+D141+D126+D156+D171+D186+D201</f>
        <v>132733380.17000002</v>
      </c>
      <c r="E207" s="223">
        <f>+E21+E36+E51+E66+E81+E96+E111+E141+E126+E156+E171+E186+E201</f>
        <v>133380218.73</v>
      </c>
      <c r="F207" s="170">
        <f>(+D207-E207)/E207</f>
        <v>-4.8495838900172675E-3</v>
      </c>
      <c r="G207" s="236">
        <f>D207/C207</f>
        <v>9.6743823322119726E-2</v>
      </c>
      <c r="H207" s="246">
        <f>1-G207</f>
        <v>0.90325617667788027</v>
      </c>
      <c r="I207" s="157"/>
    </row>
    <row r="208" spans="1:9" ht="16.5" thickTop="1" x14ac:dyDescent="0.25">
      <c r="A208" s="185"/>
      <c r="B208" s="186"/>
      <c r="C208" s="231"/>
      <c r="D208" s="231"/>
      <c r="E208" s="231"/>
      <c r="F208" s="187"/>
      <c r="G208" s="250"/>
      <c r="H208" s="250"/>
      <c r="I208" s="151"/>
    </row>
    <row r="209" spans="1:9" ht="16.5" customHeight="1" x14ac:dyDescent="0.3">
      <c r="A209" s="188" t="s">
        <v>49</v>
      </c>
      <c r="B209" s="189"/>
      <c r="C209" s="232"/>
      <c r="D209" s="232"/>
      <c r="E209" s="232"/>
      <c r="F209" s="190"/>
      <c r="G209" s="251"/>
      <c r="H209" s="251"/>
      <c r="I209" s="151"/>
    </row>
    <row r="210" spans="1:9" ht="15.75" x14ac:dyDescent="0.25">
      <c r="A210" s="191"/>
      <c r="B210" s="189"/>
      <c r="C210" s="232"/>
      <c r="D210" s="232"/>
      <c r="E210" s="232"/>
      <c r="F210" s="190"/>
      <c r="G210" s="257"/>
      <c r="H210" s="257"/>
      <c r="I210" s="151"/>
    </row>
    <row r="211" spans="1:9" ht="15.75" x14ac:dyDescent="0.25">
      <c r="A211" s="72"/>
      <c r="I211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4" manualBreakCount="4">
    <brk id="53" max="8" man="1"/>
    <brk id="98" max="8" man="1"/>
    <brk id="143" max="8" man="1"/>
    <brk id="1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2024-07-09T15:16:52Z</cp:lastPrinted>
  <dcterms:created xsi:type="dcterms:W3CDTF">2003-09-09T14:41:43Z</dcterms:created>
  <dcterms:modified xsi:type="dcterms:W3CDTF">2024-07-09T21:38:48Z</dcterms:modified>
</cp:coreProperties>
</file>