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56" windowWidth="7536" windowHeight="4056" activeTab="4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STATS'!$A$1:$M$91</definedName>
    <definedName name="_xlnm.Print_Area" localSheetId="4">'SLOT STATS'!$A$1:$I$92</definedName>
    <definedName name="_xlnm.Print_Area" localSheetId="2">'TABLE STATS'!$A$1:$H$91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<sst xmlns="http://schemas.openxmlformats.org/spreadsheetml/2006/main" count="241" uniqueCount="79">
  <si>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</si>
  <si>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</si>
  <si>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</si>
  <si>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</si>
  <si>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</si>
  <si>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</si>
  <si>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</si>
  <si>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</si>
  <si>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</si>
  <si>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</si>
  <si>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</si>
  <si>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</si>
  <si>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</si>
  <si>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</si>
  <si>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</si>
  <si>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</si>
  <si>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</si>
  <si>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</si>
  <si>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</si>
  <si>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</si>
  <si>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</si>
  <si>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</si>
  <si>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</si>
  <si>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</si>
  <si>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</si>
  <si>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</si>
  <si>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</si>
  <si>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</si>
  <si>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</si>
  <si>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</si>
  <si>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</si>
  <si>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</si>
  <si>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</si>
  <si>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</si>
  <si>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</si>
  <si>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</si>
  <si>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</si>
  <si>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</si>
  <si>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</si>
  <si>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</si>
  <si>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</si>
  <si>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</si>
  <si>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</si>
  <si>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</si>
  <si>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</si>
  <si>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</si>
  <si>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</si>
  <si>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</si>
  <si>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</si>
  <si>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</si>
  <si>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</si>
  <si>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</si>
  <si>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</si>
  <si>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</si>
  <si>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</si>
  <si>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</si>
  <si>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</si>
  <si>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</si>
  <si>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</si>
  <si>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</si>
  <si>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</si>
  <si>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</si>
  <si>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</si>
  <si>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</si>
  <si>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</si>
  <si>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</si>
  <si>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</si>
  <si>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</si>
  <si>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</si>
  <si>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</si>
  <si>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</si>
  <si>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</si>
  <si>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SEPTEMBER 30, 2022</t>
  </si>
  <si>
    <t>(as reported on the tax remittal database dtd 10/6/22)</t>
  </si>
  <si>
    <t>FOR THE MONTH ENDED:   SEPTEMBER 30, 2022</t>
  </si>
  <si>
    <t>THRU MONTH ENDED:   SEPTEMBER 30, 2022</t>
  </si>
  <si>
    <t>(as reported on the tax remittal database as of 10/6/22)</t>
  </si>
  <si>
    <t>THRU MONTH ENDED:    SEPTEMBER 30, 2022</t>
  </si>
  <si>
    <t>THRU MONTH ENDED:     SEPTEMBER 30,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</si>
</sst>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4"/>
      <name val="Arial"/>
      <family val="0"/>
    </font>
    <font>
      <b/>
      <i/>
      <sz val="14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18"/>
      <name val="Arial"/>
      <family val="0"/>
    </font>
    <font>
      <b/>
      <i/>
      <u val="single"/>
      <sz val="14"/>
      <name val="Arial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1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1"/>
  <sheetViews>
    <sheetView showOutlineSymbols="0" workbookViewId="0" topLeftCell="A1">
      <selection activeCell="A5" sqref="A5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7.25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5.7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>(+C9-D9)/D9</f>
        <v>-0.06383079255851513</v>
      </c>
      <c r="F9" s="21">
        <f>+C9-101378</f>
        <v>116565</v>
      </c>
      <c r="G9" s="21">
        <f>+D9-107437</f>
        <v>125366</v>
      </c>
      <c r="H9" s="23">
        <f>(+F9-G9)/G9</f>
        <v>-0.0702024472344974</v>
      </c>
      <c r="I9" s="24">
        <f>K9/C9</f>
        <v>73.39293026158217</v>
      </c>
      <c r="J9" s="24">
        <f>K9/F9</f>
        <v>137.22365547119634</v>
      </c>
      <c r="K9" s="21">
        <v>15995475.4</v>
      </c>
      <c r="L9" s="21">
        <v>15939478.61</v>
      </c>
      <c r="M9" s="25">
        <f>(+K9-L9)/L9</f>
        <v>0.0035130879353149035</v>
      </c>
      <c r="N9" s="10"/>
      <c r="R9" s="2"/>
    </row>
    <row r="10" spans="1:18" ht="15">
      <c r="A10" s="19"/>
      <c r="B10" s="20">
        <f>DATE(2022,8,1)</f>
        <v>44774</v>
      </c>
      <c r="C10" s="21">
        <v>199444</v>
      </c>
      <c r="D10" s="22">
        <v>224849</v>
      </c>
      <c r="E10" s="23">
        <f>(+C10-D10)/D10</f>
        <v>-0.11298693790054659</v>
      </c>
      <c r="F10" s="21">
        <f>+C10-93160</f>
        <v>106284</v>
      </c>
      <c r="G10" s="21">
        <f>+D10-102898</f>
        <v>121951</v>
      </c>
      <c r="H10" s="23">
        <f>(+F10-G10)/G10</f>
        <v>-0.12846963124533625</v>
      </c>
      <c r="I10" s="24">
        <f>K10/C10</f>
        <v>76.15323835262029</v>
      </c>
      <c r="J10" s="24">
        <f>K10/F10</f>
        <v>142.90303780437318</v>
      </c>
      <c r="K10" s="21">
        <v>15188306.47</v>
      </c>
      <c r="L10" s="21">
        <v>15076597.12</v>
      </c>
      <c r="M10" s="25">
        <f>(+K10-L10)/L10</f>
        <v>0.0074094538118162235</v>
      </c>
      <c r="N10" s="10"/>
      <c r="R10" s="2"/>
    </row>
    <row r="11" spans="1:18" ht="15">
      <c r="A11" s="19"/>
      <c r="B11" s="20">
        <f>DATE(2022,9,1)</f>
        <v>44805</v>
      </c>
      <c r="C11" s="21">
        <v>190853</v>
      </c>
      <c r="D11" s="22">
        <v>206050</v>
      </c>
      <c r="E11" s="23">
        <f>(+C11-D11)/D11</f>
        <v>-0.07375394321766561</v>
      </c>
      <c r="F11" s="21">
        <f>+C11-90801</f>
        <v>100052</v>
      </c>
      <c r="G11" s="21">
        <f>+D11-93968</f>
        <v>112082</v>
      </c>
      <c r="H11" s="23">
        <f>(+F11-G11)/G11</f>
        <v>-0.10733213183205154</v>
      </c>
      <c r="I11" s="24">
        <f>K11/C11</f>
        <v>72.70080192608971</v>
      </c>
      <c r="J11" s="24">
        <f>K11/F11</f>
        <v>138.67954813496982</v>
      </c>
      <c r="K11" s="21">
        <v>13875166.15</v>
      </c>
      <c r="L11" s="21">
        <v>13876432.72</v>
      </c>
      <c r="M11" s="25">
        <f>(+K11-L11)/L11</f>
        <v>-9.127489936046748E-05</v>
      </c>
      <c r="N11" s="10"/>
      <c r="R11" s="2"/>
    </row>
    <row r="12" spans="1:18" ht="15.75" customHeight="1" thickBot="1">
      <c r="A12" s="19"/>
      <c r="B12" s="20"/>
      <c r="C12" s="21"/>
      <c r="D12" s="21"/>
      <c r="E12" s="23"/>
      <c r="F12" s="21"/>
      <c r="G12" s="21"/>
      <c r="H12" s="23"/>
      <c r="I12" s="24"/>
      <c r="J12" s="24"/>
      <c r="K12" s="21"/>
      <c r="L12" s="21"/>
      <c r="M12" s="25"/>
      <c r="N12" s="10"/>
      <c r="R12" s="2"/>
    </row>
    <row r="13" spans="1:18" ht="16.5" thickBot="1" thickTop="1">
      <c r="A13" s="26" t="s">
        <v>14</v>
      </c>
      <c r="B13" s="27"/>
      <c r="C13" s="28">
        <f>SUM(C9:C12)</f>
        <v>608240</v>
      </c>
      <c r="D13" s="28">
        <f>SUM(D9:D12)</f>
        <v>663702</v>
      </c>
      <c r="E13" s="279">
        <f>(+C13-D13)/D13</f>
        <v>-0.08356461182880269</v>
      </c>
      <c r="F13" s="28">
        <f>SUM(F9:F12)</f>
        <v>322901</v>
      </c>
      <c r="G13" s="28">
        <f>SUM(G9:G12)</f>
        <v>359399</v>
      </c>
      <c r="H13" s="30">
        <f>(+F13-G13)/G13</f>
        <v>-0.10155287020832</v>
      </c>
      <c r="I13" s="31">
        <f>K13/C13</f>
        <v>74.08086942654217</v>
      </c>
      <c r="J13" s="31">
        <f>K13/F13</f>
        <v>139.54415755912805</v>
      </c>
      <c r="K13" s="28">
        <f>SUM(K9:K12)</f>
        <v>45058948.02</v>
      </c>
      <c r="L13" s="28">
        <f>SUM(L9:L12)</f>
        <v>44892508.449999996</v>
      </c>
      <c r="M13" s="32">
        <f>(+K13-L13)/L13</f>
        <v>0.0037075132521361205</v>
      </c>
      <c r="N13" s="10"/>
      <c r="R13" s="2"/>
    </row>
    <row r="14" spans="1:18" ht="15.75" customHeight="1" thickTop="1">
      <c r="A14" s="15"/>
      <c r="B14" s="16"/>
      <c r="C14" s="16"/>
      <c r="D14" s="16"/>
      <c r="E14" s="17"/>
      <c r="F14" s="16"/>
      <c r="G14" s="16"/>
      <c r="H14" s="17"/>
      <c r="I14" s="16"/>
      <c r="J14" s="16"/>
      <c r="K14" s="195"/>
      <c r="L14" s="195"/>
      <c r="M14" s="18"/>
      <c r="N14" s="10"/>
      <c r="R14" s="2"/>
    </row>
    <row r="15" spans="1:18" ht="15">
      <c r="A15" s="19" t="s">
        <v>15</v>
      </c>
      <c r="B15" s="20">
        <f>DATE(2022,7,1)</f>
        <v>44743</v>
      </c>
      <c r="C15" s="21">
        <v>114715</v>
      </c>
      <c r="D15" s="21">
        <v>116107</v>
      </c>
      <c r="E15" s="23">
        <f>(+C15-D15)/D15</f>
        <v>-0.011988941235239909</v>
      </c>
      <c r="F15" s="21">
        <f>+C15-55568</f>
        <v>59147</v>
      </c>
      <c r="G15" s="21">
        <f>+D15-56210</f>
        <v>59897</v>
      </c>
      <c r="H15" s="23">
        <f>(+F15-G15)/G15</f>
        <v>-0.012521495233484147</v>
      </c>
      <c r="I15" s="24">
        <f>K15/C15</f>
        <v>73.18793714858563</v>
      </c>
      <c r="J15" s="24">
        <f>K15/F15</f>
        <v>141.9472536223308</v>
      </c>
      <c r="K15" s="21">
        <v>8395754.21</v>
      </c>
      <c r="L15" s="21">
        <v>8058935.65</v>
      </c>
      <c r="M15" s="25">
        <f>(+K15-L15)/L15</f>
        <v>0.041794422319279906</v>
      </c>
      <c r="N15" s="10"/>
      <c r="R15" s="2"/>
    </row>
    <row r="16" spans="1:18" ht="15">
      <c r="A16" s="19"/>
      <c r="B16" s="20">
        <f>DATE(2022,8,1)</f>
        <v>44774</v>
      </c>
      <c r="C16" s="21">
        <v>103784</v>
      </c>
      <c r="D16" s="21">
        <v>103353</v>
      </c>
      <c r="E16" s="23">
        <f>(+C16-D16)/D16</f>
        <v>0.004170174063645951</v>
      </c>
      <c r="F16" s="21">
        <f>+C16-49858</f>
        <v>53926</v>
      </c>
      <c r="G16" s="21">
        <f>+D16-50446</f>
        <v>52907</v>
      </c>
      <c r="H16" s="23">
        <f>(+F16-G16)/G16</f>
        <v>0.019260211314192827</v>
      </c>
      <c r="I16" s="24">
        <f>K16/C16</f>
        <v>72.90103994835428</v>
      </c>
      <c r="J16" s="24">
        <f>K16/F16</f>
        <v>140.30266531914106</v>
      </c>
      <c r="K16" s="21">
        <v>7565961.53</v>
      </c>
      <c r="L16" s="21">
        <v>7190146.61</v>
      </c>
      <c r="M16" s="25">
        <f>(+K16-L16)/L16</f>
        <v>0.05226804686810133</v>
      </c>
      <c r="N16" s="10"/>
      <c r="R16" s="2"/>
    </row>
    <row r="17" spans="1:18" ht="15">
      <c r="A17" s="19"/>
      <c r="B17" s="20">
        <f>DATE(2022,9,1)</f>
        <v>44805</v>
      </c>
      <c r="C17" s="21">
        <v>107190</v>
      </c>
      <c r="D17" s="21">
        <v>103596</v>
      </c>
      <c r="E17" s="23">
        <f>(+C17-D17)/D17</f>
        <v>0.034692459168307654</v>
      </c>
      <c r="F17" s="21">
        <f>+C17-51683</f>
        <v>55507</v>
      </c>
      <c r="G17" s="21">
        <f>+D17-49808</f>
        <v>53788</v>
      </c>
      <c r="H17" s="23">
        <f>(+F17-G17)/G17</f>
        <v>0.031958801219602886</v>
      </c>
      <c r="I17" s="24">
        <f>K17/C17</f>
        <v>72.71124675809311</v>
      </c>
      <c r="J17" s="24">
        <f>K17/F17</f>
        <v>140.41325490478678</v>
      </c>
      <c r="K17" s="21">
        <v>7793918.54</v>
      </c>
      <c r="L17" s="21">
        <v>7629702.11</v>
      </c>
      <c r="M17" s="25">
        <f>(+K17-L17)/L17</f>
        <v>0.021523308201609418</v>
      </c>
      <c r="N17" s="10"/>
      <c r="R17" s="2"/>
    </row>
    <row r="18" spans="1:18" ht="15.75" customHeight="1" thickBot="1">
      <c r="A18" s="19"/>
      <c r="B18" s="20"/>
      <c r="C18" s="21"/>
      <c r="D18" s="21"/>
      <c r="E18" s="23"/>
      <c r="F18" s="21"/>
      <c r="G18" s="21"/>
      <c r="H18" s="23"/>
      <c r="I18" s="24"/>
      <c r="J18" s="24"/>
      <c r="K18" s="21"/>
      <c r="L18" s="21"/>
      <c r="M18" s="25"/>
      <c r="N18" s="10"/>
      <c r="R18" s="2"/>
    </row>
    <row r="19" spans="1:18" ht="17.25" customHeight="1" thickBot="1" thickTop="1">
      <c r="A19" s="26" t="s">
        <v>14</v>
      </c>
      <c r="B19" s="27"/>
      <c r="C19" s="28">
        <f>SUM(C15:C18)</f>
        <v>325689</v>
      </c>
      <c r="D19" s="28">
        <f>SUM(D15:D18)</f>
        <v>323056</v>
      </c>
      <c r="E19" s="279">
        <f>(+C19-D19)/D19</f>
        <v>0.008150289733049378</v>
      </c>
      <c r="F19" s="28">
        <f>SUM(F15:F18)</f>
        <v>168580</v>
      </c>
      <c r="G19" s="28">
        <f>SUM(G15:G18)</f>
        <v>166592</v>
      </c>
      <c r="H19" s="30">
        <f>(+F19-G19)/G19</f>
        <v>0.011933346139070303</v>
      </c>
      <c r="I19" s="31">
        <f>K19/C19</f>
        <v>72.939627313173</v>
      </c>
      <c r="J19" s="31">
        <f>K19/F19</f>
        <v>140.91608897852652</v>
      </c>
      <c r="K19" s="28">
        <f>SUM(K15:K18)</f>
        <v>23755634.28</v>
      </c>
      <c r="L19" s="28">
        <f>SUM(L15:L18)</f>
        <v>22878784.37</v>
      </c>
      <c r="M19" s="32">
        <f>(+K19-L19)/L19</f>
        <v>0.03832589598378212</v>
      </c>
      <c r="N19" s="10"/>
      <c r="R19" s="2"/>
    </row>
    <row r="20" spans="1:18" ht="15.75" customHeight="1" thickTop="1">
      <c r="A20" s="33"/>
      <c r="B20" s="34"/>
      <c r="C20" s="35"/>
      <c r="D20" s="35"/>
      <c r="E20" s="29"/>
      <c r="F20" s="35"/>
      <c r="G20" s="35"/>
      <c r="H20" s="29"/>
      <c r="I20" s="36"/>
      <c r="J20" s="36"/>
      <c r="K20" s="35"/>
      <c r="L20" s="35"/>
      <c r="M20" s="37"/>
      <c r="N20" s="10"/>
      <c r="R20" s="2"/>
    </row>
    <row r="21" spans="1:18" ht="15.75" customHeight="1">
      <c r="A21" s="19" t="s">
        <v>62</v>
      </c>
      <c r="B21" s="20">
        <f>DATE(2022,7,1)</f>
        <v>44743</v>
      </c>
      <c r="C21" s="21">
        <v>56544</v>
      </c>
      <c r="D21" s="21">
        <v>66837</v>
      </c>
      <c r="E21" s="23">
        <f>(+C21-D21)/D21</f>
        <v>-0.1540015261008124</v>
      </c>
      <c r="F21" s="21">
        <f>+C21-31773</f>
        <v>24771</v>
      </c>
      <c r="G21" s="21">
        <f>+D21-37212</f>
        <v>29625</v>
      </c>
      <c r="H21" s="23">
        <f>(+F21-G21)/G21</f>
        <v>-0.16384810126582278</v>
      </c>
      <c r="I21" s="24">
        <f>K21/C21</f>
        <v>66.96577355687606</v>
      </c>
      <c r="J21" s="24">
        <f>K21/F21</f>
        <v>152.8607121230471</v>
      </c>
      <c r="K21" s="21">
        <v>3786512.7</v>
      </c>
      <c r="L21" s="21">
        <v>4599517.95</v>
      </c>
      <c r="M21" s="25">
        <f>(+K21-L21)/L21</f>
        <v>-0.17675879490806204</v>
      </c>
      <c r="N21" s="10"/>
      <c r="R21" s="2"/>
    </row>
    <row r="22" spans="1:18" ht="15.75" customHeight="1">
      <c r="A22" s="19"/>
      <c r="B22" s="20">
        <f>DATE(2022,8,1)</f>
        <v>44774</v>
      </c>
      <c r="C22" s="21">
        <v>49669</v>
      </c>
      <c r="D22" s="21">
        <v>56112</v>
      </c>
      <c r="E22" s="23">
        <f>(+C22-D22)/D22</f>
        <v>-0.11482392358140861</v>
      </c>
      <c r="F22" s="21">
        <f>+C22-27651</f>
        <v>22018</v>
      </c>
      <c r="G22" s="21">
        <f>+D22-31048</f>
        <v>25064</v>
      </c>
      <c r="H22" s="23">
        <f>(+F22-G22)/G22</f>
        <v>-0.12152888605170763</v>
      </c>
      <c r="I22" s="24">
        <f>K22/C22</f>
        <v>70.40636030522056</v>
      </c>
      <c r="J22" s="24">
        <f>K22/F22</f>
        <v>158.8252116450177</v>
      </c>
      <c r="K22" s="21">
        <v>3497013.51</v>
      </c>
      <c r="L22" s="21">
        <v>3838097.49</v>
      </c>
      <c r="M22" s="25">
        <f>(+K22-L22)/L22</f>
        <v>-0.0888679823502869</v>
      </c>
      <c r="N22" s="10"/>
      <c r="R22" s="2"/>
    </row>
    <row r="23" spans="1:18" ht="15.75" customHeight="1">
      <c r="A23" s="19"/>
      <c r="B23" s="20">
        <f>DATE(2022,9,1)</f>
        <v>44805</v>
      </c>
      <c r="C23" s="21">
        <v>50510</v>
      </c>
      <c r="D23" s="21">
        <v>58084</v>
      </c>
      <c r="E23" s="23">
        <f>(+C23-D23)/D23</f>
        <v>-0.1303973555540252</v>
      </c>
      <c r="F23" s="21">
        <f>+C23-27941</f>
        <v>22569</v>
      </c>
      <c r="G23" s="21">
        <f>+D23-32339</f>
        <v>25745</v>
      </c>
      <c r="H23" s="23">
        <f>(+F23-G23)/G23</f>
        <v>-0.12336375995338901</v>
      </c>
      <c r="I23" s="24">
        <f>K23/C23</f>
        <v>71.2097455949317</v>
      </c>
      <c r="J23" s="24">
        <f>K23/F23</f>
        <v>159.36923434799948</v>
      </c>
      <c r="K23" s="21">
        <v>3596804.25</v>
      </c>
      <c r="L23" s="21">
        <v>4086616.29</v>
      </c>
      <c r="M23" s="25">
        <f>(+K23-L23)/L23</f>
        <v>-0.11985760473734128</v>
      </c>
      <c r="N23" s="10"/>
      <c r="R23" s="2"/>
    </row>
    <row r="24" spans="1:18" ht="15.75" customHeight="1" thickBot="1">
      <c r="A24" s="38"/>
      <c r="B24" s="20"/>
      <c r="C24" s="21"/>
      <c r="D24" s="21"/>
      <c r="E24" s="23"/>
      <c r="F24" s="21"/>
      <c r="G24" s="21"/>
      <c r="H24" s="23"/>
      <c r="I24" s="24"/>
      <c r="J24" s="24"/>
      <c r="K24" s="21"/>
      <c r="L24" s="21"/>
      <c r="M24" s="25"/>
      <c r="N24" s="10"/>
      <c r="R24" s="2"/>
    </row>
    <row r="25" spans="1:18" ht="17.25" customHeight="1" thickBot="1" thickTop="1">
      <c r="A25" s="39" t="s">
        <v>14</v>
      </c>
      <c r="B25" s="40"/>
      <c r="C25" s="41">
        <f>SUM(C21:C24)</f>
        <v>156723</v>
      </c>
      <c r="D25" s="41">
        <f>SUM(D21:D24)</f>
        <v>181033</v>
      </c>
      <c r="E25" s="280">
        <f>(+C25-D25)/D25</f>
        <v>-0.13428490938116255</v>
      </c>
      <c r="F25" s="41">
        <f>SUM(F21:F24)</f>
        <v>69358</v>
      </c>
      <c r="G25" s="41">
        <f>SUM(G21:G24)</f>
        <v>80434</v>
      </c>
      <c r="H25" s="42">
        <f>(+F25-G25)/G25</f>
        <v>-0.13770296143421937</v>
      </c>
      <c r="I25" s="43">
        <f>K25/C25</f>
        <v>69.42395474818629</v>
      </c>
      <c r="J25" s="43">
        <f>K25/F25</f>
        <v>156.872032930592</v>
      </c>
      <c r="K25" s="41">
        <f>SUM(K21:K24)</f>
        <v>10880330.46</v>
      </c>
      <c r="L25" s="41">
        <f>SUM(L21:L24)</f>
        <v>12524231.73</v>
      </c>
      <c r="M25" s="44">
        <f>(+K25-L25)/L25</f>
        <v>-0.13125765359820593</v>
      </c>
      <c r="N25" s="10"/>
      <c r="R25" s="2"/>
    </row>
    <row r="26" spans="1:18" ht="15.75" customHeight="1" thickTop="1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5.75" customHeight="1">
      <c r="A27" s="177" t="s">
        <v>58</v>
      </c>
      <c r="B27" s="20">
        <f>DATE(2022,7,1)</f>
        <v>44743</v>
      </c>
      <c r="C27" s="21">
        <v>327697</v>
      </c>
      <c r="D27" s="21">
        <v>337225</v>
      </c>
      <c r="E27" s="23">
        <f>(+C27-D27)/D27</f>
        <v>-0.028254132997257025</v>
      </c>
      <c r="F27" s="21">
        <f>+C27-165744</f>
        <v>161953</v>
      </c>
      <c r="G27" s="21">
        <f>+D27-176904</f>
        <v>160321</v>
      </c>
      <c r="H27" s="23">
        <f>(+F27-G27)/G27</f>
        <v>0.010179577223195964</v>
      </c>
      <c r="I27" s="24">
        <f>K27/C27</f>
        <v>65.31661028327997</v>
      </c>
      <c r="J27" s="24">
        <f>K27/F27</f>
        <v>132.16215346427666</v>
      </c>
      <c r="K27" s="21">
        <v>21404057.24</v>
      </c>
      <c r="L27" s="21">
        <v>19292691.57</v>
      </c>
      <c r="M27" s="25">
        <f>(+K27-L27)/L27</f>
        <v>0.10943862666021971</v>
      </c>
      <c r="N27" s="10"/>
      <c r="R27" s="2"/>
    </row>
    <row r="28" spans="1:18" ht="15.75" customHeight="1">
      <c r="A28" s="177"/>
      <c r="B28" s="20">
        <f>DATE(2022,8,1)</f>
        <v>44774</v>
      </c>
      <c r="C28" s="21">
        <v>302775</v>
      </c>
      <c r="D28" s="21">
        <v>302300</v>
      </c>
      <c r="E28" s="23">
        <f>(+C28-D28)/D28</f>
        <v>0.00157128680119087</v>
      </c>
      <c r="F28" s="21">
        <f>+C28-150422</f>
        <v>152353</v>
      </c>
      <c r="G28" s="21">
        <f>+D28-157033</f>
        <v>145267</v>
      </c>
      <c r="H28" s="23">
        <f>(+F28-G28)/G28</f>
        <v>0.04877914460958098</v>
      </c>
      <c r="I28" s="24">
        <f>K28/C28</f>
        <v>63.881155379407154</v>
      </c>
      <c r="J28" s="24">
        <f>K28/F28</f>
        <v>126.95264825766476</v>
      </c>
      <c r="K28" s="21">
        <v>19341616.82</v>
      </c>
      <c r="L28" s="21">
        <v>17616276.93</v>
      </c>
      <c r="M28" s="25">
        <f>(+K28-L28)/L28</f>
        <v>0.09794009806134449</v>
      </c>
      <c r="N28" s="10"/>
      <c r="R28" s="2"/>
    </row>
    <row r="29" spans="1:18" ht="15.75" customHeight="1">
      <c r="A29" s="177"/>
      <c r="B29" s="20">
        <f>DATE(2022,9,1)</f>
        <v>44805</v>
      </c>
      <c r="C29" s="21">
        <v>299586</v>
      </c>
      <c r="D29" s="21">
        <v>336142</v>
      </c>
      <c r="E29" s="23">
        <f>(+C29-D29)/D29</f>
        <v>-0.10875165852526611</v>
      </c>
      <c r="F29" s="21">
        <f>+C29-150974</f>
        <v>148612</v>
      </c>
      <c r="G29" s="21">
        <f>+D29-171648</f>
        <v>164494</v>
      </c>
      <c r="H29" s="23">
        <f>(+F29-G29)/G29</f>
        <v>-0.09655063406568021</v>
      </c>
      <c r="I29" s="24">
        <f>K29/C29</f>
        <v>70.6112753266174</v>
      </c>
      <c r="J29" s="24">
        <f>K29/F29</f>
        <v>142.34482767205878</v>
      </c>
      <c r="K29" s="21">
        <v>21154149.53</v>
      </c>
      <c r="L29" s="21">
        <v>19389436.62</v>
      </c>
      <c r="M29" s="25">
        <f>(+K29-L29)/L29</f>
        <v>0.09101414056454417</v>
      </c>
      <c r="N29" s="10"/>
      <c r="R29" s="2"/>
    </row>
    <row r="30" spans="1:18" ht="15" thickBot="1">
      <c r="A30" s="38"/>
      <c r="B30" s="45"/>
      <c r="C30" s="21"/>
      <c r="D30" s="21"/>
      <c r="E30" s="23"/>
      <c r="F30" s="21"/>
      <c r="G30" s="21"/>
      <c r="H30" s="23"/>
      <c r="I30" s="24"/>
      <c r="J30" s="24"/>
      <c r="K30" s="21"/>
      <c r="L30" s="21"/>
      <c r="M30" s="25"/>
      <c r="N30" s="10"/>
      <c r="R30" s="2"/>
    </row>
    <row r="31" spans="1:18" ht="16.5" thickBot="1" thickTop="1">
      <c r="A31" s="39" t="s">
        <v>14</v>
      </c>
      <c r="B31" s="40"/>
      <c r="C31" s="41">
        <f>SUM(C27:C30)</f>
        <v>930058</v>
      </c>
      <c r="D31" s="41">
        <f>SUM(D27:D30)</f>
        <v>975667</v>
      </c>
      <c r="E31" s="280">
        <f>(+C31-D31)/D31</f>
        <v>-0.04674648215015984</v>
      </c>
      <c r="F31" s="41">
        <f>SUM(F27:F30)</f>
        <v>462918</v>
      </c>
      <c r="G31" s="41">
        <f>SUM(G27:G30)</f>
        <v>470082</v>
      </c>
      <c r="H31" s="42">
        <f>(+F31-G31)/G31</f>
        <v>-0.015239894316310771</v>
      </c>
      <c r="I31" s="43">
        <f>K31/C31</f>
        <v>66.5547993673513</v>
      </c>
      <c r="J31" s="43">
        <f>K31/F31</f>
        <v>133.71660551112726</v>
      </c>
      <c r="K31" s="41">
        <f>SUM(K27:K30)</f>
        <v>61899823.59</v>
      </c>
      <c r="L31" s="41">
        <f>SUM(L27:L30)</f>
        <v>56298405.120000005</v>
      </c>
      <c r="M31" s="44">
        <f>(+K31-L31)/L31</f>
        <v>0.099495153691487</v>
      </c>
      <c r="N31" s="10"/>
      <c r="R31" s="2"/>
    </row>
    <row r="32" spans="1:18" ht="15" thickTop="1">
      <c r="A32" s="38"/>
      <c r="B32" s="45"/>
      <c r="C32" s="21"/>
      <c r="D32" s="21"/>
      <c r="E32" s="23"/>
      <c r="F32" s="21"/>
      <c r="G32" s="21"/>
      <c r="H32" s="23"/>
      <c r="I32" s="24"/>
      <c r="J32" s="24"/>
      <c r="K32" s="21"/>
      <c r="L32" s="21"/>
      <c r="M32" s="25"/>
      <c r="N32" s="10"/>
      <c r="R32" s="2"/>
    </row>
    <row r="33" spans="1:18" ht="15">
      <c r="A33" s="19" t="s">
        <v>60</v>
      </c>
      <c r="B33" s="20">
        <f>DATE(2022,7,1)</f>
        <v>44743</v>
      </c>
      <c r="C33" s="21">
        <v>219130</v>
      </c>
      <c r="D33" s="21">
        <v>256229</v>
      </c>
      <c r="E33" s="23">
        <f>(+C33-D33)/D33</f>
        <v>-0.14478845095598078</v>
      </c>
      <c r="F33" s="21">
        <f>+C33-103416</f>
        <v>115714</v>
      </c>
      <c r="G33" s="21">
        <f>+D33-120621</f>
        <v>135608</v>
      </c>
      <c r="H33" s="23">
        <f>(+F33-G33)/G33</f>
        <v>-0.14670225945371954</v>
      </c>
      <c r="I33" s="24">
        <f>K33/C33</f>
        <v>68.78706274814037</v>
      </c>
      <c r="J33" s="24">
        <f>K33/F33</f>
        <v>130.2634863542873</v>
      </c>
      <c r="K33" s="21">
        <v>15073309.06</v>
      </c>
      <c r="L33" s="21">
        <v>16211316.17</v>
      </c>
      <c r="M33" s="25">
        <f>(+K33-L33)/L33</f>
        <v>-0.07019831690815759</v>
      </c>
      <c r="N33" s="10"/>
      <c r="R33" s="2"/>
    </row>
    <row r="34" spans="1:18" ht="15">
      <c r="A34" s="19"/>
      <c r="B34" s="20">
        <f>DATE(2022,8,1)</f>
        <v>44774</v>
      </c>
      <c r="C34" s="21">
        <v>204381</v>
      </c>
      <c r="D34" s="21">
        <v>232853</v>
      </c>
      <c r="E34" s="23">
        <f>(+C34-D34)/D34</f>
        <v>-0.12227456807513754</v>
      </c>
      <c r="F34" s="21">
        <f>+C34-97907</f>
        <v>106474</v>
      </c>
      <c r="G34" s="21">
        <f>+D34-112411</f>
        <v>120442</v>
      </c>
      <c r="H34" s="23">
        <f>(+F34-G34)/G34</f>
        <v>-0.11597283339698776</v>
      </c>
      <c r="I34" s="24">
        <f>K34/C34</f>
        <v>74.90397996878379</v>
      </c>
      <c r="J34" s="24">
        <f>K34/F34</f>
        <v>143.78111398087796</v>
      </c>
      <c r="K34" s="21">
        <v>15308950.33</v>
      </c>
      <c r="L34" s="21">
        <v>13388857.55</v>
      </c>
      <c r="M34" s="25">
        <f>(+K34-L34)/L34</f>
        <v>0.1434097549271483</v>
      </c>
      <c r="N34" s="10"/>
      <c r="R34" s="2"/>
    </row>
    <row r="35" spans="1:18" ht="15">
      <c r="A35" s="19"/>
      <c r="B35" s="20">
        <f>DATE(2022,9,1)</f>
        <v>44805</v>
      </c>
      <c r="C35" s="21">
        <v>195879</v>
      </c>
      <c r="D35" s="21">
        <v>224419</v>
      </c>
      <c r="E35" s="23">
        <f>(+C35-D35)/D35</f>
        <v>-0.12717283295977613</v>
      </c>
      <c r="F35" s="21">
        <f>+C35-93599</f>
        <v>102280</v>
      </c>
      <c r="G35" s="21">
        <f>+D35-105923</f>
        <v>118496</v>
      </c>
      <c r="H35" s="23">
        <f>(+F35-G35)/G35</f>
        <v>-0.1368485012152309</v>
      </c>
      <c r="I35" s="24">
        <f>K35/C35</f>
        <v>70.69372066428765</v>
      </c>
      <c r="J35" s="24">
        <f>K35/F35</f>
        <v>135.387322154869</v>
      </c>
      <c r="K35" s="21">
        <v>13847415.31</v>
      </c>
      <c r="L35" s="21">
        <v>14489840.68</v>
      </c>
      <c r="M35" s="25">
        <f>(+K35-L35)/L35</f>
        <v>-0.044336261811817185</v>
      </c>
      <c r="N35" s="10"/>
      <c r="R35" s="2"/>
    </row>
    <row r="36" spans="1:18" ht="15" thickBot="1">
      <c r="A36" s="38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6.5" thickBot="1" thickTop="1">
      <c r="A37" s="39" t="s">
        <v>14</v>
      </c>
      <c r="B37" s="40"/>
      <c r="C37" s="41">
        <f>SUM(C33:C36)</f>
        <v>619390</v>
      </c>
      <c r="D37" s="41">
        <f>SUM(D33:D36)</f>
        <v>713501</v>
      </c>
      <c r="E37" s="281">
        <f>(+C37-D37)/D37</f>
        <v>-0.13190030567581545</v>
      </c>
      <c r="F37" s="47">
        <f>SUM(F33:F36)</f>
        <v>324468</v>
      </c>
      <c r="G37" s="48">
        <f>SUM(G33:G36)</f>
        <v>374546</v>
      </c>
      <c r="H37" s="49">
        <f>(+F37-G37)/G37</f>
        <v>-0.1337032033448495</v>
      </c>
      <c r="I37" s="50">
        <f>K37/C37</f>
        <v>71.40844169263308</v>
      </c>
      <c r="J37" s="51">
        <f>K37/F37</f>
        <v>136.31444302673916</v>
      </c>
      <c r="K37" s="48">
        <f>SUM(K33:K36)</f>
        <v>44229674.7</v>
      </c>
      <c r="L37" s="47">
        <f>SUM(L33:L36)</f>
        <v>44090014.4</v>
      </c>
      <c r="M37" s="44">
        <f>(+K37-L37)/L37</f>
        <v>0.0031676174730395296</v>
      </c>
      <c r="N37" s="10"/>
      <c r="R37" s="2"/>
    </row>
    <row r="38" spans="1:18" ht="15.75" customHeight="1" thickTop="1">
      <c r="A38" s="273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">
      <c r="A39" s="274" t="s">
        <v>61</v>
      </c>
      <c r="B39" s="20">
        <f>DATE(2022,7,1)</f>
        <v>44743</v>
      </c>
      <c r="C39" s="21">
        <v>95268</v>
      </c>
      <c r="D39" s="21">
        <v>104293</v>
      </c>
      <c r="E39" s="23">
        <f>(+C39-D39)/D39</f>
        <v>-0.08653505029100707</v>
      </c>
      <c r="F39" s="21">
        <f>+C39-47922</f>
        <v>47346</v>
      </c>
      <c r="G39" s="21">
        <f>+D39-51816</f>
        <v>52477</v>
      </c>
      <c r="H39" s="23">
        <f>(+F39-G39)/G39</f>
        <v>-0.09777616860719934</v>
      </c>
      <c r="I39" s="24">
        <f>K39/C39</f>
        <v>65.71094281395641</v>
      </c>
      <c r="J39" s="24">
        <f>K39/F39</f>
        <v>132.22130908630083</v>
      </c>
      <c r="K39" s="21">
        <v>6260150.1</v>
      </c>
      <c r="L39" s="21">
        <v>6473124.34</v>
      </c>
      <c r="M39" s="25">
        <f>(+K39-L39)/L39</f>
        <v>-0.03290130527602382</v>
      </c>
      <c r="N39" s="10"/>
      <c r="R39" s="2"/>
    </row>
    <row r="40" spans="1:18" ht="15">
      <c r="A40" s="274"/>
      <c r="B40" s="20">
        <f>DATE(2022,8,1)</f>
        <v>44774</v>
      </c>
      <c r="C40" s="21">
        <v>85206</v>
      </c>
      <c r="D40" s="21">
        <v>93122</v>
      </c>
      <c r="E40" s="23">
        <f>(+C40-D40)/D40</f>
        <v>-0.08500676531861429</v>
      </c>
      <c r="F40" s="21">
        <f>+C40-42477</f>
        <v>42729</v>
      </c>
      <c r="G40" s="21">
        <f>+D40-46288</f>
        <v>46834</v>
      </c>
      <c r="H40" s="23">
        <f>(+F40-G40)/G40</f>
        <v>-0.08764999786479907</v>
      </c>
      <c r="I40" s="24">
        <f>K40/C40</f>
        <v>64.14037262634086</v>
      </c>
      <c r="J40" s="24">
        <f>K40/F40</f>
        <v>127.90246881509044</v>
      </c>
      <c r="K40" s="21">
        <v>5465144.59</v>
      </c>
      <c r="L40" s="21">
        <v>5866516.67</v>
      </c>
      <c r="M40" s="25">
        <f>(+K40-L40)/L40</f>
        <v>-0.06841744472533819</v>
      </c>
      <c r="N40" s="10"/>
      <c r="R40" s="2"/>
    </row>
    <row r="41" spans="1:18" ht="15">
      <c r="A41" s="274"/>
      <c r="B41" s="20">
        <f>DATE(2022,9,1)</f>
        <v>44805</v>
      </c>
      <c r="C41" s="21">
        <v>84321</v>
      </c>
      <c r="D41" s="21">
        <v>92204</v>
      </c>
      <c r="E41" s="23">
        <f>(+C41-D41)/D41</f>
        <v>-0.08549520628172314</v>
      </c>
      <c r="F41" s="21">
        <f>+C41-41917</f>
        <v>42404</v>
      </c>
      <c r="G41" s="21">
        <f>+D41-46055</f>
        <v>46149</v>
      </c>
      <c r="H41" s="23">
        <f>(+F41-G41)/G41</f>
        <v>-0.08115018743634748</v>
      </c>
      <c r="I41" s="24">
        <f>K41/C41</f>
        <v>63.81375695259781</v>
      </c>
      <c r="J41" s="24">
        <f>K41/F41</f>
        <v>126.89462786529572</v>
      </c>
      <c r="K41" s="21">
        <v>5380839.8</v>
      </c>
      <c r="L41" s="21">
        <v>5989167.16</v>
      </c>
      <c r="M41" s="25">
        <f>(+K41-L41)/L41</f>
        <v>-0.10157127756641214</v>
      </c>
      <c r="N41" s="10"/>
      <c r="R41" s="2"/>
    </row>
    <row r="42" spans="1:18" ht="15.75" customHeight="1" thickBot="1">
      <c r="A42" s="19"/>
      <c r="B42" s="20"/>
      <c r="C42" s="21"/>
      <c r="D42" s="21"/>
      <c r="E42" s="23"/>
      <c r="F42" s="21"/>
      <c r="G42" s="21"/>
      <c r="H42" s="23"/>
      <c r="I42" s="24"/>
      <c r="J42" s="24"/>
      <c r="K42" s="21"/>
      <c r="L42" s="21"/>
      <c r="M42" s="25"/>
      <c r="N42" s="10"/>
      <c r="R42" s="2"/>
    </row>
    <row r="43" spans="1:18" ht="17.25" customHeight="1" thickBot="1" thickTop="1">
      <c r="A43" s="39" t="s">
        <v>14</v>
      </c>
      <c r="B43" s="52"/>
      <c r="C43" s="47">
        <f>SUM(C39:C42)</f>
        <v>264795</v>
      </c>
      <c r="D43" s="48">
        <f>SUM(D39:D42)</f>
        <v>289619</v>
      </c>
      <c r="E43" s="281">
        <f>(+C43-D43)/D43</f>
        <v>-0.08571260863410204</v>
      </c>
      <c r="F43" s="48">
        <f>SUM(F39:F42)</f>
        <v>132479</v>
      </c>
      <c r="G43" s="47">
        <f>SUM(G39:G42)</f>
        <v>145460</v>
      </c>
      <c r="H43" s="46">
        <f>(+F43-G43)/G43</f>
        <v>-0.0892410284614327</v>
      </c>
      <c r="I43" s="51">
        <f>K43/C43</f>
        <v>64.60142559338355</v>
      </c>
      <c r="J43" s="50">
        <f>K43/F43</f>
        <v>129.1233666467893</v>
      </c>
      <c r="K43" s="47">
        <f>SUM(K39:K42)</f>
        <v>17106134.49</v>
      </c>
      <c r="L43" s="48">
        <f>SUM(L39:L42)</f>
        <v>18328808.17</v>
      </c>
      <c r="M43" s="44">
        <f>(+K43-L43)/L43</f>
        <v>-0.06670775691794495</v>
      </c>
      <c r="N43" s="10"/>
      <c r="R43" s="2"/>
    </row>
    <row r="44" spans="1:18" ht="15.75" customHeight="1" thickTop="1">
      <c r="A44" s="19"/>
      <c r="B44" s="45"/>
      <c r="C44" s="21"/>
      <c r="D44" s="21"/>
      <c r="E44" s="23"/>
      <c r="F44" s="21"/>
      <c r="G44" s="21"/>
      <c r="H44" s="23"/>
      <c r="I44" s="24"/>
      <c r="J44" s="24"/>
      <c r="K44" s="21"/>
      <c r="L44" s="21"/>
      <c r="M44" s="25"/>
      <c r="N44" s="10"/>
      <c r="R44" s="2"/>
    </row>
    <row r="45" spans="1:18" ht="15">
      <c r="A45" s="19" t="s">
        <v>67</v>
      </c>
      <c r="B45" s="20">
        <f>DATE(2022,7,1)</f>
        <v>44743</v>
      </c>
      <c r="C45" s="21">
        <v>220596</v>
      </c>
      <c r="D45" s="21">
        <v>224693</v>
      </c>
      <c r="E45" s="23">
        <f>(+C45-D45)/D45</f>
        <v>-0.018233767852136026</v>
      </c>
      <c r="F45" s="21">
        <f>+C45-105104</f>
        <v>115492</v>
      </c>
      <c r="G45" s="21">
        <f>+D45-121301</f>
        <v>103392</v>
      </c>
      <c r="H45" s="23">
        <f>(+F45-G45)/G45</f>
        <v>0.11703033116682142</v>
      </c>
      <c r="I45" s="24">
        <f>K45/C45</f>
        <v>48.08238961721881</v>
      </c>
      <c r="J45" s="24">
        <f>K45/F45</f>
        <v>91.83997869982336</v>
      </c>
      <c r="K45" s="21">
        <v>10606782.82</v>
      </c>
      <c r="L45" s="21">
        <v>9513693.57</v>
      </c>
      <c r="M45" s="25">
        <f>(+K45-L45)/L45</f>
        <v>0.11489641136297392</v>
      </c>
      <c r="N45" s="10"/>
      <c r="R45" s="2"/>
    </row>
    <row r="46" spans="1:18" ht="15">
      <c r="A46" s="19"/>
      <c r="B46" s="20">
        <f>DATE(2022,8,1)</f>
        <v>44774</v>
      </c>
      <c r="C46" s="21">
        <v>204208</v>
      </c>
      <c r="D46" s="21">
        <v>253687</v>
      </c>
      <c r="E46" s="23">
        <f>(+C46-D46)/D46</f>
        <v>-0.19503955661898323</v>
      </c>
      <c r="F46" s="21">
        <f>+C46-95602</f>
        <v>108606</v>
      </c>
      <c r="G46" s="21">
        <f>+D46-139919</f>
        <v>113768</v>
      </c>
      <c r="H46" s="23">
        <f>(+F46-G46)/G46</f>
        <v>-0.045373039870613883</v>
      </c>
      <c r="I46" s="24">
        <f>K46/C46</f>
        <v>50.441069742615376</v>
      </c>
      <c r="J46" s="24">
        <f>K46/F46</f>
        <v>94.8425498591238</v>
      </c>
      <c r="K46" s="21">
        <v>10300469.97</v>
      </c>
      <c r="L46" s="21">
        <v>9470339.94</v>
      </c>
      <c r="M46" s="25">
        <f>(+K46-L46)/L46</f>
        <v>0.08765577954533291</v>
      </c>
      <c r="N46" s="10"/>
      <c r="R46" s="2"/>
    </row>
    <row r="47" spans="1:18" ht="15">
      <c r="A47" s="19"/>
      <c r="B47" s="20">
        <f>DATE(2022,9,1)</f>
        <v>44805</v>
      </c>
      <c r="C47" s="21">
        <v>202638</v>
      </c>
      <c r="D47" s="21">
        <v>235488</v>
      </c>
      <c r="E47" s="23">
        <f>(+C47-D47)/D47</f>
        <v>-0.13949755401549124</v>
      </c>
      <c r="F47" s="21">
        <f>+C47-96055</f>
        <v>106583</v>
      </c>
      <c r="G47" s="21">
        <f>+D47-117319</f>
        <v>118169</v>
      </c>
      <c r="H47" s="23">
        <f>(+F47-G47)/G47</f>
        <v>-0.09804601883742775</v>
      </c>
      <c r="I47" s="24">
        <f>K47/C47</f>
        <v>48.507043594982186</v>
      </c>
      <c r="J47" s="24">
        <f>K47/F47</f>
        <v>92.22268373005076</v>
      </c>
      <c r="K47" s="21">
        <v>9829370.3</v>
      </c>
      <c r="L47" s="21">
        <v>10050706.73</v>
      </c>
      <c r="M47" s="25">
        <f>(+K47-L47)/L47</f>
        <v>-0.02202197675705136</v>
      </c>
      <c r="N47" s="10"/>
      <c r="R47" s="2"/>
    </row>
    <row r="48" spans="1:18" ht="15.75" customHeight="1" thickBot="1">
      <c r="A48" s="19"/>
      <c r="B48" s="45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SUM(C45:C48)</f>
        <v>627442</v>
      </c>
      <c r="D49" s="48">
        <f>SUM(D45:D48)</f>
        <v>713868</v>
      </c>
      <c r="E49" s="281">
        <f>(+C49-D49)/D49</f>
        <v>-0.12106720009861767</v>
      </c>
      <c r="F49" s="48">
        <f>SUM(F45:F48)</f>
        <v>330681</v>
      </c>
      <c r="G49" s="47">
        <f>SUM(G45:G48)</f>
        <v>335329</v>
      </c>
      <c r="H49" s="53">
        <f>(+F49-G49)/G49</f>
        <v>-0.013861014108532218</v>
      </c>
      <c r="I49" s="51">
        <f>K49/C49</f>
        <v>48.98719417890418</v>
      </c>
      <c r="J49" s="50">
        <f>K49/F49</f>
        <v>92.9494681883749</v>
      </c>
      <c r="K49" s="47">
        <f>SUM(K45:K48)</f>
        <v>30736623.09</v>
      </c>
      <c r="L49" s="48">
        <f>SUM(L45:L48)</f>
        <v>29034740.24</v>
      </c>
      <c r="M49" s="44">
        <f>(+K49-L49)/L49</f>
        <v>0.05861539782799178</v>
      </c>
      <c r="N49" s="10"/>
      <c r="R49" s="2"/>
    </row>
    <row r="50" spans="1:18" ht="15.75" customHeight="1" thickTop="1">
      <c r="A50" s="19"/>
      <c r="B50" s="45"/>
      <c r="C50" s="21"/>
      <c r="D50" s="21"/>
      <c r="E50" s="23"/>
      <c r="F50" s="21"/>
      <c r="G50" s="21"/>
      <c r="H50" s="23"/>
      <c r="I50" s="24"/>
      <c r="J50" s="24"/>
      <c r="K50" s="21"/>
      <c r="L50" s="21"/>
      <c r="M50" s="25"/>
      <c r="N50" s="10"/>
      <c r="R50" s="2"/>
    </row>
    <row r="51" spans="1:18" ht="15.75" customHeight="1">
      <c r="A51" s="19" t="s">
        <v>69</v>
      </c>
      <c r="B51" s="20">
        <f>DATE(2022,7,1)</f>
        <v>44743</v>
      </c>
      <c r="C51" s="21">
        <v>226300</v>
      </c>
      <c r="D51" s="21">
        <v>251090</v>
      </c>
      <c r="E51" s="23">
        <f>(+C51-D51)/D51</f>
        <v>-0.09872953920904855</v>
      </c>
      <c r="F51" s="21">
        <f>+C51-105791</f>
        <v>120509</v>
      </c>
      <c r="G51" s="21">
        <f>+D51-113536</f>
        <v>137554</v>
      </c>
      <c r="H51" s="23">
        <f>(+F51-G51)/G51</f>
        <v>-0.12391497157479972</v>
      </c>
      <c r="I51" s="24">
        <f>K51/C51</f>
        <v>58.190034202386215</v>
      </c>
      <c r="J51" s="24">
        <f>K51/F51</f>
        <v>109.27320565268984</v>
      </c>
      <c r="K51" s="21">
        <v>13168404.74</v>
      </c>
      <c r="L51" s="21">
        <v>14822103.82</v>
      </c>
      <c r="M51" s="25">
        <f>(+K51-L51)/L51</f>
        <v>-0.111569794685192</v>
      </c>
      <c r="N51" s="10"/>
      <c r="R51" s="2"/>
    </row>
    <row r="52" spans="1:18" ht="15.75" customHeight="1">
      <c r="A52" s="19"/>
      <c r="B52" s="20">
        <f>DATE(2022,8,1)</f>
        <v>44774</v>
      </c>
      <c r="C52" s="21">
        <v>232604</v>
      </c>
      <c r="D52" s="21">
        <v>215479</v>
      </c>
      <c r="E52" s="23">
        <f>(+C52-D52)/D52</f>
        <v>0.07947410188463841</v>
      </c>
      <c r="F52" s="21">
        <f>+C52-107571</f>
        <v>125033</v>
      </c>
      <c r="G52" s="21">
        <f>+D52-96518</f>
        <v>118961</v>
      </c>
      <c r="H52" s="23">
        <f>(+F52-G52)/G52</f>
        <v>0.05104193811417187</v>
      </c>
      <c r="I52" s="24">
        <f>K52/C52</f>
        <v>59.877394412821786</v>
      </c>
      <c r="J52" s="24">
        <f>K52/F52</f>
        <v>111.3923640158998</v>
      </c>
      <c r="K52" s="21">
        <v>13927721.45</v>
      </c>
      <c r="L52" s="21">
        <v>13122626.66</v>
      </c>
      <c r="M52" s="25">
        <f>(+K52-L52)/L52</f>
        <v>0.06135164939608204</v>
      </c>
      <c r="N52" s="10"/>
      <c r="R52" s="2"/>
    </row>
    <row r="53" spans="1:18" ht="15.75" customHeight="1">
      <c r="A53" s="19"/>
      <c r="B53" s="20">
        <f>DATE(2022,9,1)</f>
        <v>44805</v>
      </c>
      <c r="C53" s="21">
        <v>229799</v>
      </c>
      <c r="D53" s="21">
        <v>213931</v>
      </c>
      <c r="E53" s="23">
        <f>(+C53-D53)/D53</f>
        <v>0.07417344844833147</v>
      </c>
      <c r="F53" s="21">
        <f>+C53-107359</f>
        <v>122440</v>
      </c>
      <c r="G53" s="21">
        <f>+D53-98283</f>
        <v>115648</v>
      </c>
      <c r="H53" s="23">
        <f>(+F53-G53)/G53</f>
        <v>0.05872993912562258</v>
      </c>
      <c r="I53" s="24">
        <f>K53/C53</f>
        <v>58.84250370976375</v>
      </c>
      <c r="J53" s="24">
        <f>K53/F53</f>
        <v>110.43734490362627</v>
      </c>
      <c r="K53" s="21">
        <v>13521948.51</v>
      </c>
      <c r="L53" s="21">
        <v>12121290.84</v>
      </c>
      <c r="M53" s="25">
        <f>(+K53-L53)/L53</f>
        <v>0.1155535073358573</v>
      </c>
      <c r="N53" s="10"/>
      <c r="R53" s="2"/>
    </row>
    <row r="54" spans="1:18" ht="15.75" customHeight="1" thickBot="1">
      <c r="A54" s="19"/>
      <c r="B54" s="45"/>
      <c r="C54" s="21"/>
      <c r="D54" s="21"/>
      <c r="E54" s="23"/>
      <c r="F54" s="21"/>
      <c r="G54" s="21"/>
      <c r="H54" s="23"/>
      <c r="I54" s="24"/>
      <c r="J54" s="24"/>
      <c r="K54" s="21"/>
      <c r="L54" s="21"/>
      <c r="M54" s="25"/>
      <c r="N54" s="10"/>
      <c r="R54" s="2"/>
    </row>
    <row r="55" spans="1:18" ht="16.5" thickBot="1" thickTop="1">
      <c r="A55" s="39" t="s">
        <v>14</v>
      </c>
      <c r="B55" s="40"/>
      <c r="C55" s="41">
        <f>SUM(C51:C54)</f>
        <v>688703</v>
      </c>
      <c r="D55" s="41">
        <f>SUM(D51:D54)</f>
        <v>680500</v>
      </c>
      <c r="E55" s="280">
        <f>(+C55-D55)/D55</f>
        <v>0.012054371785451873</v>
      </c>
      <c r="F55" s="41">
        <f>SUM(F51:F54)</f>
        <v>367982</v>
      </c>
      <c r="G55" s="41">
        <f>SUM(G51:G54)</f>
        <v>372163</v>
      </c>
      <c r="H55" s="42">
        <f>(+F55-G55)/G55</f>
        <v>-0.01123432474480268</v>
      </c>
      <c r="I55" s="43">
        <f>K55/C55</f>
        <v>58.97763578785049</v>
      </c>
      <c r="J55" s="43">
        <f>K55/F55</f>
        <v>110.38060204031717</v>
      </c>
      <c r="K55" s="41">
        <f>SUM(K51:K54)</f>
        <v>40618074.699999996</v>
      </c>
      <c r="L55" s="41">
        <f>SUM(L51:L54)</f>
        <v>40066021.32</v>
      </c>
      <c r="M55" s="44">
        <f>(+K55-L55)/L55</f>
        <v>0.013778592478420696</v>
      </c>
      <c r="N55" s="10"/>
      <c r="R55" s="2"/>
    </row>
    <row r="56" spans="1:18" ht="15.75" customHeight="1" thickTop="1">
      <c r="A56" s="54"/>
      <c r="B56" s="55"/>
      <c r="C56" s="55"/>
      <c r="D56" s="55"/>
      <c r="E56" s="56"/>
      <c r="F56" s="55"/>
      <c r="G56" s="55"/>
      <c r="H56" s="56"/>
      <c r="I56" s="55"/>
      <c r="J56" s="55"/>
      <c r="K56" s="196"/>
      <c r="L56" s="196"/>
      <c r="M56" s="57"/>
      <c r="N56" s="10"/>
      <c r="R56" s="2"/>
    </row>
    <row r="57" spans="1:18" ht="15.75" customHeight="1">
      <c r="A57" s="19" t="s">
        <v>16</v>
      </c>
      <c r="B57" s="20">
        <f>DATE(2022,7,1)</f>
        <v>44743</v>
      </c>
      <c r="C57" s="21">
        <v>271337</v>
      </c>
      <c r="D57" s="21">
        <v>292626</v>
      </c>
      <c r="E57" s="23">
        <f>(+C57-D57)/D57</f>
        <v>-0.0727515668464183</v>
      </c>
      <c r="F57" s="21">
        <f>+C57-134570</f>
        <v>136767</v>
      </c>
      <c r="G57" s="21">
        <f>+D57-144119</f>
        <v>148507</v>
      </c>
      <c r="H57" s="23">
        <f>(+F57-G57)/G57</f>
        <v>-0.07905351262903432</v>
      </c>
      <c r="I57" s="24">
        <f>K57/C57</f>
        <v>67.09200728245688</v>
      </c>
      <c r="J57" s="24">
        <f>K57/F57</f>
        <v>133.10626086702203</v>
      </c>
      <c r="K57" s="21">
        <v>18204543.98</v>
      </c>
      <c r="L57" s="21">
        <v>18108904.36</v>
      </c>
      <c r="M57" s="25">
        <f>(+K57-L57)/L57</f>
        <v>0.005281358722687575</v>
      </c>
      <c r="N57" s="10"/>
      <c r="R57" s="2"/>
    </row>
    <row r="58" spans="1:18" ht="15.75" customHeight="1">
      <c r="A58" s="19"/>
      <c r="B58" s="20">
        <f>DATE(2022,8,1)</f>
        <v>44774</v>
      </c>
      <c r="C58" s="21">
        <v>244622</v>
      </c>
      <c r="D58" s="21">
        <v>252812</v>
      </c>
      <c r="E58" s="23">
        <f>(+C58-D58)/D58</f>
        <v>-0.032395614132240555</v>
      </c>
      <c r="F58" s="21">
        <f>+C58-120033</f>
        <v>124589</v>
      </c>
      <c r="G58" s="21">
        <f>+D58-122587</f>
        <v>130225</v>
      </c>
      <c r="H58" s="23">
        <f>(+F58-G58)/G58</f>
        <v>-0.04327894029564216</v>
      </c>
      <c r="I58" s="24">
        <f>K58/C58</f>
        <v>67.20574674395598</v>
      </c>
      <c r="J58" s="24">
        <f>K58/F58</f>
        <v>131.95389785615103</v>
      </c>
      <c r="K58" s="21">
        <v>16440004.18</v>
      </c>
      <c r="L58" s="21">
        <v>16282457.7</v>
      </c>
      <c r="M58" s="25">
        <f>(+K58-L58)/L58</f>
        <v>0.009675841503951855</v>
      </c>
      <c r="N58" s="10"/>
      <c r="R58" s="2"/>
    </row>
    <row r="59" spans="1:18" ht="15.75" customHeight="1">
      <c r="A59" s="19"/>
      <c r="B59" s="20">
        <f>DATE(2022,9,1)</f>
        <v>44805</v>
      </c>
      <c r="C59" s="21">
        <v>238237</v>
      </c>
      <c r="D59" s="21">
        <v>243584</v>
      </c>
      <c r="E59" s="23">
        <f>(+C59-D59)/D59</f>
        <v>-0.021951359695218078</v>
      </c>
      <c r="F59" s="21">
        <f>+C59-117564</f>
        <v>120673</v>
      </c>
      <c r="G59" s="21">
        <f>+D59-118454</f>
        <v>125130</v>
      </c>
      <c r="H59" s="23">
        <f>(+F59-G59)/G59</f>
        <v>-0.03561895628546312</v>
      </c>
      <c r="I59" s="24">
        <f>K59/C59</f>
        <v>71.1967485738991</v>
      </c>
      <c r="J59" s="24">
        <f>K59/F59</f>
        <v>140.5591954289692</v>
      </c>
      <c r="K59" s="21">
        <v>16961699.79</v>
      </c>
      <c r="L59" s="21">
        <v>14471118.95</v>
      </c>
      <c r="M59" s="25">
        <f>(+K59-L59)/L59</f>
        <v>0.17210699798718743</v>
      </c>
      <c r="N59" s="10"/>
      <c r="R59" s="2"/>
    </row>
    <row r="60" spans="1:18" ht="15.75" customHeight="1" thickBot="1">
      <c r="A60" s="19"/>
      <c r="B60" s="45"/>
      <c r="C60" s="21"/>
      <c r="D60" s="21"/>
      <c r="E60" s="23"/>
      <c r="F60" s="21"/>
      <c r="G60" s="21"/>
      <c r="H60" s="23"/>
      <c r="I60" s="24"/>
      <c r="J60" s="24"/>
      <c r="K60" s="21"/>
      <c r="L60" s="21"/>
      <c r="M60" s="25"/>
      <c r="N60" s="10"/>
      <c r="R60" s="2"/>
    </row>
    <row r="61" spans="1:18" ht="16.5" thickBot="1" thickTop="1">
      <c r="A61" s="39" t="s">
        <v>14</v>
      </c>
      <c r="B61" s="40"/>
      <c r="C61" s="41">
        <f>SUM(C57:C60)</f>
        <v>754196</v>
      </c>
      <c r="D61" s="41">
        <f>SUM(D57:D60)</f>
        <v>789022</v>
      </c>
      <c r="E61" s="280">
        <f>(+C61-D61)/D61</f>
        <v>-0.044138186260966106</v>
      </c>
      <c r="F61" s="41">
        <f>SUM(F57:F60)</f>
        <v>382029</v>
      </c>
      <c r="G61" s="41">
        <f>SUM(G57:G60)</f>
        <v>403862</v>
      </c>
      <c r="H61" s="42">
        <f>(+F61-G61)/G61</f>
        <v>-0.05406054543383631</v>
      </c>
      <c r="I61" s="43">
        <f>K61/C61</f>
        <v>68.42551266514275</v>
      </c>
      <c r="J61" s="43">
        <f>K61/F61</f>
        <v>135.08463480521112</v>
      </c>
      <c r="K61" s="41">
        <f>SUM(K57:K60)</f>
        <v>51606247.949999996</v>
      </c>
      <c r="L61" s="41">
        <f>SUM(L57:L60)</f>
        <v>48862481.010000005</v>
      </c>
      <c r="M61" s="44">
        <f>(+K61-L61)/L61</f>
        <v>0.05615283717252224</v>
      </c>
      <c r="N61" s="10"/>
      <c r="R61" s="2"/>
    </row>
    <row r="62" spans="1:18" ht="15.75" customHeight="1" thickTop="1">
      <c r="A62" s="54"/>
      <c r="B62" s="55"/>
      <c r="C62" s="55"/>
      <c r="D62" s="55"/>
      <c r="E62" s="56"/>
      <c r="F62" s="55"/>
      <c r="G62" s="55"/>
      <c r="H62" s="56"/>
      <c r="I62" s="55"/>
      <c r="J62" s="55"/>
      <c r="K62" s="196"/>
      <c r="L62" s="196"/>
      <c r="M62" s="57"/>
      <c r="N62" s="10"/>
      <c r="R62" s="2"/>
    </row>
    <row r="63" spans="1:18" ht="15.75" customHeight="1">
      <c r="A63" s="19" t="s">
        <v>53</v>
      </c>
      <c r="B63" s="20">
        <f>DATE(2022,7,1)</f>
        <v>44743</v>
      </c>
      <c r="C63" s="21">
        <v>358906</v>
      </c>
      <c r="D63" s="21">
        <v>338901</v>
      </c>
      <c r="E63" s="23">
        <f>(+C63-D63)/D63</f>
        <v>0.05902903797864273</v>
      </c>
      <c r="F63" s="21">
        <f>+C63-172463</f>
        <v>186443</v>
      </c>
      <c r="G63" s="21">
        <f>+D63-160819</f>
        <v>178082</v>
      </c>
      <c r="H63" s="23">
        <f>(+F63-G63)/G63</f>
        <v>0.0469502813310722</v>
      </c>
      <c r="I63" s="24">
        <f>K63/C63</f>
        <v>62.40353460237499</v>
      </c>
      <c r="J63" s="24">
        <f>K63/F63</f>
        <v>120.12788353545051</v>
      </c>
      <c r="K63" s="21">
        <v>22397002.99</v>
      </c>
      <c r="L63" s="21">
        <v>20138878.38</v>
      </c>
      <c r="M63" s="25">
        <f>(+K63-L63)/L63</f>
        <v>0.11212762535189408</v>
      </c>
      <c r="N63" s="10"/>
      <c r="R63" s="2"/>
    </row>
    <row r="64" spans="1:18" ht="15.75" customHeight="1">
      <c r="A64" s="19"/>
      <c r="B64" s="20">
        <f>DATE(2022,8,1)</f>
        <v>44774</v>
      </c>
      <c r="C64" s="21">
        <v>332390</v>
      </c>
      <c r="D64" s="21">
        <v>315503</v>
      </c>
      <c r="E64" s="23">
        <f>(+C64-D64)/D64</f>
        <v>0.05352405523877744</v>
      </c>
      <c r="F64" s="21">
        <f>+C64-159690</f>
        <v>172700</v>
      </c>
      <c r="G64" s="21">
        <f>+D64-149989</f>
        <v>165514</v>
      </c>
      <c r="H64" s="23">
        <f>(+F64-G64)/G64</f>
        <v>0.04341626690189349</v>
      </c>
      <c r="I64" s="24">
        <f>K64/C64</f>
        <v>62.33865263696261</v>
      </c>
      <c r="J64" s="24">
        <f>K64/F64</f>
        <v>119.98115083960626</v>
      </c>
      <c r="K64" s="21">
        <v>20720744.75</v>
      </c>
      <c r="L64" s="21">
        <v>19194870.57</v>
      </c>
      <c r="M64" s="25">
        <f>(+K64-L64)/L64</f>
        <v>0.07949385094499231</v>
      </c>
      <c r="N64" s="10"/>
      <c r="R64" s="2"/>
    </row>
    <row r="65" spans="1:18" ht="15.75" customHeight="1">
      <c r="A65" s="19"/>
      <c r="B65" s="20">
        <f>DATE(2022,9,1)</f>
        <v>44805</v>
      </c>
      <c r="C65" s="21">
        <v>333101</v>
      </c>
      <c r="D65" s="21">
        <v>329297</v>
      </c>
      <c r="E65" s="23">
        <f>(+C65-D65)/D65</f>
        <v>0.011551881735940503</v>
      </c>
      <c r="F65" s="21">
        <f>+C65-160339</f>
        <v>172762</v>
      </c>
      <c r="G65" s="21">
        <f>+D65-155913</f>
        <v>173384</v>
      </c>
      <c r="H65" s="23">
        <f>(+F65-G65)/G65</f>
        <v>-0.0035874129100724405</v>
      </c>
      <c r="I65" s="24">
        <f>K65/C65</f>
        <v>60.98825344264953</v>
      </c>
      <c r="J65" s="24">
        <f>K65/F65</f>
        <v>117.59095292946365</v>
      </c>
      <c r="K65" s="21">
        <v>20315248.21</v>
      </c>
      <c r="L65" s="21">
        <v>19476285.94</v>
      </c>
      <c r="M65" s="25">
        <f>(+K65-L65)/L65</f>
        <v>0.04307609123138595</v>
      </c>
      <c r="N65" s="10"/>
      <c r="R65" s="2"/>
    </row>
    <row r="66" spans="1:18" ht="15.75" customHeight="1" thickBot="1">
      <c r="A66" s="19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6.5" thickBot="1" thickTop="1">
      <c r="A67" s="39" t="s">
        <v>14</v>
      </c>
      <c r="B67" s="40"/>
      <c r="C67" s="41">
        <f>SUM(C63:C66)</f>
        <v>1024397</v>
      </c>
      <c r="D67" s="41">
        <f>SUM(D63:D66)</f>
        <v>983701</v>
      </c>
      <c r="E67" s="280">
        <f>(+C67-D67)/D67</f>
        <v>0.04137029442889659</v>
      </c>
      <c r="F67" s="41">
        <f>SUM(F63:F66)</f>
        <v>531905</v>
      </c>
      <c r="G67" s="41">
        <f>SUM(G63:G66)</f>
        <v>516980</v>
      </c>
      <c r="H67" s="42">
        <f>(+F67-G67)/G67</f>
        <v>0.028869588765522845</v>
      </c>
      <c r="I67" s="43">
        <f>K67/C67</f>
        <v>61.922278130451375</v>
      </c>
      <c r="J67" s="43">
        <f>K67/F67</f>
        <v>119.25625055226027</v>
      </c>
      <c r="K67" s="41">
        <f>SUM(K63:K66)</f>
        <v>63432995.949999996</v>
      </c>
      <c r="L67" s="41">
        <f>SUM(L63:L66)</f>
        <v>58810034.89</v>
      </c>
      <c r="M67" s="44">
        <f>(+K67-L67)/L67</f>
        <v>0.07860837132042033</v>
      </c>
      <c r="N67" s="10"/>
      <c r="R67" s="2"/>
    </row>
    <row r="68" spans="1:18" ht="15.75" customHeight="1" thickTop="1">
      <c r="A68" s="58"/>
      <c r="B68" s="59"/>
      <c r="C68" s="59"/>
      <c r="D68" s="59"/>
      <c r="E68" s="60"/>
      <c r="F68" s="59"/>
      <c r="G68" s="59"/>
      <c r="H68" s="60"/>
      <c r="I68" s="59"/>
      <c r="J68" s="59"/>
      <c r="K68" s="197"/>
      <c r="L68" s="197"/>
      <c r="M68" s="61"/>
      <c r="N68" s="10"/>
      <c r="R68" s="2"/>
    </row>
    <row r="69" spans="1:18" ht="15" customHeight="1">
      <c r="A69" s="19" t="s">
        <v>54</v>
      </c>
      <c r="B69" s="20">
        <f>DATE(2022,7,1)</f>
        <v>44743</v>
      </c>
      <c r="C69" s="21">
        <v>45743</v>
      </c>
      <c r="D69" s="21">
        <v>54523</v>
      </c>
      <c r="E69" s="23">
        <f>(+C69-D69)/D69</f>
        <v>-0.1610329585679438</v>
      </c>
      <c r="F69" s="21">
        <f>+C69-23748</f>
        <v>21995</v>
      </c>
      <c r="G69" s="21">
        <f>+D69-27936</f>
        <v>26587</v>
      </c>
      <c r="H69" s="23">
        <f>(+F69-G69)/G69</f>
        <v>-0.17271598901718885</v>
      </c>
      <c r="I69" s="24">
        <f>K69/C69</f>
        <v>71.13247229084232</v>
      </c>
      <c r="J69" s="24">
        <f>K69/F69</f>
        <v>147.93419777222095</v>
      </c>
      <c r="K69" s="21">
        <v>3253812.68</v>
      </c>
      <c r="L69" s="21">
        <v>3636808.62</v>
      </c>
      <c r="M69" s="25">
        <f>(+K69-L69)/L69</f>
        <v>-0.1053109965406978</v>
      </c>
      <c r="N69" s="10"/>
      <c r="R69" s="2"/>
    </row>
    <row r="70" spans="1:18" ht="15" customHeight="1">
      <c r="A70" s="19"/>
      <c r="B70" s="20">
        <f>DATE(2022,8,1)</f>
        <v>44774</v>
      </c>
      <c r="C70" s="21">
        <v>40978</v>
      </c>
      <c r="D70" s="21">
        <v>47684</v>
      </c>
      <c r="E70" s="23">
        <f>(+C70-D70)/D70</f>
        <v>-0.14063417498532002</v>
      </c>
      <c r="F70" s="21">
        <f>+C70-21136</f>
        <v>19842</v>
      </c>
      <c r="G70" s="21">
        <f>+D70-24640</f>
        <v>23044</v>
      </c>
      <c r="H70" s="23">
        <f>(+F70-G70)/G70</f>
        <v>-0.1389515709078285</v>
      </c>
      <c r="I70" s="24">
        <f>K70/C70</f>
        <v>72.08604763531652</v>
      </c>
      <c r="J70" s="24">
        <f>K70/F70</f>
        <v>148.87320129019253</v>
      </c>
      <c r="K70" s="21">
        <v>2953942.06</v>
      </c>
      <c r="L70" s="21">
        <v>3224724.59</v>
      </c>
      <c r="M70" s="25">
        <f>(+K70-L70)/L70</f>
        <v>-0.0839707461653337</v>
      </c>
      <c r="N70" s="10"/>
      <c r="R70" s="2"/>
    </row>
    <row r="71" spans="1:18" ht="15" customHeight="1">
      <c r="A71" s="19"/>
      <c r="B71" s="20">
        <f>DATE(2022,9,1)</f>
        <v>44805</v>
      </c>
      <c r="C71" s="21">
        <v>41696</v>
      </c>
      <c r="D71" s="21">
        <v>47289</v>
      </c>
      <c r="E71" s="23">
        <f>(+C71-D71)/D71</f>
        <v>-0.11827274841929412</v>
      </c>
      <c r="F71" s="21">
        <f>+C71-21639</f>
        <v>20057</v>
      </c>
      <c r="G71" s="21">
        <f>+D71-24190</f>
        <v>23099</v>
      </c>
      <c r="H71" s="23">
        <f>(+F71-G71)/G71</f>
        <v>-0.13169401272782372</v>
      </c>
      <c r="I71" s="24">
        <f>K71/C71</f>
        <v>74.37283792210285</v>
      </c>
      <c r="J71" s="24">
        <f>K71/F71</f>
        <v>154.6118487311163</v>
      </c>
      <c r="K71" s="21">
        <v>3101049.85</v>
      </c>
      <c r="L71" s="21">
        <v>3144600.15</v>
      </c>
      <c r="M71" s="25">
        <f>(+K71-L71)/L71</f>
        <v>-0.013849232946198204</v>
      </c>
      <c r="N71" s="10"/>
      <c r="R71" s="2"/>
    </row>
    <row r="72" spans="1:18" ht="15" thickBot="1">
      <c r="A72" s="38"/>
      <c r="B72" s="20"/>
      <c r="C72" s="21"/>
      <c r="D72" s="21"/>
      <c r="E72" s="23"/>
      <c r="F72" s="21"/>
      <c r="G72" s="21"/>
      <c r="H72" s="23"/>
      <c r="I72" s="24"/>
      <c r="J72" s="24"/>
      <c r="K72" s="21"/>
      <c r="L72" s="21"/>
      <c r="M72" s="25"/>
      <c r="N72" s="10"/>
      <c r="R72" s="2"/>
    </row>
    <row r="73" spans="1:18" ht="16.5" thickBot="1" thickTop="1">
      <c r="A73" s="62" t="s">
        <v>14</v>
      </c>
      <c r="B73" s="52"/>
      <c r="C73" s="48">
        <f>SUM(C69:C72)</f>
        <v>128417</v>
      </c>
      <c r="D73" s="48">
        <f>SUM(D69:D72)</f>
        <v>149496</v>
      </c>
      <c r="E73" s="280">
        <f>(+C73-D73)/D73</f>
        <v>-0.1410004281050998</v>
      </c>
      <c r="F73" s="48">
        <f>SUM(F69:F72)</f>
        <v>61894</v>
      </c>
      <c r="G73" s="48">
        <f>SUM(G69:G72)</f>
        <v>72730</v>
      </c>
      <c r="H73" s="42">
        <f>(+F73-G73)/G73</f>
        <v>-0.14898941289701637</v>
      </c>
      <c r="I73" s="50">
        <f>K73/C73</f>
        <v>72.48888067779188</v>
      </c>
      <c r="J73" s="50">
        <f>K73/F73</f>
        <v>150.39914353572237</v>
      </c>
      <c r="K73" s="48">
        <f>SUM(K69:K72)</f>
        <v>9308804.59</v>
      </c>
      <c r="L73" s="48">
        <f>SUM(L69:L72)</f>
        <v>10006133.36</v>
      </c>
      <c r="M73" s="44">
        <f>(+K73-L73)/L73</f>
        <v>-0.06969013353225982</v>
      </c>
      <c r="N73" s="10"/>
      <c r="R73" s="2"/>
    </row>
    <row r="74" spans="1:18" ht="15.75" customHeight="1" thickTop="1">
      <c r="A74" s="19"/>
      <c r="B74" s="45"/>
      <c r="C74" s="21"/>
      <c r="D74" s="21"/>
      <c r="E74" s="23"/>
      <c r="F74" s="21"/>
      <c r="G74" s="21"/>
      <c r="H74" s="23"/>
      <c r="I74" s="24"/>
      <c r="J74" s="24"/>
      <c r="K74" s="21"/>
      <c r="L74" s="21"/>
      <c r="M74" s="25"/>
      <c r="N74" s="10"/>
      <c r="R74" s="2"/>
    </row>
    <row r="75" spans="1:18" ht="15">
      <c r="A75" s="19" t="s">
        <v>17</v>
      </c>
      <c r="B75" s="20">
        <f>DATE(2022,7,1)</f>
        <v>44743</v>
      </c>
      <c r="C75" s="21">
        <v>376535</v>
      </c>
      <c r="D75" s="21">
        <v>395405</v>
      </c>
      <c r="E75" s="23">
        <f>(+C75-D75)/D75</f>
        <v>-0.047723220495441386</v>
      </c>
      <c r="F75" s="21">
        <f>+C75-192471</f>
        <v>184064</v>
      </c>
      <c r="G75" s="21">
        <f>+D75-202613</f>
        <v>192792</v>
      </c>
      <c r="H75" s="23">
        <f>(+F75-G75)/G75</f>
        <v>-0.04527158803269845</v>
      </c>
      <c r="I75" s="24">
        <f>K75/C75</f>
        <v>70.90780094811903</v>
      </c>
      <c r="J75" s="24">
        <f>K75/F75</f>
        <v>145.05426824365438</v>
      </c>
      <c r="K75" s="21">
        <v>26699268.83</v>
      </c>
      <c r="L75" s="21">
        <v>26479612.13</v>
      </c>
      <c r="M75" s="25">
        <f>(+K75-L75)/L75</f>
        <v>0.00829531410511636</v>
      </c>
      <c r="N75" s="10"/>
      <c r="R75" s="2"/>
    </row>
    <row r="76" spans="1:18" ht="15">
      <c r="A76" s="19"/>
      <c r="B76" s="20">
        <f>DATE(2022,8,1)</f>
        <v>44774</v>
      </c>
      <c r="C76" s="21">
        <v>348725</v>
      </c>
      <c r="D76" s="21">
        <v>360122</v>
      </c>
      <c r="E76" s="23">
        <f>(+C76-D76)/D76</f>
        <v>-0.031647608310516995</v>
      </c>
      <c r="F76" s="21">
        <f>+C76-177430</f>
        <v>171295</v>
      </c>
      <c r="G76" s="21">
        <f>+D76-186327</f>
        <v>173795</v>
      </c>
      <c r="H76" s="23">
        <f>(+F76-G76)/G76</f>
        <v>-0.014384763658333093</v>
      </c>
      <c r="I76" s="24">
        <f>K76/C76</f>
        <v>76.33593679833679</v>
      </c>
      <c r="J76" s="24">
        <f>K76/F76</f>
        <v>155.40587617852242</v>
      </c>
      <c r="K76" s="21">
        <v>26620249.56</v>
      </c>
      <c r="L76" s="21">
        <v>24423693.36</v>
      </c>
      <c r="M76" s="25">
        <f>(+K76-L76)/L76</f>
        <v>0.08993546420777694</v>
      </c>
      <c r="N76" s="10"/>
      <c r="R76" s="2"/>
    </row>
    <row r="77" spans="1:18" ht="15">
      <c r="A77" s="19"/>
      <c r="B77" s="20">
        <f>DATE(2022,9,1)</f>
        <v>44805</v>
      </c>
      <c r="C77" s="21">
        <v>351773</v>
      </c>
      <c r="D77" s="21">
        <v>353289</v>
      </c>
      <c r="E77" s="23">
        <f>(+C77-D77)/D77</f>
        <v>-0.004291104449897959</v>
      </c>
      <c r="F77" s="21">
        <f>+C77-180127</f>
        <v>171646</v>
      </c>
      <c r="G77" s="21">
        <f>+D77-183914</f>
        <v>169375</v>
      </c>
      <c r="H77" s="23">
        <f>(+F77-G77)/G77</f>
        <v>0.013408118081180812</v>
      </c>
      <c r="I77" s="24">
        <f>K77/C77</f>
        <v>69.59239259408766</v>
      </c>
      <c r="J77" s="24">
        <f>K77/F77</f>
        <v>142.62333360521072</v>
      </c>
      <c r="K77" s="21">
        <v>24480724.72</v>
      </c>
      <c r="L77" s="21">
        <v>23757941.86</v>
      </c>
      <c r="M77" s="25">
        <f>(+K77-L77)/L77</f>
        <v>0.030422789324899856</v>
      </c>
      <c r="N77" s="10"/>
      <c r="R77" s="2"/>
    </row>
    <row r="78" spans="1:18" ht="15" thickBot="1">
      <c r="A78" s="38"/>
      <c r="B78" s="45"/>
      <c r="C78" s="21"/>
      <c r="D78" s="21"/>
      <c r="E78" s="23"/>
      <c r="F78" s="21"/>
      <c r="G78" s="21"/>
      <c r="H78" s="23"/>
      <c r="I78" s="24"/>
      <c r="J78" s="24"/>
      <c r="K78" s="21"/>
      <c r="L78" s="21"/>
      <c r="M78" s="25"/>
      <c r="N78" s="10"/>
      <c r="R78" s="2"/>
    </row>
    <row r="79" spans="1:18" ht="16.5" thickBot="1" thickTop="1">
      <c r="A79" s="39" t="s">
        <v>14</v>
      </c>
      <c r="B79" s="40"/>
      <c r="C79" s="41">
        <f>SUM(C75:C78)</f>
        <v>1077033</v>
      </c>
      <c r="D79" s="41">
        <f>SUM(D75:D78)</f>
        <v>1108816</v>
      </c>
      <c r="E79" s="280">
        <f>(+C79-D79)/D79</f>
        <v>-0.028663908168713295</v>
      </c>
      <c r="F79" s="41">
        <f>SUM(F75:F78)</f>
        <v>527005</v>
      </c>
      <c r="G79" s="41">
        <f>SUM(G75:G78)</f>
        <v>535962</v>
      </c>
      <c r="H79" s="42">
        <f>(+F79-G79)/G79</f>
        <v>-0.016712005701896775</v>
      </c>
      <c r="I79" s="43">
        <f>K79/C79</f>
        <v>72.23570968577565</v>
      </c>
      <c r="J79" s="43">
        <f>K79/F79</f>
        <v>147.62714416371762</v>
      </c>
      <c r="K79" s="41">
        <f>SUM(K75:K78)</f>
        <v>77800243.11</v>
      </c>
      <c r="L79" s="41">
        <f>SUM(L75:L78)</f>
        <v>74661247.35</v>
      </c>
      <c r="M79" s="44">
        <f>(+K79-L79)/L79</f>
        <v>0.04204317328486216</v>
      </c>
      <c r="N79" s="10"/>
      <c r="R79" s="2"/>
    </row>
    <row r="80" spans="1:18" ht="15.75" customHeight="1" thickTop="1">
      <c r="A80" s="19"/>
      <c r="B80" s="45"/>
      <c r="C80" s="21"/>
      <c r="D80" s="21"/>
      <c r="E80" s="23"/>
      <c r="F80" s="21"/>
      <c r="G80" s="21"/>
      <c r="H80" s="23"/>
      <c r="I80" s="24"/>
      <c r="J80" s="24"/>
      <c r="K80" s="21"/>
      <c r="L80" s="21"/>
      <c r="M80" s="25"/>
      <c r="N80" s="10"/>
      <c r="R80" s="2"/>
    </row>
    <row r="81" spans="1:18" ht="15">
      <c r="A81" s="19" t="s">
        <v>56</v>
      </c>
      <c r="B81" s="20">
        <f>DATE(2022,7,1)</f>
        <v>44743</v>
      </c>
      <c r="C81" s="21">
        <v>68778</v>
      </c>
      <c r="D81" s="21">
        <v>70527</v>
      </c>
      <c r="E81" s="23">
        <f>(+C81-D81)/D81</f>
        <v>-0.024799013143902336</v>
      </c>
      <c r="F81" s="21">
        <f>+C81-29763</f>
        <v>39015</v>
      </c>
      <c r="G81" s="21">
        <f>+D81-30135</f>
        <v>40392</v>
      </c>
      <c r="H81" s="23">
        <f>(+F81-G81)/G81</f>
        <v>-0.03409090909090909</v>
      </c>
      <c r="I81" s="24">
        <f>K81/C81</f>
        <v>60.16359446334584</v>
      </c>
      <c r="J81" s="24">
        <f>K81/F81</f>
        <v>106.060020504934</v>
      </c>
      <c r="K81" s="21">
        <v>4137931.7</v>
      </c>
      <c r="L81" s="21">
        <v>4091344.57</v>
      </c>
      <c r="M81" s="25">
        <f>(+K81-L81)/L81</f>
        <v>0.011386752986195039</v>
      </c>
      <c r="N81" s="10"/>
      <c r="R81" s="2"/>
    </row>
    <row r="82" spans="1:18" ht="15">
      <c r="A82" s="19"/>
      <c r="B82" s="20">
        <f>DATE(2022,8,1)</f>
        <v>44774</v>
      </c>
      <c r="C82" s="21">
        <v>61732</v>
      </c>
      <c r="D82" s="21">
        <v>69916</v>
      </c>
      <c r="E82" s="23">
        <f>(+C82-D82)/D82</f>
        <v>-0.1170547514159849</v>
      </c>
      <c r="F82" s="21">
        <f>+C82-26815</f>
        <v>34917</v>
      </c>
      <c r="G82" s="21">
        <f>+D82-30124</f>
        <v>39792</v>
      </c>
      <c r="H82" s="23">
        <f>(+F82-G82)/G82</f>
        <v>-0.12251206272617611</v>
      </c>
      <c r="I82" s="24">
        <f>K82/C82</f>
        <v>59.28251133933779</v>
      </c>
      <c r="J82" s="24">
        <f>K82/F82</f>
        <v>104.80934759572702</v>
      </c>
      <c r="K82" s="21">
        <v>3659627.99</v>
      </c>
      <c r="L82" s="21">
        <v>3930320.16</v>
      </c>
      <c r="M82" s="25">
        <f>(+K82-L82)/L82</f>
        <v>-0.06887280399060414</v>
      </c>
      <c r="N82" s="10"/>
      <c r="R82" s="2"/>
    </row>
    <row r="83" spans="1:18" ht="15">
      <c r="A83" s="19"/>
      <c r="B83" s="20">
        <f>DATE(2022,9,1)</f>
        <v>44805</v>
      </c>
      <c r="C83" s="21">
        <v>62788</v>
      </c>
      <c r="D83" s="21">
        <v>66900</v>
      </c>
      <c r="E83" s="23">
        <f>(+C83-D83)/D83</f>
        <v>-0.06146487294469357</v>
      </c>
      <c r="F83" s="21">
        <f>+C83-27365</f>
        <v>35423</v>
      </c>
      <c r="G83" s="21">
        <f>+D83-28690</f>
        <v>38210</v>
      </c>
      <c r="H83" s="23">
        <f>(+F83-G83)/G83</f>
        <v>-0.0729390211986391</v>
      </c>
      <c r="I83" s="24">
        <f>K83/C83</f>
        <v>63.07989759189654</v>
      </c>
      <c r="J83" s="24">
        <f>K83/F83</f>
        <v>111.81042288908336</v>
      </c>
      <c r="K83" s="21">
        <v>3960660.61</v>
      </c>
      <c r="L83" s="21">
        <v>3635691.87</v>
      </c>
      <c r="M83" s="25">
        <f>(+K83-L83)/L83</f>
        <v>0.08938291571997264</v>
      </c>
      <c r="N83" s="10"/>
      <c r="R83" s="2"/>
    </row>
    <row r="84" spans="1:18" ht="15" thickBot="1">
      <c r="A84" s="38"/>
      <c r="B84" s="45"/>
      <c r="C84" s="21"/>
      <c r="D84" s="21"/>
      <c r="E84" s="23"/>
      <c r="F84" s="21"/>
      <c r="G84" s="21"/>
      <c r="H84" s="23"/>
      <c r="I84" s="24"/>
      <c r="J84" s="24"/>
      <c r="K84" s="21"/>
      <c r="L84" s="21"/>
      <c r="M84" s="25"/>
      <c r="N84" s="10"/>
      <c r="R84" s="2"/>
    </row>
    <row r="85" spans="1:18" ht="16.5" thickBot="1" thickTop="1">
      <c r="A85" s="26" t="s">
        <v>14</v>
      </c>
      <c r="B85" s="27"/>
      <c r="C85" s="28">
        <f>SUM(C81:C84)</f>
        <v>193298</v>
      </c>
      <c r="D85" s="28">
        <f>SUM(D81:D84)</f>
        <v>207343</v>
      </c>
      <c r="E85" s="280">
        <f>(+C85-D85)/D85</f>
        <v>-0.06773799935372789</v>
      </c>
      <c r="F85" s="28">
        <f>SUM(F81:F84)</f>
        <v>109355</v>
      </c>
      <c r="G85" s="28">
        <f>SUM(G81:G84)</f>
        <v>118394</v>
      </c>
      <c r="H85" s="42">
        <f>(+F85-G85)/G85</f>
        <v>-0.07634677432978022</v>
      </c>
      <c r="I85" s="43">
        <f>K85/C85</f>
        <v>60.829497977216526</v>
      </c>
      <c r="J85" s="43">
        <f>K85/F85</f>
        <v>107.52338987700608</v>
      </c>
      <c r="K85" s="28">
        <f>SUM(K81:K84)</f>
        <v>11758220.3</v>
      </c>
      <c r="L85" s="28">
        <f>SUM(L81:L84)</f>
        <v>11657356.600000001</v>
      </c>
      <c r="M85" s="44">
        <f>(+K85-L85)/L85</f>
        <v>0.008652364636421883</v>
      </c>
      <c r="N85" s="10"/>
      <c r="R85" s="2"/>
    </row>
    <row r="86" spans="1:18" ht="15.75" thickBot="1" thickTop="1">
      <c r="A86" s="63"/>
      <c r="B86" s="34"/>
      <c r="C86" s="35"/>
      <c r="D86" s="35"/>
      <c r="E86" s="29"/>
      <c r="F86" s="35"/>
      <c r="G86" s="35"/>
      <c r="H86" s="29"/>
      <c r="I86" s="36"/>
      <c r="J86" s="36"/>
      <c r="K86" s="35"/>
      <c r="L86" s="35"/>
      <c r="M86" s="37"/>
      <c r="N86" s="10"/>
      <c r="R86" s="2"/>
    </row>
    <row r="87" spans="1:18" ht="16.5" thickBot="1" thickTop="1">
      <c r="A87" s="64" t="s">
        <v>18</v>
      </c>
      <c r="B87" s="65"/>
      <c r="C87" s="28">
        <f>C85+C79+C37+C49+C55+C25+C13+C61+C67+C31+C73+C19+C43</f>
        <v>7398381</v>
      </c>
      <c r="D87" s="28">
        <f>D85+D79+D37+D49+D55+D25+D13+D61+D67+D31+D73+D19+D43</f>
        <v>7779324</v>
      </c>
      <c r="E87" s="279">
        <f>(+C87-D87)/D87</f>
        <v>-0.04896865074651731</v>
      </c>
      <c r="F87" s="28">
        <f>F85+F79+F37+F49+F55+F25+F13+F61+F67+F31+F73+F19+F43</f>
        <v>3791555</v>
      </c>
      <c r="G87" s="28">
        <f>G85+G79+G37+G49+G55+G25+G13+G61+G67+G31+G73+G19+G43</f>
        <v>3951933</v>
      </c>
      <c r="H87" s="30">
        <f>(+F87-G87)/G87</f>
        <v>-0.04058216574015804</v>
      </c>
      <c r="I87" s="31">
        <f>K87/C87</f>
        <v>65.98629554628236</v>
      </c>
      <c r="J87" s="31">
        <f>K87/F87</f>
        <v>128.75766149508578</v>
      </c>
      <c r="K87" s="28">
        <f>K85+K79+K37+K49+K55+K25+K13+K61+K67+K31+K73+K19+K43</f>
        <v>488191755.23</v>
      </c>
      <c r="L87" s="28">
        <f>L85+L79+L37+L49+L55+L25+L13+L61+L67+L31+L73+L19+L43</f>
        <v>472110767.01</v>
      </c>
      <c r="M87" s="32">
        <f>(+K87-L87)/L87</f>
        <v>0.03406189679139304</v>
      </c>
      <c r="N87" s="10"/>
      <c r="R87" s="2"/>
    </row>
    <row r="88" spans="1:18" ht="16.5" thickBot="1" thickTop="1">
      <c r="A88" s="64"/>
      <c r="B88" s="65"/>
      <c r="C88" s="28"/>
      <c r="D88" s="28"/>
      <c r="E88" s="29"/>
      <c r="F88" s="28"/>
      <c r="G88" s="28"/>
      <c r="H88" s="30"/>
      <c r="I88" s="31"/>
      <c r="J88" s="31"/>
      <c r="K88" s="28"/>
      <c r="L88" s="28"/>
      <c r="M88" s="32"/>
      <c r="N88" s="10"/>
      <c r="R88" s="2"/>
    </row>
    <row r="89" spans="1:18" ht="16.5" thickBot="1" thickTop="1">
      <c r="A89" s="64" t="s">
        <v>19</v>
      </c>
      <c r="B89" s="65"/>
      <c r="C89" s="28">
        <f>+C11+C17+C23+C29+C35+C41+C47+C53+C59+C65+C71+C77+C83</f>
        <v>2388371</v>
      </c>
      <c r="D89" s="28">
        <f>+D11+D17+D23+D29+D35+D41+D47+D53+D59+D65+D71+D77+D83</f>
        <v>2510273</v>
      </c>
      <c r="E89" s="279">
        <f>(+C89-D89)/D89</f>
        <v>-0.04856125210285893</v>
      </c>
      <c r="F89" s="28">
        <f>+F11+F17+F23+F29+F35+F41+F47+F53+F59+F65+F71+F77+F83</f>
        <v>1221008</v>
      </c>
      <c r="G89" s="28">
        <f>+G11+G17+G23+G29+G35+G41+G47+G53+G59+G65+G71+G77+G83</f>
        <v>1283769</v>
      </c>
      <c r="H89" s="30">
        <f>(+F89-G89)/G89</f>
        <v>-0.04888807877429662</v>
      </c>
      <c r="I89" s="31">
        <f>K89/C89</f>
        <v>66.07809070282633</v>
      </c>
      <c r="J89" s="31">
        <f>K89/F89</f>
        <v>129.25303975895326</v>
      </c>
      <c r="K89" s="28">
        <f>+K11+K17+K23+K29+K35+K41+K47+K53+K59+K65+K71+K77+K83</f>
        <v>157818995.57000002</v>
      </c>
      <c r="L89" s="28">
        <f>+L11+L17+L23+L29+L35+L41+L47+L53+L59+L65+L71+L77+L83</f>
        <v>152118831.92000002</v>
      </c>
      <c r="M89" s="32">
        <f>(+K89-L89)/L89</f>
        <v>0.037471781620028136</v>
      </c>
      <c r="N89" s="10"/>
      <c r="R89" s="2"/>
    </row>
    <row r="90" spans="1:18" ht="15" thickTop="1">
      <c r="A90" s="66"/>
      <c r="B90" s="67"/>
      <c r="C90" s="68"/>
      <c r="D90" s="67"/>
      <c r="E90" s="67"/>
      <c r="F90" s="67"/>
      <c r="G90" s="67"/>
      <c r="H90" s="67"/>
      <c r="I90" s="67"/>
      <c r="J90" s="67"/>
      <c r="K90" s="68"/>
      <c r="L90" s="68"/>
      <c r="M90" s="67"/>
      <c r="R90" s="2"/>
    </row>
    <row r="91" spans="1:18" ht="17.25">
      <c r="A91" s="264" t="s">
        <v>20</v>
      </c>
      <c r="B91" s="70"/>
      <c r="C91" s="71"/>
      <c r="D91" s="71"/>
      <c r="E91" s="71"/>
      <c r="F91" s="71"/>
      <c r="G91" s="71"/>
      <c r="H91" s="71"/>
      <c r="I91" s="71"/>
      <c r="J91" s="71"/>
      <c r="K91" s="198"/>
      <c r="L91" s="198"/>
      <c r="M91" s="71"/>
      <c r="N91" s="2"/>
      <c r="O91" s="2"/>
      <c r="P91" s="2"/>
      <c r="Q91" s="2"/>
      <c r="R91" s="2"/>
    </row>
    <row r="92" spans="1:18" ht="17.25">
      <c r="A92" s="69"/>
      <c r="B92" s="70"/>
      <c r="C92" s="71"/>
      <c r="D92" s="71"/>
      <c r="E92" s="71"/>
      <c r="F92" s="71"/>
      <c r="G92" s="71"/>
      <c r="H92" s="71"/>
      <c r="I92" s="71"/>
      <c r="J92" s="71"/>
      <c r="K92" s="198"/>
      <c r="L92" s="198"/>
      <c r="M92" s="71"/>
      <c r="N92" s="2"/>
      <c r="O92" s="2"/>
      <c r="P92" s="2"/>
      <c r="Q92" s="2"/>
      <c r="R92" s="2"/>
    </row>
    <row r="93" spans="1:18" ht="15">
      <c r="A93" s="72"/>
      <c r="B93" s="73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">
      <c r="A94" s="2"/>
      <c r="B94" s="73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ht="15">
      <c r="A95" s="2"/>
      <c r="B95" s="73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">
      <c r="A96" s="2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ht="15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ht="15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ht="15">
      <c r="A99" s="2"/>
      <c r="B99" s="73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ht="15">
      <c r="A100" s="2"/>
      <c r="B100" s="73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ht="15">
      <c r="A101" s="2"/>
      <c r="B101" s="73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ht="15">
      <c r="A102" s="2"/>
      <c r="B102" s="73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4"/>
      <c r="N102" s="2"/>
      <c r="O102" s="2"/>
      <c r="P102" s="2"/>
      <c r="Q102" s="2"/>
      <c r="R102" s="2"/>
    </row>
    <row r="103" spans="1:18" ht="15">
      <c r="A103" s="2"/>
      <c r="B103" s="73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4"/>
      <c r="N103" s="2"/>
      <c r="O103" s="2"/>
      <c r="P103" s="2"/>
      <c r="Q103" s="2"/>
      <c r="R103" s="2"/>
    </row>
    <row r="104" spans="1:18" ht="15">
      <c r="A104" s="2"/>
      <c r="B104" s="70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4"/>
      <c r="N104" s="2"/>
      <c r="O104" s="2"/>
      <c r="P104" s="2"/>
      <c r="Q104" s="2"/>
      <c r="R104" s="2"/>
    </row>
    <row r="105" spans="1:18" ht="15">
      <c r="A105" s="76"/>
      <c r="B105" s="70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ht="15">
      <c r="A106" s="76"/>
      <c r="B106" s="70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76"/>
      <c r="B107" s="70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0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76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7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7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ht="15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ht="15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ht="15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2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">
      <c r="A122" s="76"/>
      <c r="B122" s="2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2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2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76"/>
      <c r="B125" s="2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76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76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77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">
      <c r="A135" s="2"/>
      <c r="B135" s="77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77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77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">
      <c r="A138" s="2"/>
      <c r="B138" s="77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">
      <c r="A139" s="2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">
      <c r="A140" s="76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76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76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76"/>
      <c r="B152" s="76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A4" sqref="A4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2.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2.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2.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2.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3.25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5.7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5.7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">
      <c r="A10" s="88">
        <f>DATE(2022,7,1)</f>
        <v>44743</v>
      </c>
      <c r="B10" s="89">
        <f>'MONTHLY STATS'!$C$9*2</f>
        <v>435886</v>
      </c>
      <c r="C10" s="89">
        <f>'MONTHLY STATS'!$C$15*2</f>
        <v>229430</v>
      </c>
      <c r="D10" s="89">
        <f>'MONTHLY STATS'!$C$21*2</f>
        <v>113088</v>
      </c>
      <c r="E10" s="89">
        <f>'MONTHLY STATS'!$C$27*2</f>
        <v>655394</v>
      </c>
      <c r="F10" s="89">
        <f>'MONTHLY STATS'!$C$33*2</f>
        <v>438260</v>
      </c>
      <c r="G10" s="89">
        <f>'MONTHLY STATS'!$C$39*2</f>
        <v>190536</v>
      </c>
      <c r="H10" s="89">
        <f>'MONTHLY STATS'!$C$45*2</f>
        <v>441192</v>
      </c>
      <c r="I10" s="89">
        <f>'MONTHLY STATS'!$C$51*2</f>
        <v>452600</v>
      </c>
      <c r="J10" s="89">
        <f>'MONTHLY STATS'!$C$57*2</f>
        <v>542674</v>
      </c>
      <c r="K10" s="89">
        <f>'MONTHLY STATS'!$C$63*2</f>
        <v>717812</v>
      </c>
      <c r="L10" s="89">
        <f>'MONTHLY STATS'!$C$69*2</f>
        <v>91486</v>
      </c>
      <c r="M10" s="89">
        <f>'MONTHLY STATS'!$C$75*2</f>
        <v>753070</v>
      </c>
      <c r="N10" s="89">
        <f>'MONTHLY STATS'!$C$81*2</f>
        <v>137556</v>
      </c>
      <c r="O10" s="90">
        <f>SUM(B10:N10)</f>
        <v>5198984</v>
      </c>
      <c r="P10" s="83"/>
    </row>
    <row r="11" spans="1:16" ht="15">
      <c r="A11" s="88">
        <f>DATE(2022,8,1)</f>
        <v>44774</v>
      </c>
      <c r="B11" s="89">
        <f>'MONTHLY STATS'!$C$10*2</f>
        <v>398888</v>
      </c>
      <c r="C11" s="89">
        <f>'MONTHLY STATS'!$C$16*2</f>
        <v>207568</v>
      </c>
      <c r="D11" s="89">
        <f>'MONTHLY STATS'!$C$22*2</f>
        <v>99338</v>
      </c>
      <c r="E11" s="89">
        <f>'MONTHLY STATS'!$C$28*2</f>
        <v>605550</v>
      </c>
      <c r="F11" s="89">
        <f>'MONTHLY STATS'!$C$34*2</f>
        <v>408762</v>
      </c>
      <c r="G11" s="89">
        <f>'MONTHLY STATS'!$C$40*2</f>
        <v>170412</v>
      </c>
      <c r="H11" s="89">
        <f>'MONTHLY STATS'!$C$46*2</f>
        <v>408416</v>
      </c>
      <c r="I11" s="89">
        <f>'MONTHLY STATS'!$C$52*2</f>
        <v>465208</v>
      </c>
      <c r="J11" s="89">
        <f>'MONTHLY STATS'!$C$58*2</f>
        <v>489244</v>
      </c>
      <c r="K11" s="89">
        <f>'MONTHLY STATS'!$C$64*2</f>
        <v>664780</v>
      </c>
      <c r="L11" s="89">
        <f>'MONTHLY STATS'!$C$70*2</f>
        <v>81956</v>
      </c>
      <c r="M11" s="89">
        <f>'MONTHLY STATS'!$C$76*2</f>
        <v>697450</v>
      </c>
      <c r="N11" s="89">
        <f>'MONTHLY STATS'!$C$82*2</f>
        <v>123464</v>
      </c>
      <c r="O11" s="90">
        <f>SUM(B11:N11)</f>
        <v>4821036</v>
      </c>
      <c r="P11" s="83"/>
    </row>
    <row r="12" spans="1:16" ht="15">
      <c r="A12" s="88">
        <f>DATE(2022,9,1)</f>
        <v>44805</v>
      </c>
      <c r="B12" s="89">
        <f>'MONTHLY STATS'!$C$11*2</f>
        <v>381706</v>
      </c>
      <c r="C12" s="89">
        <f>'MONTHLY STATS'!$C$17*2</f>
        <v>214380</v>
      </c>
      <c r="D12" s="89">
        <f>'MONTHLY STATS'!$C$23*2</f>
        <v>101020</v>
      </c>
      <c r="E12" s="89">
        <f>'MONTHLY STATS'!$C$29*2</f>
        <v>599172</v>
      </c>
      <c r="F12" s="89">
        <f>'MONTHLY STATS'!$C$35*2</f>
        <v>391758</v>
      </c>
      <c r="G12" s="89">
        <f>'MONTHLY STATS'!$C$41*2</f>
        <v>168642</v>
      </c>
      <c r="H12" s="89">
        <f>'MONTHLY STATS'!$C$47*2</f>
        <v>405276</v>
      </c>
      <c r="I12" s="89">
        <f>'MONTHLY STATS'!$C$53*2</f>
        <v>459598</v>
      </c>
      <c r="J12" s="89">
        <f>'MONTHLY STATS'!$C$59*2</f>
        <v>476474</v>
      </c>
      <c r="K12" s="89">
        <f>'MONTHLY STATS'!$C$65*2</f>
        <v>666202</v>
      </c>
      <c r="L12" s="89">
        <f>'MONTHLY STATS'!$C$71*2</f>
        <v>83392</v>
      </c>
      <c r="M12" s="89">
        <f>'MONTHLY STATS'!$C$77*2</f>
        <v>703546</v>
      </c>
      <c r="N12" s="89">
        <f>'MONTHLY STATS'!$C$83*2</f>
        <v>125576</v>
      </c>
      <c r="O12" s="90">
        <f>SUM(B12:N12)</f>
        <v>4776742</v>
      </c>
      <c r="P12" s="83"/>
    </row>
    <row r="13" spans="1:16" ht="1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">
      <c r="A23" s="91" t="s">
        <v>27</v>
      </c>
      <c r="B23" s="90">
        <f aca="true" t="shared" si="0" ref="B23:O23">SUM(B10:B21)</f>
        <v>1216480</v>
      </c>
      <c r="C23" s="90">
        <f t="shared" si="0"/>
        <v>651378</v>
      </c>
      <c r="D23" s="90">
        <f t="shared" si="0"/>
        <v>313446</v>
      </c>
      <c r="E23" s="90">
        <f t="shared" si="0"/>
        <v>1860116</v>
      </c>
      <c r="F23" s="90">
        <f t="shared" si="0"/>
        <v>1238780</v>
      </c>
      <c r="G23" s="90">
        <f>SUM(G10:G21)</f>
        <v>529590</v>
      </c>
      <c r="H23" s="90">
        <f t="shared" si="0"/>
        <v>1254884</v>
      </c>
      <c r="I23" s="90">
        <f>SUM(I10:I21)</f>
        <v>1377406</v>
      </c>
      <c r="J23" s="90">
        <f t="shared" si="0"/>
        <v>1508392</v>
      </c>
      <c r="K23" s="90">
        <f>SUM(K10:K21)</f>
        <v>2048794</v>
      </c>
      <c r="L23" s="90">
        <f t="shared" si="0"/>
        <v>256834</v>
      </c>
      <c r="M23" s="90">
        <f t="shared" si="0"/>
        <v>2154066</v>
      </c>
      <c r="N23" s="90">
        <f t="shared" si="0"/>
        <v>386596</v>
      </c>
      <c r="O23" s="90">
        <f t="shared" si="0"/>
        <v>14796762</v>
      </c>
      <c r="P23" s="83"/>
    </row>
    <row r="24" spans="1:16" ht="15.7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3.25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5.7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5.7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">
      <c r="A31" s="88">
        <f>DATE(2022,7,1)</f>
        <v>44743</v>
      </c>
      <c r="B31" s="89">
        <f>'MONTHLY STATS'!$K$9*0.21</f>
        <v>3359049.834</v>
      </c>
      <c r="C31" s="89">
        <f>'MONTHLY STATS'!$K$15*0.21</f>
        <v>1763108.3841000001</v>
      </c>
      <c r="D31" s="89">
        <f>'MONTHLY STATS'!$K$21*0.21</f>
        <v>795167.667</v>
      </c>
      <c r="E31" s="89">
        <f>'MONTHLY STATS'!$K$27*0.21</f>
        <v>4494852.0204</v>
      </c>
      <c r="F31" s="89">
        <f>'MONTHLY STATS'!$K$33*0.21</f>
        <v>3165394.9026</v>
      </c>
      <c r="G31" s="89">
        <f>'MONTHLY STATS'!$K$39*0.21</f>
        <v>1314631.521</v>
      </c>
      <c r="H31" s="89">
        <f>'MONTHLY STATS'!$K$45*0.21</f>
        <v>2227424.3922</v>
      </c>
      <c r="I31" s="89">
        <f>'MONTHLY STATS'!$K$51*0.21</f>
        <v>2765364.9954</v>
      </c>
      <c r="J31" s="89">
        <f>'MONTHLY STATS'!$K$57*0.21</f>
        <v>3822954.2358</v>
      </c>
      <c r="K31" s="89">
        <f>'MONTHLY STATS'!$K$63*0.21</f>
        <v>4703370.6279</v>
      </c>
      <c r="L31" s="89">
        <f>'MONTHLY STATS'!$K$69*0.21</f>
        <v>683300.6628</v>
      </c>
      <c r="M31" s="89">
        <f>'MONTHLY STATS'!$K$75*0.21</f>
        <v>5606846.454299999</v>
      </c>
      <c r="N31" s="89">
        <f>'MONTHLY STATS'!$K$81*0.21</f>
        <v>868965.657</v>
      </c>
      <c r="O31" s="90">
        <f>SUM(B31:N31)</f>
        <v>35570431.354499996</v>
      </c>
      <c r="P31" s="83"/>
    </row>
    <row r="32" spans="1:16" ht="15">
      <c r="A32" s="88">
        <f>DATE(2022,8,1)</f>
        <v>44774</v>
      </c>
      <c r="B32" s="89">
        <f>'MONTHLY STATS'!$K$10*0.21</f>
        <v>3189544.3587</v>
      </c>
      <c r="C32" s="89">
        <f>'MONTHLY STATS'!$K$16*0.21</f>
        <v>1588851.9213</v>
      </c>
      <c r="D32" s="89">
        <f>'MONTHLY STATS'!$K$22*0.21</f>
        <v>734372.8370999999</v>
      </c>
      <c r="E32" s="89">
        <f>'MONTHLY STATS'!$K$28*0.21</f>
        <v>4061739.5322</v>
      </c>
      <c r="F32" s="89">
        <f>'MONTHLY STATS'!$K$34*0.21</f>
        <v>3214879.5693</v>
      </c>
      <c r="G32" s="89">
        <f>'MONTHLY STATS'!$K$40*0.21</f>
        <v>1147680.3639</v>
      </c>
      <c r="H32" s="89">
        <f>'MONTHLY STATS'!$K$46*0.21</f>
        <v>2163098.6937</v>
      </c>
      <c r="I32" s="89">
        <f>'MONTHLY STATS'!$K$52*0.21</f>
        <v>2924821.5045</v>
      </c>
      <c r="J32" s="89">
        <f>'MONTHLY STATS'!$K$58*0.21</f>
        <v>3452400.8778</v>
      </c>
      <c r="K32" s="89">
        <f>'MONTHLY STATS'!$K$64*0.21</f>
        <v>4351356.3975</v>
      </c>
      <c r="L32" s="89">
        <f>'MONTHLY STATS'!$K$70*0.21</f>
        <v>620327.8326</v>
      </c>
      <c r="M32" s="89">
        <f>'MONTHLY STATS'!$K$76*0.21</f>
        <v>5590252.4076</v>
      </c>
      <c r="N32" s="89">
        <f>'MONTHLY STATS'!$K$82*0.21</f>
        <v>768521.8779</v>
      </c>
      <c r="O32" s="90">
        <f>SUM(B32:N32)</f>
        <v>33807848.1741</v>
      </c>
      <c r="P32" s="83"/>
    </row>
    <row r="33" spans="1:16" ht="15">
      <c r="A33" s="88">
        <f>DATE(2022,9,1)</f>
        <v>44805</v>
      </c>
      <c r="B33" s="89">
        <f>'MONTHLY STATS'!$K$11*0.21</f>
        <v>2913784.8915</v>
      </c>
      <c r="C33" s="89">
        <f>'MONTHLY STATS'!$K$17*0.21</f>
        <v>1636722.8934</v>
      </c>
      <c r="D33" s="89">
        <f>'MONTHLY STATS'!$K$23*0.21</f>
        <v>755328.8925</v>
      </c>
      <c r="E33" s="89">
        <f>'MONTHLY STATS'!$K$29*0.21</f>
        <v>4442371.4013</v>
      </c>
      <c r="F33" s="89">
        <f>'MONTHLY STATS'!$K$35*0.21</f>
        <v>2907957.2151</v>
      </c>
      <c r="G33" s="89">
        <f>'MONTHLY STATS'!$K$41*0.21</f>
        <v>1129976.358</v>
      </c>
      <c r="H33" s="89">
        <f>'MONTHLY STATS'!$K$47*0.21</f>
        <v>2064167.763</v>
      </c>
      <c r="I33" s="89">
        <f>'MONTHLY STATS'!$K$53*0.21</f>
        <v>2839609.1870999997</v>
      </c>
      <c r="J33" s="89">
        <f>'MONTHLY STATS'!$K$59*0.21</f>
        <v>3561956.9558999995</v>
      </c>
      <c r="K33" s="89">
        <f>'MONTHLY STATS'!$K$65*0.21</f>
        <v>4266202.1241</v>
      </c>
      <c r="L33" s="89">
        <f>'MONTHLY STATS'!$K$71*0.21</f>
        <v>651220.4685</v>
      </c>
      <c r="M33" s="89">
        <f>'MONTHLY STATS'!$K$77*0.21</f>
        <v>5140952.191199999</v>
      </c>
      <c r="N33" s="89">
        <f>'MONTHLY STATS'!$K$83*0.21</f>
        <v>831738.7281</v>
      </c>
      <c r="O33" s="90">
        <f>SUM(B33:N33)</f>
        <v>33141989.069699995</v>
      </c>
      <c r="P33" s="83"/>
    </row>
    <row r="34" spans="1:16" ht="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">
      <c r="A44" s="91" t="s">
        <v>27</v>
      </c>
      <c r="B44" s="90">
        <f aca="true" t="shared" si="1" ref="B44:O44">SUM(B31:B42)</f>
        <v>9462379.0842</v>
      </c>
      <c r="C44" s="90">
        <f t="shared" si="1"/>
        <v>4988683.198799999</v>
      </c>
      <c r="D44" s="90">
        <f t="shared" si="1"/>
        <v>2284869.3966</v>
      </c>
      <c r="E44" s="90">
        <f t="shared" si="1"/>
        <v>12998962.9539</v>
      </c>
      <c r="F44" s="90">
        <f t="shared" si="1"/>
        <v>9288231.687</v>
      </c>
      <c r="G44" s="90">
        <f t="shared" si="1"/>
        <v>3592288.2429</v>
      </c>
      <c r="H44" s="90">
        <f t="shared" si="1"/>
        <v>6454690.848900001</v>
      </c>
      <c r="I44" s="90">
        <f>SUM(I31:I42)</f>
        <v>8529795.686999999</v>
      </c>
      <c r="J44" s="90">
        <f t="shared" si="1"/>
        <v>10837312.0695</v>
      </c>
      <c r="K44" s="90">
        <f>SUM(K31:K42)</f>
        <v>13320929.1495</v>
      </c>
      <c r="L44" s="90">
        <f t="shared" si="1"/>
        <v>1954848.9638999999</v>
      </c>
      <c r="M44" s="90">
        <f t="shared" si="1"/>
        <v>16338051.053099997</v>
      </c>
      <c r="N44" s="90">
        <f t="shared" si="1"/>
        <v>2469226.263</v>
      </c>
      <c r="O44" s="90">
        <f t="shared" si="1"/>
        <v>102520268.59829998</v>
      </c>
      <c r="P44" s="83"/>
    </row>
    <row r="45" spans="1:16" ht="15.7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">
      <c r="A49" s="115"/>
      <c r="B49" s="98"/>
      <c r="C49" s="98"/>
      <c r="D49" s="98"/>
      <c r="E49" s="98"/>
      <c r="F49" s="98"/>
      <c r="G49" s="98"/>
      <c r="H49" s="98"/>
      <c r="I49" s="98"/>
    </row>
    <row r="50" ht="1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2"/>
  <sheetViews>
    <sheetView showOutlineSymbols="0" zoomScalePageLayoutView="0" workbookViewId="0" topLeftCell="A1">
      <selection activeCell="A5" sqref="A5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7.25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">
      <c r="A5" s="117"/>
      <c r="B5" s="117"/>
      <c r="C5" s="200"/>
      <c r="D5" s="200"/>
      <c r="E5" s="200"/>
      <c r="F5" s="117"/>
      <c r="G5" s="211" t="s">
        <v>1</v>
      </c>
    </row>
    <row r="6" spans="1:8" ht="15.7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5.7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>(+D9-E9)/E9</f>
        <v>0.2566573202559024</v>
      </c>
      <c r="G9" s="215">
        <f>D9/C9</f>
        <v>0.19344916872828888</v>
      </c>
      <c r="H9" s="123"/>
    </row>
    <row r="10" spans="1:8" ht="1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>(+D10-E10)/E10</f>
        <v>0.2926934085122923</v>
      </c>
      <c r="G10" s="215">
        <f>D10/C10</f>
        <v>0.2128511063255812</v>
      </c>
      <c r="H10" s="123"/>
    </row>
    <row r="11" spans="1:8" ht="1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>(+D11-E11)/E11</f>
        <v>0.038312502105668965</v>
      </c>
      <c r="G11" s="215">
        <f>D11/C11</f>
        <v>0.15063131234930932</v>
      </c>
      <c r="H11" s="123"/>
    </row>
    <row r="12" spans="1:8" ht="15" thickBot="1">
      <c r="A12" s="133"/>
      <c r="B12" s="134"/>
      <c r="C12" s="204"/>
      <c r="D12" s="204"/>
      <c r="E12" s="204"/>
      <c r="F12" s="132"/>
      <c r="G12" s="215"/>
      <c r="H12" s="123"/>
    </row>
    <row r="13" spans="1:8" ht="16.5" thickBot="1" thickTop="1">
      <c r="A13" s="135" t="s">
        <v>14</v>
      </c>
      <c r="B13" s="136"/>
      <c r="C13" s="201">
        <f>SUM(C9:C12)</f>
        <v>44214828.25</v>
      </c>
      <c r="D13" s="201">
        <f>SUM(D9:D12)</f>
        <v>8274633.85</v>
      </c>
      <c r="E13" s="201">
        <f>SUM(E9:E12)</f>
        <v>6850614.0600000005</v>
      </c>
      <c r="F13" s="137">
        <f>(+D13-E13)/E13</f>
        <v>0.20786746670122574</v>
      </c>
      <c r="G13" s="212">
        <f>D13/C13</f>
        <v>0.18714612670693795</v>
      </c>
      <c r="H13" s="123"/>
    </row>
    <row r="14" spans="1:8" ht="15.75" customHeight="1" thickTop="1">
      <c r="A14" s="138"/>
      <c r="B14" s="139"/>
      <c r="C14" s="205"/>
      <c r="D14" s="205"/>
      <c r="E14" s="205"/>
      <c r="F14" s="140"/>
      <c r="G14" s="216"/>
      <c r="H14" s="123"/>
    </row>
    <row r="15" spans="1:8" ht="15">
      <c r="A15" s="19" t="s">
        <v>15</v>
      </c>
      <c r="B15" s="131">
        <f>DATE(2022,7,1)</f>
        <v>44743</v>
      </c>
      <c r="C15" s="204">
        <v>2670326</v>
      </c>
      <c r="D15" s="204">
        <v>637839.5</v>
      </c>
      <c r="E15" s="204">
        <v>753311.5</v>
      </c>
      <c r="F15" s="132">
        <f>(+D15-E15)/E15</f>
        <v>-0.15328585850607618</v>
      </c>
      <c r="G15" s="215">
        <f>D15/C15</f>
        <v>0.23886203407374232</v>
      </c>
      <c r="H15" s="123"/>
    </row>
    <row r="16" spans="1:8" ht="15">
      <c r="A16" s="19"/>
      <c r="B16" s="131">
        <f>DATE(2022,8,1)</f>
        <v>44774</v>
      </c>
      <c r="C16" s="204">
        <v>2364635</v>
      </c>
      <c r="D16" s="204">
        <v>695761.5</v>
      </c>
      <c r="E16" s="204">
        <v>615974.5</v>
      </c>
      <c r="F16" s="132">
        <f>(+D16-E16)/E16</f>
        <v>0.12952971267479416</v>
      </c>
      <c r="G16" s="215">
        <f>D16/C16</f>
        <v>0.2942363197702817</v>
      </c>
      <c r="H16" s="123"/>
    </row>
    <row r="17" spans="1:8" ht="15">
      <c r="A17" s="19"/>
      <c r="B17" s="131">
        <f>DATE(2022,9,1)</f>
        <v>44805</v>
      </c>
      <c r="C17" s="204">
        <v>2764905</v>
      </c>
      <c r="D17" s="204">
        <v>780368</v>
      </c>
      <c r="E17" s="204">
        <v>858656</v>
      </c>
      <c r="F17" s="132">
        <f>(+D17-E17)/E17</f>
        <v>-0.09117504565274102</v>
      </c>
      <c r="G17" s="215">
        <f>D17/C17</f>
        <v>0.28224043864074894</v>
      </c>
      <c r="H17" s="123"/>
    </row>
    <row r="18" spans="1:8" ht="15" thickBot="1">
      <c r="A18" s="133"/>
      <c r="B18" s="131"/>
      <c r="C18" s="204"/>
      <c r="D18" s="204"/>
      <c r="E18" s="204"/>
      <c r="F18" s="132"/>
      <c r="G18" s="215"/>
      <c r="H18" s="123"/>
    </row>
    <row r="19" spans="1:8" ht="16.5" thickBot="1" thickTop="1">
      <c r="A19" s="135" t="s">
        <v>14</v>
      </c>
      <c r="B19" s="136"/>
      <c r="C19" s="201">
        <f>SUM(C15:C18)</f>
        <v>7799866</v>
      </c>
      <c r="D19" s="201">
        <f>SUM(D15:D18)</f>
        <v>2113969</v>
      </c>
      <c r="E19" s="201">
        <f>SUM(E15:E18)</f>
        <v>2227942</v>
      </c>
      <c r="F19" s="137">
        <f>(+D19-E19)/E19</f>
        <v>-0.05115617911058726</v>
      </c>
      <c r="G19" s="212">
        <f>D19/C19</f>
        <v>0.27102632275990385</v>
      </c>
      <c r="H19" s="123"/>
    </row>
    <row r="20" spans="1:8" ht="15.75" customHeight="1" thickTop="1">
      <c r="A20" s="255"/>
      <c r="B20" s="139"/>
      <c r="C20" s="205"/>
      <c r="D20" s="205"/>
      <c r="E20" s="205"/>
      <c r="F20" s="140"/>
      <c r="G20" s="219"/>
      <c r="H20" s="123"/>
    </row>
    <row r="21" spans="1:8" ht="15">
      <c r="A21" s="19" t="s">
        <v>62</v>
      </c>
      <c r="B21" s="131">
        <f>DATE(2022,7,1)</f>
        <v>44743</v>
      </c>
      <c r="C21" s="204">
        <v>1113934</v>
      </c>
      <c r="D21" s="204">
        <v>249087.5</v>
      </c>
      <c r="E21" s="204">
        <v>419659</v>
      </c>
      <c r="F21" s="132">
        <f>(+D21-E21)/E21</f>
        <v>-0.4064526198651762</v>
      </c>
      <c r="G21" s="215">
        <f>D21/C21</f>
        <v>0.2236106447958317</v>
      </c>
      <c r="H21" s="123"/>
    </row>
    <row r="22" spans="1:8" ht="15">
      <c r="A22" s="19"/>
      <c r="B22" s="131">
        <f>DATE(2022,8,1)</f>
        <v>44774</v>
      </c>
      <c r="C22" s="204">
        <v>982269</v>
      </c>
      <c r="D22" s="204">
        <v>272495.5</v>
      </c>
      <c r="E22" s="204">
        <v>283741.5</v>
      </c>
      <c r="F22" s="132">
        <f>(+D22-E22)/E22</f>
        <v>-0.03963466747021497</v>
      </c>
      <c r="G22" s="215">
        <f>D22/C22</f>
        <v>0.2774143335481421</v>
      </c>
      <c r="H22" s="123"/>
    </row>
    <row r="23" spans="1:8" ht="15">
      <c r="A23" s="19"/>
      <c r="B23" s="131">
        <f>DATE(2022,9,1)</f>
        <v>44805</v>
      </c>
      <c r="C23" s="204">
        <v>1082836</v>
      </c>
      <c r="D23" s="204">
        <v>310850</v>
      </c>
      <c r="E23" s="204">
        <v>271461</v>
      </c>
      <c r="F23" s="132">
        <f>(+D23-E23)/E23</f>
        <v>0.14510003278555667</v>
      </c>
      <c r="G23" s="215">
        <f>D23/C23</f>
        <v>0.2870702488650174</v>
      </c>
      <c r="H23" s="123"/>
    </row>
    <row r="24" spans="1:8" ht="15" thickBot="1">
      <c r="A24" s="133"/>
      <c r="B24" s="131"/>
      <c r="C24" s="204"/>
      <c r="D24" s="204"/>
      <c r="E24" s="204"/>
      <c r="F24" s="132"/>
      <c r="G24" s="215"/>
      <c r="H24" s="123"/>
    </row>
    <row r="25" spans="1:8" ht="16.5" thickBot="1" thickTop="1">
      <c r="A25" s="141" t="s">
        <v>14</v>
      </c>
      <c r="B25" s="142"/>
      <c r="C25" s="206">
        <f>SUM(C21:C24)</f>
        <v>3179039</v>
      </c>
      <c r="D25" s="206">
        <f>SUM(D21:D24)</f>
        <v>832433</v>
      </c>
      <c r="E25" s="206">
        <f>SUM(E21:E24)</f>
        <v>974861.5</v>
      </c>
      <c r="F25" s="143">
        <f>(+D25-E25)/E25</f>
        <v>-0.14610126669275583</v>
      </c>
      <c r="G25" s="217">
        <f>D25/C25</f>
        <v>0.2618505152028648</v>
      </c>
      <c r="H25" s="123"/>
    </row>
    <row r="26" spans="1:8" ht="15" thickTop="1">
      <c r="A26" s="133"/>
      <c r="B26" s="134"/>
      <c r="C26" s="204"/>
      <c r="D26" s="204"/>
      <c r="E26" s="204"/>
      <c r="F26" s="132"/>
      <c r="G26" s="218"/>
      <c r="H26" s="123"/>
    </row>
    <row r="27" spans="1:8" ht="15">
      <c r="A27" s="177" t="s">
        <v>58</v>
      </c>
      <c r="B27" s="131">
        <f>DATE(2022,7,1)</f>
        <v>44743</v>
      </c>
      <c r="C27" s="204">
        <v>14706873</v>
      </c>
      <c r="D27" s="204">
        <v>3390213</v>
      </c>
      <c r="E27" s="204">
        <v>2503983</v>
      </c>
      <c r="F27" s="132">
        <f>(+D27-E27)/E27</f>
        <v>0.3539281217164813</v>
      </c>
      <c r="G27" s="215">
        <f>D27/C27</f>
        <v>0.23051895532109376</v>
      </c>
      <c r="H27" s="123"/>
    </row>
    <row r="28" spans="1:8" ht="15">
      <c r="A28" s="177"/>
      <c r="B28" s="131">
        <f>DATE(2022,8,1)</f>
        <v>44774</v>
      </c>
      <c r="C28" s="204">
        <v>13496707</v>
      </c>
      <c r="D28" s="204">
        <v>2096973.67</v>
      </c>
      <c r="E28" s="204">
        <v>2387806</v>
      </c>
      <c r="F28" s="132">
        <f>(+D28-E28)/E28</f>
        <v>-0.12179897780640474</v>
      </c>
      <c r="G28" s="215">
        <f>D28/C28</f>
        <v>0.15536928155882765</v>
      </c>
      <c r="H28" s="123"/>
    </row>
    <row r="29" spans="1:8" ht="15">
      <c r="A29" s="177"/>
      <c r="B29" s="131">
        <f>DATE(2022,9,1)</f>
        <v>44805</v>
      </c>
      <c r="C29" s="204">
        <v>14000972</v>
      </c>
      <c r="D29" s="204">
        <v>3937084.53</v>
      </c>
      <c r="E29" s="204">
        <v>2689723.5</v>
      </c>
      <c r="F29" s="132">
        <f>(+D29-E29)/E29</f>
        <v>0.463750653180522</v>
      </c>
      <c r="G29" s="215">
        <f>D29/C29</f>
        <v>0.281200800201586</v>
      </c>
      <c r="H29" s="123"/>
    </row>
    <row r="30" spans="1:8" ht="15.75" customHeight="1" thickBot="1">
      <c r="A30" s="133"/>
      <c r="B30" s="134"/>
      <c r="C30" s="204"/>
      <c r="D30" s="204"/>
      <c r="E30" s="204"/>
      <c r="F30" s="132"/>
      <c r="G30" s="215"/>
      <c r="H30" s="123"/>
    </row>
    <row r="31" spans="1:8" ht="17.25" customHeight="1" thickBot="1" thickTop="1">
      <c r="A31" s="141" t="s">
        <v>14</v>
      </c>
      <c r="B31" s="142"/>
      <c r="C31" s="206">
        <f>SUM(C27:C30)</f>
        <v>42204552</v>
      </c>
      <c r="D31" s="206">
        <f>SUM(D27:D30)</f>
        <v>9424271.2</v>
      </c>
      <c r="E31" s="206">
        <f>SUM(E27:E30)</f>
        <v>7581512.5</v>
      </c>
      <c r="F31" s="143">
        <f>(+D31-E31)/E31</f>
        <v>0.24305950824456193</v>
      </c>
      <c r="G31" s="217">
        <f>D31/C31</f>
        <v>0.22329987533098325</v>
      </c>
      <c r="H31" s="123"/>
    </row>
    <row r="32" spans="1:8" ht="15.75" customHeight="1" thickTop="1">
      <c r="A32" s="133"/>
      <c r="B32" s="134"/>
      <c r="C32" s="204"/>
      <c r="D32" s="204"/>
      <c r="E32" s="204"/>
      <c r="F32" s="132"/>
      <c r="G32" s="218"/>
      <c r="H32" s="123"/>
    </row>
    <row r="33" spans="1:8" ht="15" customHeight="1">
      <c r="A33" s="130" t="s">
        <v>60</v>
      </c>
      <c r="B33" s="131">
        <f>DATE(2022,7,1)</f>
        <v>44743</v>
      </c>
      <c r="C33" s="204">
        <v>14151945</v>
      </c>
      <c r="D33" s="204">
        <v>3195567.5</v>
      </c>
      <c r="E33" s="204">
        <v>3475895.5</v>
      </c>
      <c r="F33" s="132">
        <f>(+D33-E33)/E33</f>
        <v>-0.08064914494696403</v>
      </c>
      <c r="G33" s="215">
        <f>D33/C33</f>
        <v>0.22580412091765478</v>
      </c>
      <c r="H33" s="123"/>
    </row>
    <row r="34" spans="1:8" ht="15" customHeight="1">
      <c r="A34" s="130"/>
      <c r="B34" s="131">
        <f>DATE(2022,8,1)</f>
        <v>44774</v>
      </c>
      <c r="C34" s="204">
        <v>12695452</v>
      </c>
      <c r="D34" s="204">
        <v>3909171</v>
      </c>
      <c r="E34" s="204">
        <v>1742952</v>
      </c>
      <c r="F34" s="132">
        <f>(+D34-E34)/E34</f>
        <v>1.2428448976219655</v>
      </c>
      <c r="G34" s="215">
        <f>D34/C34</f>
        <v>0.3079190091065682</v>
      </c>
      <c r="H34" s="123"/>
    </row>
    <row r="35" spans="1:8" ht="15" customHeight="1">
      <c r="A35" s="130"/>
      <c r="B35" s="131">
        <f>DATE(2022,9,1)</f>
        <v>44805</v>
      </c>
      <c r="C35" s="204">
        <v>12298202</v>
      </c>
      <c r="D35" s="204">
        <v>3778062.5</v>
      </c>
      <c r="E35" s="204">
        <v>3305560.5</v>
      </c>
      <c r="F35" s="132">
        <f>(+D35-E35)/E35</f>
        <v>0.14294156770084832</v>
      </c>
      <c r="G35" s="215">
        <f>D35/C35</f>
        <v>0.3072044596437756</v>
      </c>
      <c r="H35" s="123"/>
    </row>
    <row r="36" spans="1:8" ht="15" thickBot="1">
      <c r="A36" s="133"/>
      <c r="B36" s="131"/>
      <c r="C36" s="204"/>
      <c r="D36" s="204"/>
      <c r="E36" s="204"/>
      <c r="F36" s="132"/>
      <c r="G36" s="215"/>
      <c r="H36" s="123"/>
    </row>
    <row r="37" spans="1:8" ht="17.25" customHeight="1" thickBot="1" thickTop="1">
      <c r="A37" s="141" t="s">
        <v>14</v>
      </c>
      <c r="B37" s="142"/>
      <c r="C37" s="207">
        <f>SUM(C33:C36)</f>
        <v>39145599</v>
      </c>
      <c r="D37" s="261">
        <f>SUM(D33:D36)</f>
        <v>10882801</v>
      </c>
      <c r="E37" s="206">
        <f>SUM(E33:E36)</f>
        <v>8524408</v>
      </c>
      <c r="F37" s="268">
        <f>(+D37-E37)/E37</f>
        <v>0.2766635524719136</v>
      </c>
      <c r="G37" s="267">
        <f>D37/C37</f>
        <v>0.2780082890033181</v>
      </c>
      <c r="H37" s="123"/>
    </row>
    <row r="38" spans="1:8" ht="15.75" customHeight="1" thickTop="1">
      <c r="A38" s="130"/>
      <c r="B38" s="134"/>
      <c r="C38" s="204"/>
      <c r="D38" s="204"/>
      <c r="E38" s="204"/>
      <c r="F38" s="132"/>
      <c r="G38" s="218"/>
      <c r="H38" s="123"/>
    </row>
    <row r="39" spans="1:8" ht="15">
      <c r="A39" s="130" t="s">
        <v>64</v>
      </c>
      <c r="B39" s="131">
        <f>DATE(2022,7,1)</f>
        <v>44743</v>
      </c>
      <c r="C39" s="204">
        <v>3016522</v>
      </c>
      <c r="D39" s="204">
        <v>700930</v>
      </c>
      <c r="E39" s="204">
        <v>729030</v>
      </c>
      <c r="F39" s="132">
        <f>(+D39-E39)/E39</f>
        <v>-0.03854436717281868</v>
      </c>
      <c r="G39" s="215">
        <f>D39/C39</f>
        <v>0.2323636293718395</v>
      </c>
      <c r="H39" s="123"/>
    </row>
    <row r="40" spans="1:8" ht="15">
      <c r="A40" s="130"/>
      <c r="B40" s="131">
        <f>DATE(2022,8,1)</f>
        <v>44774</v>
      </c>
      <c r="C40" s="204">
        <v>2699781</v>
      </c>
      <c r="D40" s="204">
        <v>630145.5</v>
      </c>
      <c r="E40" s="204">
        <v>844084.5</v>
      </c>
      <c r="F40" s="132">
        <f>(+D40-E40)/E40</f>
        <v>-0.25345685177254174</v>
      </c>
      <c r="G40" s="215">
        <f>D40/C40</f>
        <v>0.23340615405471776</v>
      </c>
      <c r="H40" s="123"/>
    </row>
    <row r="41" spans="1:8" ht="15">
      <c r="A41" s="130"/>
      <c r="B41" s="131">
        <f>DATE(2022,9,1)</f>
        <v>44805</v>
      </c>
      <c r="C41" s="204">
        <v>2497205</v>
      </c>
      <c r="D41" s="204">
        <v>538940</v>
      </c>
      <c r="E41" s="204">
        <v>707619</v>
      </c>
      <c r="F41" s="132">
        <f>(+D41-E41)/E41</f>
        <v>-0.23837545345729835</v>
      </c>
      <c r="G41" s="215">
        <f>D41/C41</f>
        <v>0.21581728372320255</v>
      </c>
      <c r="H41" s="123"/>
    </row>
    <row r="42" spans="1:8" ht="15.75" customHeight="1" thickBot="1">
      <c r="A42" s="130"/>
      <c r="B42" s="131"/>
      <c r="C42" s="204"/>
      <c r="D42" s="204"/>
      <c r="E42" s="204"/>
      <c r="F42" s="132"/>
      <c r="G42" s="215"/>
      <c r="H42" s="123"/>
    </row>
    <row r="43" spans="1:8" ht="16.5" thickBot="1" thickTop="1">
      <c r="A43" s="141" t="s">
        <v>14</v>
      </c>
      <c r="B43" s="142"/>
      <c r="C43" s="207">
        <f>SUM(C39:C42)</f>
        <v>8213508</v>
      </c>
      <c r="D43" s="261">
        <f>SUM(D39:D42)</f>
        <v>1870015.5</v>
      </c>
      <c r="E43" s="207">
        <f>SUM(E39:E42)</f>
        <v>2280733.5</v>
      </c>
      <c r="F43" s="268">
        <f>(+D43-E43)/E43</f>
        <v>-0.18008153955733977</v>
      </c>
      <c r="G43" s="267">
        <f>D43/C43</f>
        <v>0.22767561680100634</v>
      </c>
      <c r="H43" s="123"/>
    </row>
    <row r="44" spans="1:8" ht="15.75" customHeight="1" thickTop="1">
      <c r="A44" s="130"/>
      <c r="B44" s="134"/>
      <c r="C44" s="204"/>
      <c r="D44" s="204"/>
      <c r="E44" s="204"/>
      <c r="F44" s="132"/>
      <c r="G44" s="218"/>
      <c r="H44" s="123"/>
    </row>
    <row r="45" spans="1:8" ht="15">
      <c r="A45" s="130" t="s">
        <v>67</v>
      </c>
      <c r="B45" s="131">
        <f>DATE(2022,7,1)</f>
        <v>44743</v>
      </c>
      <c r="C45" s="204">
        <v>6177101</v>
      </c>
      <c r="D45" s="204">
        <v>951854</v>
      </c>
      <c r="E45" s="204">
        <v>1067021</v>
      </c>
      <c r="F45" s="132">
        <f>(+D45-E45)/E45</f>
        <v>-0.10793320843732222</v>
      </c>
      <c r="G45" s="215">
        <f>D45/C45</f>
        <v>0.15409396738049128</v>
      </c>
      <c r="H45" s="123"/>
    </row>
    <row r="46" spans="1:8" ht="15">
      <c r="A46" s="130"/>
      <c r="B46" s="131">
        <f>DATE(2022,8,1)</f>
        <v>44774</v>
      </c>
      <c r="C46" s="204">
        <v>6063193</v>
      </c>
      <c r="D46" s="204">
        <v>1029739</v>
      </c>
      <c r="E46" s="204">
        <v>666603.5</v>
      </c>
      <c r="F46" s="132">
        <f>(+D46-E46)/E46</f>
        <v>0.5447548655235084</v>
      </c>
      <c r="G46" s="215">
        <f>D46/C46</f>
        <v>0.169834442017597</v>
      </c>
      <c r="H46" s="123"/>
    </row>
    <row r="47" spans="1:8" ht="15">
      <c r="A47" s="130"/>
      <c r="B47" s="131">
        <f>DATE(2022,9,1)</f>
        <v>44805</v>
      </c>
      <c r="C47" s="204">
        <v>6587163</v>
      </c>
      <c r="D47" s="204">
        <v>389281</v>
      </c>
      <c r="E47" s="204">
        <v>1135711.5</v>
      </c>
      <c r="F47" s="132">
        <f>(+D47-E47)/E47</f>
        <v>-0.657236014604061</v>
      </c>
      <c r="G47" s="215">
        <f>D47/C47</f>
        <v>0.05909691319313033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6.5" thickBot="1" thickTop="1">
      <c r="A49" s="141" t="s">
        <v>14</v>
      </c>
      <c r="B49" s="142"/>
      <c r="C49" s="207">
        <f>SUM(C45:C48)</f>
        <v>18827457</v>
      </c>
      <c r="D49" s="261">
        <f>SUM(D45:D48)</f>
        <v>2370874</v>
      </c>
      <c r="E49" s="207">
        <f>SUM(E45:E48)</f>
        <v>2869336</v>
      </c>
      <c r="F49" s="269">
        <f>(+D49-E49)/E49</f>
        <v>-0.1737203311149339</v>
      </c>
      <c r="G49" s="267">
        <f>D49/C49</f>
        <v>0.12592640631180302</v>
      </c>
      <c r="H49" s="123"/>
    </row>
    <row r="50" spans="1:8" ht="15.75" customHeight="1" thickTop="1">
      <c r="A50" s="130"/>
      <c r="B50" s="139"/>
      <c r="C50" s="205"/>
      <c r="D50" s="205"/>
      <c r="E50" s="205"/>
      <c r="F50" s="140"/>
      <c r="G50" s="216"/>
      <c r="H50" s="123"/>
    </row>
    <row r="51" spans="1:8" ht="15">
      <c r="A51" s="130" t="s">
        <v>69</v>
      </c>
      <c r="B51" s="131">
        <f>DATE(2022,7,1)</f>
        <v>44743</v>
      </c>
      <c r="C51" s="204">
        <v>5606930</v>
      </c>
      <c r="D51" s="204">
        <v>1405783</v>
      </c>
      <c r="E51" s="204">
        <v>1287648</v>
      </c>
      <c r="F51" s="132">
        <f>(+D51-E51)/E51</f>
        <v>0.09174479360819106</v>
      </c>
      <c r="G51" s="215">
        <f>D51/C51</f>
        <v>0.2507224095895615</v>
      </c>
      <c r="H51" s="123"/>
    </row>
    <row r="52" spans="1:8" ht="15">
      <c r="A52" s="130"/>
      <c r="B52" s="131">
        <f>DATE(2022,8,1)</f>
        <v>44774</v>
      </c>
      <c r="C52" s="204">
        <v>5378141</v>
      </c>
      <c r="D52" s="204">
        <v>1387184.42</v>
      </c>
      <c r="E52" s="204">
        <v>1323019.5</v>
      </c>
      <c r="F52" s="132">
        <f>(+D52-E52)/E52</f>
        <v>0.04849884676680875</v>
      </c>
      <c r="G52" s="215">
        <f>D52/C52</f>
        <v>0.2579300951760097</v>
      </c>
      <c r="H52" s="123"/>
    </row>
    <row r="53" spans="1:8" ht="15">
      <c r="A53" s="130"/>
      <c r="B53" s="131">
        <f>DATE(2022,9,1)</f>
        <v>44805</v>
      </c>
      <c r="C53" s="204">
        <v>5602602</v>
      </c>
      <c r="D53" s="204">
        <v>1318470</v>
      </c>
      <c r="E53" s="204">
        <v>858985.36</v>
      </c>
      <c r="F53" s="132">
        <f>(+D53-E53)/E53</f>
        <v>0.5349155659649427</v>
      </c>
      <c r="G53" s="215">
        <f>D53/C53</f>
        <v>0.23533172622292284</v>
      </c>
      <c r="H53" s="123"/>
    </row>
    <row r="54" spans="1:8" ht="15.75" customHeight="1" thickBot="1">
      <c r="A54" s="130"/>
      <c r="B54" s="131"/>
      <c r="C54" s="204"/>
      <c r="D54" s="204"/>
      <c r="E54" s="204"/>
      <c r="F54" s="132"/>
      <c r="G54" s="215"/>
      <c r="H54" s="123"/>
    </row>
    <row r="55" spans="1:8" ht="16.5" thickBot="1" thickTop="1">
      <c r="A55" s="141" t="s">
        <v>14</v>
      </c>
      <c r="B55" s="142"/>
      <c r="C55" s="206">
        <f>SUM(C51:C54)</f>
        <v>16587673</v>
      </c>
      <c r="D55" s="206">
        <f>SUM(D51:D54)</f>
        <v>4111437.42</v>
      </c>
      <c r="E55" s="206">
        <f>SUM(E51:E54)</f>
        <v>3469652.86</v>
      </c>
      <c r="F55" s="143">
        <f>(+D55-E55)/E55</f>
        <v>0.1849708273121018</v>
      </c>
      <c r="G55" s="217">
        <f>D55/C55</f>
        <v>0.24786101221069404</v>
      </c>
      <c r="H55" s="123"/>
    </row>
    <row r="56" spans="1:8" ht="15.75" customHeight="1" thickTop="1">
      <c r="A56" s="138"/>
      <c r="B56" s="139"/>
      <c r="C56" s="205"/>
      <c r="D56" s="205"/>
      <c r="E56" s="205"/>
      <c r="F56" s="140"/>
      <c r="G56" s="216"/>
      <c r="H56" s="123"/>
    </row>
    <row r="57" spans="1:8" ht="15">
      <c r="A57" s="130" t="s">
        <v>16</v>
      </c>
      <c r="B57" s="131">
        <f>DATE(2022,7,1)</f>
        <v>44743</v>
      </c>
      <c r="C57" s="204">
        <v>10366880</v>
      </c>
      <c r="D57" s="204">
        <v>2290229.5</v>
      </c>
      <c r="E57" s="204">
        <v>1960105</v>
      </c>
      <c r="F57" s="132">
        <f>(+D57-E57)/E57</f>
        <v>0.16842184474811298</v>
      </c>
      <c r="G57" s="215">
        <f>D57/C57</f>
        <v>0.22091791358634422</v>
      </c>
      <c r="H57" s="123"/>
    </row>
    <row r="58" spans="1:8" ht="15">
      <c r="A58" s="130"/>
      <c r="B58" s="131">
        <f>DATE(2022,8,1)</f>
        <v>44774</v>
      </c>
      <c r="C58" s="204">
        <v>9734457</v>
      </c>
      <c r="D58" s="204">
        <v>2099615</v>
      </c>
      <c r="E58" s="204">
        <v>2275188.5</v>
      </c>
      <c r="F58" s="132">
        <f>(+D58-E58)/E58</f>
        <v>-0.0771687708512943</v>
      </c>
      <c r="G58" s="215">
        <f>D58/C58</f>
        <v>0.21568896960559794</v>
      </c>
      <c r="H58" s="123"/>
    </row>
    <row r="59" spans="1:8" ht="15">
      <c r="A59" s="130"/>
      <c r="B59" s="131">
        <f>DATE(2022,9,1)</f>
        <v>44805</v>
      </c>
      <c r="C59" s="204">
        <v>9237427</v>
      </c>
      <c r="D59" s="204">
        <v>1892853.5</v>
      </c>
      <c r="E59" s="204">
        <v>937001</v>
      </c>
      <c r="F59" s="132">
        <f>(+D59-E59)/E59</f>
        <v>1.0201189753266005</v>
      </c>
      <c r="G59" s="215">
        <f>D59/C59</f>
        <v>0.2049113351585891</v>
      </c>
      <c r="H59" s="123"/>
    </row>
    <row r="60" spans="1:8" ht="15.75" customHeight="1" thickBot="1">
      <c r="A60" s="130"/>
      <c r="B60" s="131"/>
      <c r="C60" s="204"/>
      <c r="D60" s="204"/>
      <c r="E60" s="204"/>
      <c r="F60" s="132"/>
      <c r="G60" s="215"/>
      <c r="H60" s="123"/>
    </row>
    <row r="61" spans="1:8" ht="16.5" thickBot="1" thickTop="1">
      <c r="A61" s="141" t="s">
        <v>14</v>
      </c>
      <c r="B61" s="142"/>
      <c r="C61" s="206">
        <f>SUM(C57:C60)</f>
        <v>29338764</v>
      </c>
      <c r="D61" s="206">
        <f>SUM(D57:D60)</f>
        <v>6282698</v>
      </c>
      <c r="E61" s="206">
        <f>SUM(E57:E60)</f>
        <v>5172294.5</v>
      </c>
      <c r="F61" s="143">
        <f>(+D61-E61)/E61</f>
        <v>0.21468296130469755</v>
      </c>
      <c r="G61" s="217">
        <f>D61/C61</f>
        <v>0.21414324066276275</v>
      </c>
      <c r="H61" s="123"/>
    </row>
    <row r="62" spans="1:8" ht="15.75" customHeight="1" thickTop="1">
      <c r="A62" s="138"/>
      <c r="B62" s="139"/>
      <c r="C62" s="205"/>
      <c r="D62" s="205"/>
      <c r="E62" s="205"/>
      <c r="F62" s="140"/>
      <c r="G62" s="216"/>
      <c r="H62" s="123"/>
    </row>
    <row r="63" spans="1:8" ht="15">
      <c r="A63" s="130" t="s">
        <v>53</v>
      </c>
      <c r="B63" s="131">
        <f>DATE(2022,7,1)</f>
        <v>44743</v>
      </c>
      <c r="C63" s="204">
        <v>14277956</v>
      </c>
      <c r="D63" s="204">
        <v>2740415.54</v>
      </c>
      <c r="E63" s="204">
        <v>2503594.66</v>
      </c>
      <c r="F63" s="132">
        <f>(+D63-E63)/E63</f>
        <v>0.09459234107808805</v>
      </c>
      <c r="G63" s="215">
        <f>D63/C63</f>
        <v>0.19193332294902715</v>
      </c>
      <c r="H63" s="123"/>
    </row>
    <row r="64" spans="1:8" ht="15">
      <c r="A64" s="130"/>
      <c r="B64" s="131">
        <f>DATE(2022,8,1)</f>
        <v>44774</v>
      </c>
      <c r="C64" s="204">
        <v>14131755</v>
      </c>
      <c r="D64" s="204">
        <v>2943976.84</v>
      </c>
      <c r="E64" s="204">
        <v>2041955.48</v>
      </c>
      <c r="F64" s="132">
        <f>(+D64-E64)/E64</f>
        <v>0.4417438914975756</v>
      </c>
      <c r="G64" s="215">
        <f>D64/C64</f>
        <v>0.208323512543205</v>
      </c>
      <c r="H64" s="123"/>
    </row>
    <row r="65" spans="1:8" ht="15">
      <c r="A65" s="130"/>
      <c r="B65" s="131">
        <f>DATE(2022,9,1)</f>
        <v>44805</v>
      </c>
      <c r="C65" s="204">
        <v>13855244</v>
      </c>
      <c r="D65" s="204">
        <v>2470080.11</v>
      </c>
      <c r="E65" s="204">
        <v>2713567.27</v>
      </c>
      <c r="F65" s="132">
        <f>(+D65-E65)/E65</f>
        <v>-0.0897295463030847</v>
      </c>
      <c r="G65" s="215">
        <f>D65/C65</f>
        <v>0.1782776333639451</v>
      </c>
      <c r="H65" s="123"/>
    </row>
    <row r="66" spans="1:8" ht="15" thickBot="1">
      <c r="A66" s="133"/>
      <c r="B66" s="131"/>
      <c r="C66" s="204"/>
      <c r="D66" s="204"/>
      <c r="E66" s="204"/>
      <c r="F66" s="132"/>
      <c r="G66" s="215"/>
      <c r="H66" s="123"/>
    </row>
    <row r="67" spans="1:8" ht="16.5" thickBot="1" thickTop="1">
      <c r="A67" s="141" t="s">
        <v>14</v>
      </c>
      <c r="B67" s="142"/>
      <c r="C67" s="207">
        <f>SUM(C63:C66)</f>
        <v>42264955</v>
      </c>
      <c r="D67" s="207">
        <f>SUM(D63:D66)</f>
        <v>8154472.49</v>
      </c>
      <c r="E67" s="207">
        <f>SUM(E63:E66)</f>
        <v>7259117.41</v>
      </c>
      <c r="F67" s="143">
        <f>(+D67-E67)/E67</f>
        <v>0.12334214057022672</v>
      </c>
      <c r="G67" s="267">
        <f>D67/C67</f>
        <v>0.19293697319682465</v>
      </c>
      <c r="H67" s="123"/>
    </row>
    <row r="68" spans="1:8" ht="15.75" customHeight="1" thickTop="1">
      <c r="A68" s="138"/>
      <c r="B68" s="139"/>
      <c r="C68" s="205"/>
      <c r="D68" s="205"/>
      <c r="E68" s="205"/>
      <c r="F68" s="140"/>
      <c r="G68" s="219"/>
      <c r="H68" s="123"/>
    </row>
    <row r="69" spans="1:8" ht="15">
      <c r="A69" s="130" t="s">
        <v>54</v>
      </c>
      <c r="B69" s="131">
        <f>DATE(2022,7,1)</f>
        <v>44743</v>
      </c>
      <c r="C69" s="204">
        <v>138495</v>
      </c>
      <c r="D69" s="204">
        <v>33672.5</v>
      </c>
      <c r="E69" s="204">
        <v>95940.5</v>
      </c>
      <c r="F69" s="132">
        <f>(+D69-E69)/E69</f>
        <v>-0.6490272616882339</v>
      </c>
      <c r="G69" s="215">
        <f>D69/C69</f>
        <v>0.2431315209935377</v>
      </c>
      <c r="H69" s="123"/>
    </row>
    <row r="70" spans="1:8" ht="15">
      <c r="A70" s="130"/>
      <c r="B70" s="131">
        <f>DATE(2022,8,1)</f>
        <v>44774</v>
      </c>
      <c r="C70" s="204">
        <v>107572</v>
      </c>
      <c r="D70" s="204">
        <v>43554</v>
      </c>
      <c r="E70" s="204">
        <v>109429</v>
      </c>
      <c r="F70" s="132">
        <f>(+D70-E70)/E70</f>
        <v>-0.6019885039614727</v>
      </c>
      <c r="G70" s="215">
        <f>D70/C70</f>
        <v>0.40488231138214403</v>
      </c>
      <c r="H70" s="123"/>
    </row>
    <row r="71" spans="1:8" ht="15">
      <c r="A71" s="130"/>
      <c r="B71" s="131">
        <f>DATE(2022,9,1)</f>
        <v>44805</v>
      </c>
      <c r="C71" s="204">
        <v>96319</v>
      </c>
      <c r="D71" s="204">
        <v>21940.5</v>
      </c>
      <c r="E71" s="204">
        <v>101758.5</v>
      </c>
      <c r="F71" s="132">
        <f>(+D71-E71)/E71</f>
        <v>-0.7843865623019207</v>
      </c>
      <c r="G71" s="215">
        <f>D71/C71</f>
        <v>0.22778994798534039</v>
      </c>
      <c r="H71" s="123"/>
    </row>
    <row r="72" spans="1:8" ht="15" thickBot="1">
      <c r="A72" s="133"/>
      <c r="B72" s="134"/>
      <c r="C72" s="204"/>
      <c r="D72" s="204"/>
      <c r="E72" s="204"/>
      <c r="F72" s="132"/>
      <c r="G72" s="215"/>
      <c r="H72" s="123"/>
    </row>
    <row r="73" spans="1:8" ht="16.5" thickBot="1" thickTop="1">
      <c r="A73" s="144" t="s">
        <v>14</v>
      </c>
      <c r="B73" s="145"/>
      <c r="C73" s="207">
        <f>SUM(C69:C72)</f>
        <v>342386</v>
      </c>
      <c r="D73" s="207">
        <f>SUM(D69:D72)</f>
        <v>99167</v>
      </c>
      <c r="E73" s="207">
        <f>SUM(E69:E72)</f>
        <v>307128</v>
      </c>
      <c r="F73" s="143">
        <f>(+D73-E73)/E73</f>
        <v>-0.6771150790549868</v>
      </c>
      <c r="G73" s="217">
        <f>D73/C73</f>
        <v>0.2896350902198104</v>
      </c>
      <c r="H73" s="123"/>
    </row>
    <row r="74" spans="1:8" ht="15.75" customHeight="1" thickTop="1">
      <c r="A74" s="130"/>
      <c r="B74" s="134"/>
      <c r="C74" s="204"/>
      <c r="D74" s="204"/>
      <c r="E74" s="204"/>
      <c r="F74" s="132"/>
      <c r="G74" s="218"/>
      <c r="H74" s="123"/>
    </row>
    <row r="75" spans="1:8" ht="15">
      <c r="A75" s="130" t="s">
        <v>37</v>
      </c>
      <c r="B75" s="131">
        <f>DATE(2022,7,1)</f>
        <v>44743</v>
      </c>
      <c r="C75" s="204">
        <v>23474853</v>
      </c>
      <c r="D75" s="204">
        <v>4747644.93</v>
      </c>
      <c r="E75" s="204">
        <v>4828759.44</v>
      </c>
      <c r="F75" s="132">
        <f>(+D75-E75)/E75</f>
        <v>-0.01679820894121839</v>
      </c>
      <c r="G75" s="215">
        <f>D75/C75</f>
        <v>0.20224386197434335</v>
      </c>
      <c r="H75" s="123"/>
    </row>
    <row r="76" spans="1:8" ht="15">
      <c r="A76" s="130"/>
      <c r="B76" s="131">
        <f>DATE(2022,8,1)</f>
        <v>44774</v>
      </c>
      <c r="C76" s="204">
        <v>21618581</v>
      </c>
      <c r="D76" s="204">
        <v>5944421.23</v>
      </c>
      <c r="E76" s="204">
        <v>4617763.22</v>
      </c>
      <c r="F76" s="132">
        <f>(+D76-E76)/E76</f>
        <v>0.28729450749101004</v>
      </c>
      <c r="G76" s="215">
        <f>D76/C76</f>
        <v>0.2749681503147686</v>
      </c>
      <c r="H76" s="123"/>
    </row>
    <row r="77" spans="1:8" ht="15">
      <c r="A77" s="130"/>
      <c r="B77" s="131">
        <f>DATE(2022,9,1)</f>
        <v>44805</v>
      </c>
      <c r="C77" s="204">
        <v>22214362</v>
      </c>
      <c r="D77" s="204">
        <v>4482002.35</v>
      </c>
      <c r="E77" s="204">
        <v>4146063.59</v>
      </c>
      <c r="F77" s="132">
        <f>(+D77-E77)/E77</f>
        <v>0.08102595454885432</v>
      </c>
      <c r="G77" s="215">
        <f>D77/C77</f>
        <v>0.20176147079983658</v>
      </c>
      <c r="H77" s="123"/>
    </row>
    <row r="78" spans="1:8" ht="15" thickBot="1">
      <c r="A78" s="133"/>
      <c r="B78" s="134"/>
      <c r="C78" s="204"/>
      <c r="D78" s="204"/>
      <c r="E78" s="204"/>
      <c r="F78" s="132"/>
      <c r="G78" s="215"/>
      <c r="H78" s="123"/>
    </row>
    <row r="79" spans="1:8" ht="16.5" thickBot="1" thickTop="1">
      <c r="A79" s="141" t="s">
        <v>14</v>
      </c>
      <c r="B79" s="142"/>
      <c r="C79" s="206">
        <f>SUM(C75:C78)</f>
        <v>67307796</v>
      </c>
      <c r="D79" s="207">
        <f>SUM(D75:D78)</f>
        <v>15174068.51</v>
      </c>
      <c r="E79" s="206">
        <f>SUM(E75:E78)</f>
        <v>13592586.25</v>
      </c>
      <c r="F79" s="143">
        <f>(+D79-E79)/E79</f>
        <v>0.11634888540802894</v>
      </c>
      <c r="G79" s="217">
        <f>D79/C79</f>
        <v>0.22544295626616564</v>
      </c>
      <c r="H79" s="123"/>
    </row>
    <row r="80" spans="1:8" ht="15.75" customHeight="1" thickTop="1">
      <c r="A80" s="130"/>
      <c r="B80" s="134"/>
      <c r="C80" s="204"/>
      <c r="D80" s="204"/>
      <c r="E80" s="204"/>
      <c r="F80" s="132"/>
      <c r="G80" s="218"/>
      <c r="H80" s="123"/>
    </row>
    <row r="81" spans="1:8" ht="15">
      <c r="A81" s="130" t="s">
        <v>57</v>
      </c>
      <c r="B81" s="131">
        <f>DATE(2022,7,1)</f>
        <v>44743</v>
      </c>
      <c r="C81" s="204">
        <v>726679</v>
      </c>
      <c r="D81" s="204">
        <v>196833</v>
      </c>
      <c r="E81" s="204">
        <v>127439.5</v>
      </c>
      <c r="F81" s="132">
        <f>(+D81-E81)/E81</f>
        <v>0.5445211257106313</v>
      </c>
      <c r="G81" s="215">
        <f>D81/C81</f>
        <v>0.27086650364191067</v>
      </c>
      <c r="H81" s="123"/>
    </row>
    <row r="82" spans="1:8" ht="15">
      <c r="A82" s="130"/>
      <c r="B82" s="131">
        <f>DATE(2022,8,1)</f>
        <v>44774</v>
      </c>
      <c r="C82" s="204">
        <v>607303</v>
      </c>
      <c r="D82" s="204">
        <v>151280.5</v>
      </c>
      <c r="E82" s="204">
        <v>132624</v>
      </c>
      <c r="F82" s="132">
        <f>(+D82-E82)/E82</f>
        <v>0.14067212570877066</v>
      </c>
      <c r="G82" s="215">
        <f>D82/C82</f>
        <v>0.24910217799022893</v>
      </c>
      <c r="H82" s="123"/>
    </row>
    <row r="83" spans="1:8" ht="15">
      <c r="A83" s="130"/>
      <c r="B83" s="131">
        <f>DATE(2022,9,1)</f>
        <v>44805</v>
      </c>
      <c r="C83" s="204">
        <v>597896</v>
      </c>
      <c r="D83" s="204">
        <v>193974</v>
      </c>
      <c r="E83" s="204">
        <v>116203.5</v>
      </c>
      <c r="F83" s="132">
        <f>(+D83-E83)/E83</f>
        <v>0.6692612528882521</v>
      </c>
      <c r="G83" s="215">
        <f>D83/C83</f>
        <v>0.32442765965987397</v>
      </c>
      <c r="H83" s="123"/>
    </row>
    <row r="84" spans="1:8" ht="15" thickBot="1">
      <c r="A84" s="133"/>
      <c r="B84" s="134"/>
      <c r="C84" s="204"/>
      <c r="D84" s="204"/>
      <c r="E84" s="204"/>
      <c r="F84" s="132"/>
      <c r="G84" s="215"/>
      <c r="H84" s="123"/>
    </row>
    <row r="85" spans="1:8" ht="16.5" thickBot="1" thickTop="1">
      <c r="A85" s="135" t="s">
        <v>14</v>
      </c>
      <c r="B85" s="136"/>
      <c r="C85" s="201">
        <f>SUM(C81:C84)</f>
        <v>1931878</v>
      </c>
      <c r="D85" s="207">
        <f>SUM(D81:D84)</f>
        <v>542087.5</v>
      </c>
      <c r="E85" s="207">
        <f>SUM(E81:E84)</f>
        <v>376267</v>
      </c>
      <c r="F85" s="143">
        <f>(+D85-E85)/E85</f>
        <v>0.44069902489455626</v>
      </c>
      <c r="G85" s="217">
        <f>D85/C85</f>
        <v>0.28060131126292653</v>
      </c>
      <c r="H85" s="123"/>
    </row>
    <row r="86" spans="1:8" ht="15.75" thickBot="1" thickTop="1">
      <c r="A86" s="146"/>
      <c r="B86" s="139"/>
      <c r="C86" s="205"/>
      <c r="D86" s="205"/>
      <c r="E86" s="205"/>
      <c r="F86" s="140"/>
      <c r="G86" s="216"/>
      <c r="H86" s="123"/>
    </row>
    <row r="87" spans="1:8" ht="16.5" thickBot="1" thickTop="1">
      <c r="A87" s="147" t="s">
        <v>38</v>
      </c>
      <c r="B87" s="121"/>
      <c r="C87" s="201">
        <f>C85+C79+C61+C49+C37+C25+C13+C31+C73+C19+C55+C67+C43</f>
        <v>321358301.25</v>
      </c>
      <c r="D87" s="201">
        <f>D85+D79+D61+D49+D37+D25+D13+D31+D73+D19+D55+D67+D43</f>
        <v>70132928.47</v>
      </c>
      <c r="E87" s="201">
        <f>E85+E79+E61+E49+E37+E25+E13+E31+E73+E19+E55+E67+E43</f>
        <v>61486453.58</v>
      </c>
      <c r="F87" s="137">
        <f>(+D87-E87)/E87</f>
        <v>0.14062406248150378</v>
      </c>
      <c r="G87" s="212">
        <f>D87/C87</f>
        <v>0.21823904407386147</v>
      </c>
      <c r="H87" s="123"/>
    </row>
    <row r="88" spans="1:8" ht="16.5" thickBot="1" thickTop="1">
      <c r="A88" s="147"/>
      <c r="B88" s="121"/>
      <c r="C88" s="201"/>
      <c r="D88" s="201"/>
      <c r="E88" s="201"/>
      <c r="F88" s="137"/>
      <c r="G88" s="212"/>
      <c r="H88" s="123"/>
    </row>
    <row r="89" spans="1:8" ht="16.5" thickBot="1" thickTop="1">
      <c r="A89" s="265" t="s">
        <v>39</v>
      </c>
      <c r="B89" s="266"/>
      <c r="C89" s="206">
        <f>+C11+C17+C23+C29+C35+C41+C47+C53+C59+C65+C71+C77+C83</f>
        <v>104236344</v>
      </c>
      <c r="D89" s="206">
        <f>+D11+D17+D23+D29+D35+D41+D47+D53+D59+D65+D71+D77+D83</f>
        <v>22132548.490000002</v>
      </c>
      <c r="E89" s="206">
        <f>+E11+E17+E23+E29+E35+E41+E47+E53+E59+E65+E71+E77+E83</f>
        <v>19786467.22</v>
      </c>
      <c r="F89" s="268">
        <f>(+D89-E89)/E89</f>
        <v>0.1185699925062218</v>
      </c>
      <c r="G89" s="217">
        <f>D89/C89</f>
        <v>0.2123304371649873</v>
      </c>
      <c r="H89" s="123"/>
    </row>
    <row r="90" spans="1:8" ht="15.75" thickTop="1">
      <c r="A90" s="256"/>
      <c r="B90" s="258"/>
      <c r="C90" s="259"/>
      <c r="D90" s="259"/>
      <c r="E90" s="259"/>
      <c r="F90" s="260"/>
      <c r="G90" s="257"/>
      <c r="H90" s="257"/>
    </row>
    <row r="91" spans="1:7" ht="17.25">
      <c r="A91" s="263" t="s">
        <v>40</v>
      </c>
      <c r="B91" s="117"/>
      <c r="C91" s="208"/>
      <c r="D91" s="208"/>
      <c r="E91" s="208"/>
      <c r="F91" s="148"/>
      <c r="G91" s="220"/>
    </row>
    <row r="92" ht="15">
      <c r="A92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1" manualBreakCount="1">
    <brk id="5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93"/>
  <sheetViews>
    <sheetView zoomScalePageLayoutView="0" workbookViewId="0" topLeftCell="A1">
      <selection activeCell="A6" sqref="A6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7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7.2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7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7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5.7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5.7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5.7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5.75" thickTop="1">
      <c r="A9" s="161"/>
      <c r="B9" s="162"/>
      <c r="C9" s="225"/>
      <c r="D9" s="225"/>
      <c r="E9" s="225"/>
      <c r="F9" s="163"/>
      <c r="G9" s="239"/>
      <c r="H9" s="240"/>
    </row>
    <row r="10" spans="1:8" ht="1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" thickBot="1">
      <c r="A13" s="167"/>
      <c r="B13" s="168"/>
      <c r="C13" s="226"/>
      <c r="D13" s="226"/>
      <c r="E13" s="226"/>
      <c r="F13" s="166"/>
      <c r="G13" s="241"/>
      <c r="H13" s="242"/>
    </row>
    <row r="14" spans="1:8" ht="16.5" thickBot="1" thickTop="1">
      <c r="A14" s="169" t="s">
        <v>14</v>
      </c>
      <c r="B14" s="155"/>
      <c r="C14" s="223">
        <f>SUM(C10:C13)</f>
        <v>6331567.08</v>
      </c>
      <c r="D14" s="223">
        <f>SUM(D10:D13)</f>
        <v>316458.27</v>
      </c>
      <c r="E14" s="223">
        <f>SUM(E10:E13)</f>
        <v>0</v>
      </c>
      <c r="F14" s="170">
        <v>1</v>
      </c>
      <c r="G14" s="245">
        <f>+D14/C14</f>
        <v>0.049981034079165126</v>
      </c>
      <c r="H14" s="246">
        <f>1-G14</f>
        <v>0.9500189659208349</v>
      </c>
    </row>
    <row r="15" spans="1:8" ht="15" thickTop="1">
      <c r="A15" s="171"/>
      <c r="B15" s="172"/>
      <c r="C15" s="227"/>
      <c r="D15" s="227"/>
      <c r="E15" s="227"/>
      <c r="F15" s="173"/>
      <c r="G15" s="243"/>
      <c r="H15" s="244"/>
    </row>
    <row r="16" spans="1:8" ht="15">
      <c r="A16" s="19" t="s">
        <v>48</v>
      </c>
      <c r="B16" s="165">
        <f>DATE(22,7,1)</f>
        <v>8218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">
      <c r="A17" s="19"/>
      <c r="B17" s="165">
        <f>DATE(22,8,1)</f>
        <v>8249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">
      <c r="A18" s="19"/>
      <c r="B18" s="165">
        <f>DATE(22,9,1)</f>
        <v>8280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" thickBot="1">
      <c r="A19" s="167"/>
      <c r="B19" s="165"/>
      <c r="C19" s="226"/>
      <c r="D19" s="226"/>
      <c r="E19" s="226"/>
      <c r="F19" s="166"/>
      <c r="G19" s="241"/>
      <c r="H19" s="242"/>
    </row>
    <row r="20" spans="1:8" ht="16.5" thickBot="1" thickTop="1">
      <c r="A20" s="169" t="s">
        <v>14</v>
      </c>
      <c r="B20" s="155"/>
      <c r="C20" s="223">
        <f>SUM(C16:C19)</f>
        <v>0</v>
      </c>
      <c r="D20" s="223">
        <f>SUM(D16:D19)</f>
        <v>0</v>
      </c>
      <c r="E20" s="223">
        <f>SUM(E16:E19)</f>
        <v>0</v>
      </c>
      <c r="F20" s="170">
        <v>0</v>
      </c>
      <c r="G20" s="236">
        <v>0</v>
      </c>
      <c r="H20" s="237">
        <v>0</v>
      </c>
    </row>
    <row r="21" spans="1:8" ht="15" thickTop="1">
      <c r="A21" s="171"/>
      <c r="B21" s="172"/>
      <c r="C21" s="227"/>
      <c r="D21" s="227"/>
      <c r="E21" s="227"/>
      <c r="F21" s="173"/>
      <c r="G21" s="243"/>
      <c r="H21" s="244"/>
    </row>
    <row r="22" spans="1:8" ht="15">
      <c r="A22" s="19" t="s">
        <v>62</v>
      </c>
      <c r="B22" s="165">
        <f>DATE(22,7,1)</f>
        <v>8218</v>
      </c>
      <c r="C22" s="226">
        <v>0</v>
      </c>
      <c r="D22" s="226">
        <v>0</v>
      </c>
      <c r="E22" s="226">
        <v>0</v>
      </c>
      <c r="F22" s="166">
        <v>0</v>
      </c>
      <c r="G22" s="241">
        <v>0</v>
      </c>
      <c r="H22" s="242">
        <v>0</v>
      </c>
    </row>
    <row r="23" spans="1:8" ht="15">
      <c r="A23" s="19"/>
      <c r="B23" s="165">
        <f>DATE(22,8,1)</f>
        <v>8249</v>
      </c>
      <c r="C23" s="226">
        <v>0</v>
      </c>
      <c r="D23" s="226">
        <v>0</v>
      </c>
      <c r="E23" s="226">
        <v>0</v>
      </c>
      <c r="F23" s="166">
        <v>0</v>
      </c>
      <c r="G23" s="241">
        <v>0</v>
      </c>
      <c r="H23" s="242">
        <v>0</v>
      </c>
    </row>
    <row r="24" spans="1:8" ht="15">
      <c r="A24" s="19"/>
      <c r="B24" s="165">
        <f>DATE(22,9,1)</f>
        <v>8280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" thickBot="1">
      <c r="A25" s="167"/>
      <c r="B25" s="165"/>
      <c r="C25" s="226"/>
      <c r="D25" s="226"/>
      <c r="E25" s="226"/>
      <c r="F25" s="166"/>
      <c r="G25" s="241"/>
      <c r="H25" s="242"/>
    </row>
    <row r="26" spans="1:8" ht="16.5" thickBot="1" thickTop="1">
      <c r="A26" s="174" t="s">
        <v>14</v>
      </c>
      <c r="B26" s="175"/>
      <c r="C26" s="228">
        <f>SUM(C22:C25)</f>
        <v>0</v>
      </c>
      <c r="D26" s="228">
        <f>SUM(D22:D25)</f>
        <v>0</v>
      </c>
      <c r="E26" s="228">
        <f>SUM(E22:E25)</f>
        <v>0</v>
      </c>
      <c r="F26" s="176">
        <v>0</v>
      </c>
      <c r="G26" s="245">
        <v>0</v>
      </c>
      <c r="H26" s="246">
        <v>0</v>
      </c>
    </row>
    <row r="27" spans="1:8" ht="15" thickTop="1">
      <c r="A27" s="167"/>
      <c r="B27" s="168"/>
      <c r="C27" s="226"/>
      <c r="D27" s="226"/>
      <c r="E27" s="226"/>
      <c r="F27" s="166"/>
      <c r="G27" s="241"/>
      <c r="H27" s="242"/>
    </row>
    <row r="28" spans="1:8" ht="15">
      <c r="A28" s="177" t="s">
        <v>58</v>
      </c>
      <c r="B28" s="165">
        <f>DATE(22,7,1)</f>
        <v>8218</v>
      </c>
      <c r="C28" s="226">
        <v>3178065.75</v>
      </c>
      <c r="D28" s="226">
        <v>133554.04</v>
      </c>
      <c r="E28" s="226">
        <v>0</v>
      </c>
      <c r="F28" s="166">
        <v>1</v>
      </c>
      <c r="G28" s="241">
        <f>+D28/C28</f>
        <v>0.042023686891940484</v>
      </c>
      <c r="H28" s="289">
        <f>1-G28</f>
        <v>0.9579763131080595</v>
      </c>
    </row>
    <row r="29" spans="1:8" ht="15">
      <c r="A29" s="177"/>
      <c r="B29" s="165">
        <f>DATE(22,8,1)</f>
        <v>8249</v>
      </c>
      <c r="C29" s="226">
        <v>3240013.32</v>
      </c>
      <c r="D29" s="226">
        <v>183775.77</v>
      </c>
      <c r="E29" s="226">
        <v>0</v>
      </c>
      <c r="F29" s="166">
        <v>1</v>
      </c>
      <c r="G29" s="241">
        <f>+D29/C29</f>
        <v>0.05672068348163457</v>
      </c>
      <c r="H29" s="289">
        <f>1-G29</f>
        <v>0.9432793165183654</v>
      </c>
    </row>
    <row r="30" spans="1:8" ht="15">
      <c r="A30" s="177"/>
      <c r="B30" s="165">
        <f>DATE(22,9,1)</f>
        <v>8280</v>
      </c>
      <c r="C30" s="226">
        <v>3318547.55</v>
      </c>
      <c r="D30" s="226">
        <v>155147.46</v>
      </c>
      <c r="E30" s="226">
        <v>0</v>
      </c>
      <c r="F30" s="166">
        <v>1</v>
      </c>
      <c r="G30" s="241">
        <f>+D30/C30</f>
        <v>0.04675161577841487</v>
      </c>
      <c r="H30" s="289">
        <f>1-G30</f>
        <v>0.9532483842215851</v>
      </c>
    </row>
    <row r="31" spans="1:8" ht="15" thickBot="1">
      <c r="A31" s="167"/>
      <c r="B31" s="168"/>
      <c r="C31" s="226"/>
      <c r="D31" s="226"/>
      <c r="E31" s="226"/>
      <c r="F31" s="166"/>
      <c r="G31" s="241"/>
      <c r="H31" s="242"/>
    </row>
    <row r="32" spans="1:8" ht="16.5" thickBot="1" thickTop="1">
      <c r="A32" s="174" t="s">
        <v>14</v>
      </c>
      <c r="B32" s="178"/>
      <c r="C32" s="228">
        <f>SUM(C28:C31)</f>
        <v>9736626.620000001</v>
      </c>
      <c r="D32" s="228">
        <f>SUM(D28:D31)</f>
        <v>472477.27</v>
      </c>
      <c r="E32" s="228">
        <f>SUM(E28:E31)</f>
        <v>0</v>
      </c>
      <c r="F32" s="176">
        <v>1</v>
      </c>
      <c r="G32" s="245">
        <f>+D32/C32</f>
        <v>0.0485257665143988</v>
      </c>
      <c r="H32" s="246">
        <f>1-G32</f>
        <v>0.9514742334856012</v>
      </c>
    </row>
    <row r="33" spans="1:8" ht="15" thickTop="1">
      <c r="A33" s="167"/>
      <c r="B33" s="168"/>
      <c r="C33" s="226"/>
      <c r="D33" s="226"/>
      <c r="E33" s="226"/>
      <c r="F33" s="166"/>
      <c r="G33" s="241"/>
      <c r="H33" s="242"/>
    </row>
    <row r="34" spans="1:8" ht="15">
      <c r="A34" s="164" t="s">
        <v>60</v>
      </c>
      <c r="B34" s="165">
        <f>DATE(22,7,1)</f>
        <v>8218</v>
      </c>
      <c r="C34" s="226">
        <v>0</v>
      </c>
      <c r="D34" s="226">
        <v>0</v>
      </c>
      <c r="E34" s="226">
        <v>0</v>
      </c>
      <c r="F34" s="166">
        <v>0</v>
      </c>
      <c r="G34" s="241">
        <v>0</v>
      </c>
      <c r="H34" s="242">
        <v>0</v>
      </c>
    </row>
    <row r="35" spans="1:8" ht="15">
      <c r="A35" s="164"/>
      <c r="B35" s="165">
        <f>DATE(22,8,1)</f>
        <v>8249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">
      <c r="A36" s="164"/>
      <c r="B36" s="165">
        <f>DATE(22,9,1)</f>
        <v>8280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" thickBot="1">
      <c r="A37" s="167"/>
      <c r="B37" s="165"/>
      <c r="C37" s="226"/>
      <c r="D37" s="226"/>
      <c r="E37" s="226"/>
      <c r="F37" s="166"/>
      <c r="G37" s="241"/>
      <c r="H37" s="242"/>
    </row>
    <row r="38" spans="1:8" ht="16.5" thickBot="1" thickTop="1">
      <c r="A38" s="174" t="s">
        <v>14</v>
      </c>
      <c r="B38" s="175"/>
      <c r="C38" s="228">
        <f>SUM(C34:C37)</f>
        <v>0</v>
      </c>
      <c r="D38" s="230">
        <f>SUM(D34:D37)</f>
        <v>0</v>
      </c>
      <c r="E38" s="271">
        <f>SUM(E34:E37)</f>
        <v>0</v>
      </c>
      <c r="F38" s="176">
        <v>0</v>
      </c>
      <c r="G38" s="245">
        <v>0</v>
      </c>
      <c r="H38" s="246">
        <v>0</v>
      </c>
    </row>
    <row r="39" spans="1:8" ht="15" thickTop="1">
      <c r="A39" s="167"/>
      <c r="B39" s="168"/>
      <c r="C39" s="226"/>
      <c r="D39" s="226"/>
      <c r="E39" s="226"/>
      <c r="F39" s="166"/>
      <c r="G39" s="241"/>
      <c r="H39" s="242"/>
    </row>
    <row r="40" spans="1:8" ht="15">
      <c r="A40" s="164" t="s">
        <v>64</v>
      </c>
      <c r="B40" s="165">
        <f>DATE(22,7,1)</f>
        <v>8218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">
      <c r="A41" s="164"/>
      <c r="B41" s="165">
        <f>DATE(22,8,1)</f>
        <v>8249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">
      <c r="A42" s="164"/>
      <c r="B42" s="165">
        <f>DATE(22,9,1)</f>
        <v>8280</v>
      </c>
      <c r="C42" s="226">
        <v>0</v>
      </c>
      <c r="D42" s="226">
        <v>0</v>
      </c>
      <c r="E42" s="226">
        <v>0</v>
      </c>
      <c r="F42" s="166">
        <v>0</v>
      </c>
      <c r="G42" s="241">
        <v>0</v>
      </c>
      <c r="H42" s="242">
        <v>0</v>
      </c>
    </row>
    <row r="43" spans="1:8" ht="15" thickBot="1">
      <c r="A43" s="167"/>
      <c r="B43" s="165"/>
      <c r="C43" s="226"/>
      <c r="D43" s="226"/>
      <c r="E43" s="226"/>
      <c r="F43" s="166"/>
      <c r="G43" s="241"/>
      <c r="H43" s="242"/>
    </row>
    <row r="44" spans="1:8" ht="16.5" thickBot="1" thickTop="1">
      <c r="A44" s="174" t="s">
        <v>14</v>
      </c>
      <c r="B44" s="175"/>
      <c r="C44" s="228">
        <f>SUM(C40:C43)</f>
        <v>0</v>
      </c>
      <c r="D44" s="230">
        <f>SUM(D40:D43)</f>
        <v>0</v>
      </c>
      <c r="E44" s="271">
        <f>SUM(E40:E43)</f>
        <v>0</v>
      </c>
      <c r="F44" s="176">
        <v>0</v>
      </c>
      <c r="G44" s="245">
        <v>0</v>
      </c>
      <c r="H44" s="246">
        <v>0</v>
      </c>
    </row>
    <row r="45" spans="1:8" ht="15" thickTop="1">
      <c r="A45" s="167"/>
      <c r="B45" s="168"/>
      <c r="C45" s="226"/>
      <c r="D45" s="226"/>
      <c r="E45" s="226"/>
      <c r="F45" s="166"/>
      <c r="G45" s="241"/>
      <c r="H45" s="242"/>
    </row>
    <row r="46" spans="1:8" ht="15">
      <c r="A46" s="164" t="s">
        <v>67</v>
      </c>
      <c r="B46" s="165">
        <f>DATE(22,7,1)</f>
        <v>8218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">
      <c r="A47" s="164"/>
      <c r="B47" s="165">
        <f>DATE(22,8,1)</f>
        <v>8249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">
      <c r="A48" s="164"/>
      <c r="B48" s="165">
        <f>DATE(22,9,1)</f>
        <v>8280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" thickBot="1">
      <c r="A49" s="167"/>
      <c r="B49" s="165"/>
      <c r="C49" s="226"/>
      <c r="D49" s="226"/>
      <c r="E49" s="226"/>
      <c r="F49" s="166"/>
      <c r="G49" s="241"/>
      <c r="H49" s="242"/>
    </row>
    <row r="50" spans="1:8" ht="16.5" thickBot="1" thickTop="1">
      <c r="A50" s="174" t="s">
        <v>14</v>
      </c>
      <c r="B50" s="175"/>
      <c r="C50" s="228">
        <f>SUM(C46:C49)</f>
        <v>0</v>
      </c>
      <c r="D50" s="230">
        <f>SUM(D46:D49)</f>
        <v>0</v>
      </c>
      <c r="E50" s="271">
        <f>SUM(E46:E49)</f>
        <v>0</v>
      </c>
      <c r="F50" s="176">
        <v>0</v>
      </c>
      <c r="G50" s="245">
        <v>0</v>
      </c>
      <c r="H50" s="246">
        <v>0</v>
      </c>
    </row>
    <row r="51" spans="1:8" ht="15" thickTop="1">
      <c r="A51" s="167"/>
      <c r="B51" s="168"/>
      <c r="C51" s="226"/>
      <c r="D51" s="226"/>
      <c r="E51" s="226"/>
      <c r="F51" s="166"/>
      <c r="G51" s="241"/>
      <c r="H51" s="242"/>
    </row>
    <row r="52" spans="1:8" ht="15">
      <c r="A52" s="164" t="s">
        <v>69</v>
      </c>
      <c r="B52" s="165">
        <f>DATE(22,7,1)</f>
        <v>8218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">
      <c r="A53" s="164"/>
      <c r="B53" s="165">
        <f>DATE(22,8,1)</f>
        <v>8249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">
      <c r="A54" s="164"/>
      <c r="B54" s="165">
        <f>DATE(22,9,1)</f>
        <v>8280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" thickBot="1">
      <c r="A55" s="167"/>
      <c r="B55" s="165"/>
      <c r="C55" s="226"/>
      <c r="D55" s="226"/>
      <c r="E55" s="226"/>
      <c r="F55" s="166"/>
      <c r="G55" s="241"/>
      <c r="H55" s="242"/>
    </row>
    <row r="56" spans="1:8" ht="16.5" thickBot="1" thickTop="1">
      <c r="A56" s="174" t="s">
        <v>14</v>
      </c>
      <c r="B56" s="175"/>
      <c r="C56" s="228">
        <f>SUM(C52:C55)</f>
        <v>0</v>
      </c>
      <c r="D56" s="230">
        <f>SUM(D52:D55)</f>
        <v>0</v>
      </c>
      <c r="E56" s="271">
        <f>SUM(E52:E55)</f>
        <v>0</v>
      </c>
      <c r="F56" s="176">
        <v>0</v>
      </c>
      <c r="G56" s="249">
        <v>0</v>
      </c>
      <c r="H56" s="270">
        <v>0</v>
      </c>
    </row>
    <row r="57" spans="1:8" ht="15" thickTop="1">
      <c r="A57" s="167"/>
      <c r="B57" s="179"/>
      <c r="C57" s="229"/>
      <c r="D57" s="229"/>
      <c r="E57" s="229"/>
      <c r="F57" s="180"/>
      <c r="G57" s="247"/>
      <c r="H57" s="248"/>
    </row>
    <row r="58" spans="1:8" ht="15">
      <c r="A58" s="164" t="s">
        <v>16</v>
      </c>
      <c r="B58" s="165">
        <f>DATE(22,7,1)</f>
        <v>8218</v>
      </c>
      <c r="C58" s="226">
        <v>0</v>
      </c>
      <c r="D58" s="226">
        <v>0</v>
      </c>
      <c r="E58" s="226">
        <v>0</v>
      </c>
      <c r="F58" s="166">
        <v>0</v>
      </c>
      <c r="G58" s="241">
        <v>0</v>
      </c>
      <c r="H58" s="242">
        <v>0</v>
      </c>
    </row>
    <row r="59" spans="1:8" ht="15">
      <c r="A59" s="164"/>
      <c r="B59" s="165">
        <f>DATE(22,8,1)</f>
        <v>8249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">
      <c r="A60" s="164"/>
      <c r="B60" s="165">
        <f>DATE(22,9,1)</f>
        <v>8280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thickBot="1">
      <c r="A61" s="164"/>
      <c r="B61" s="165"/>
      <c r="C61" s="226"/>
      <c r="D61" s="226"/>
      <c r="E61" s="226"/>
      <c r="F61" s="166"/>
      <c r="G61" s="241"/>
      <c r="H61" s="242"/>
    </row>
    <row r="62" spans="1:8" ht="16.5" thickBot="1" thickTop="1">
      <c r="A62" s="174" t="s">
        <v>14</v>
      </c>
      <c r="B62" s="181"/>
      <c r="C62" s="228">
        <f>SUM(C58:C61)</f>
        <v>0</v>
      </c>
      <c r="D62" s="228">
        <f>SUM(D58:D61)</f>
        <v>0</v>
      </c>
      <c r="E62" s="228">
        <f>SUM(E58:E61)</f>
        <v>0</v>
      </c>
      <c r="F62" s="176">
        <v>0</v>
      </c>
      <c r="G62" s="245">
        <v>0</v>
      </c>
      <c r="H62" s="246">
        <v>0</v>
      </c>
    </row>
    <row r="63" spans="1:8" ht="15" thickTop="1">
      <c r="A63" s="171"/>
      <c r="B63" s="172"/>
      <c r="C63" s="227"/>
      <c r="D63" s="227"/>
      <c r="E63" s="227"/>
      <c r="F63" s="173"/>
      <c r="G63" s="243"/>
      <c r="H63" s="244"/>
    </row>
    <row r="64" spans="1:8" ht="15">
      <c r="A64" s="164" t="s">
        <v>53</v>
      </c>
      <c r="B64" s="165">
        <f>DATE(22,7,1)</f>
        <v>8218</v>
      </c>
      <c r="C64" s="226">
        <v>0</v>
      </c>
      <c r="D64" s="226">
        <v>0</v>
      </c>
      <c r="E64" s="226">
        <v>0</v>
      </c>
      <c r="F64" s="166">
        <v>0</v>
      </c>
      <c r="G64" s="241">
        <v>0</v>
      </c>
      <c r="H64" s="242">
        <v>0</v>
      </c>
    </row>
    <row r="65" spans="1:8" ht="15">
      <c r="A65" s="164"/>
      <c r="B65" s="165">
        <f>DATE(22,8,1)</f>
        <v>8249</v>
      </c>
      <c r="C65" s="226">
        <v>0</v>
      </c>
      <c r="D65" s="226">
        <v>0</v>
      </c>
      <c r="E65" s="226">
        <v>0</v>
      </c>
      <c r="F65" s="166">
        <v>0</v>
      </c>
      <c r="G65" s="241">
        <v>0</v>
      </c>
      <c r="H65" s="242">
        <v>0</v>
      </c>
    </row>
    <row r="66" spans="1:8" ht="15">
      <c r="A66" s="164"/>
      <c r="B66" s="165">
        <f>DATE(22,9,1)</f>
        <v>8280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" thickBot="1">
      <c r="A67" s="167"/>
      <c r="B67" s="168"/>
      <c r="C67" s="226"/>
      <c r="D67" s="226"/>
      <c r="E67" s="226"/>
      <c r="F67" s="166"/>
      <c r="G67" s="241"/>
      <c r="H67" s="242"/>
    </row>
    <row r="68" spans="1:8" ht="16.5" thickBot="1" thickTop="1">
      <c r="A68" s="174" t="s">
        <v>14</v>
      </c>
      <c r="B68" s="175"/>
      <c r="C68" s="228">
        <f>SUM(C64:C67)</f>
        <v>0</v>
      </c>
      <c r="D68" s="228">
        <f>SUM(D64:D67)</f>
        <v>0</v>
      </c>
      <c r="E68" s="228">
        <f>SUM(E64:E67)</f>
        <v>0</v>
      </c>
      <c r="F68" s="176">
        <v>0</v>
      </c>
      <c r="G68" s="245">
        <v>0</v>
      </c>
      <c r="H68" s="246">
        <v>0</v>
      </c>
    </row>
    <row r="69" spans="1:8" ht="15" thickTop="1">
      <c r="A69" s="167"/>
      <c r="B69" s="168"/>
      <c r="C69" s="226"/>
      <c r="D69" s="226"/>
      <c r="E69" s="226"/>
      <c r="F69" s="166"/>
      <c r="G69" s="241"/>
      <c r="H69" s="242"/>
    </row>
    <row r="70" spans="1:8" ht="15">
      <c r="A70" s="164" t="s">
        <v>54</v>
      </c>
      <c r="B70" s="165">
        <f>DATE(22,7,1)</f>
        <v>8218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">
      <c r="A71" s="164"/>
      <c r="B71" s="165">
        <f>DATE(22,8,1)</f>
        <v>8249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">
      <c r="A72" s="164"/>
      <c r="B72" s="165">
        <f>DATE(22,9,1)</f>
        <v>8280</v>
      </c>
      <c r="C72" s="226">
        <v>0</v>
      </c>
      <c r="D72" s="226">
        <v>0</v>
      </c>
      <c r="E72" s="226">
        <v>0</v>
      </c>
      <c r="F72" s="166">
        <v>0</v>
      </c>
      <c r="G72" s="241">
        <v>0</v>
      </c>
      <c r="H72" s="242">
        <v>0</v>
      </c>
    </row>
    <row r="73" spans="1:8" ht="15" thickBot="1">
      <c r="A73" s="167"/>
      <c r="B73" s="168"/>
      <c r="C73" s="226"/>
      <c r="D73" s="226"/>
      <c r="E73" s="226"/>
      <c r="F73" s="166"/>
      <c r="G73" s="241"/>
      <c r="H73" s="242"/>
    </row>
    <row r="74" spans="1:8" ht="16.5" thickBot="1" thickTop="1">
      <c r="A74" s="182" t="s">
        <v>14</v>
      </c>
      <c r="B74" s="183"/>
      <c r="C74" s="230">
        <f>SUM(C70:C73)</f>
        <v>0</v>
      </c>
      <c r="D74" s="230">
        <f>SUM(D70:D73)</f>
        <v>0</v>
      </c>
      <c r="E74" s="230">
        <f>SUM(E70:E73)</f>
        <v>0</v>
      </c>
      <c r="F74" s="176">
        <v>0</v>
      </c>
      <c r="G74" s="245">
        <v>0</v>
      </c>
      <c r="H74" s="246">
        <v>0</v>
      </c>
    </row>
    <row r="75" spans="1:8" ht="15" thickTop="1">
      <c r="A75" s="167"/>
      <c r="B75" s="168"/>
      <c r="C75" s="226"/>
      <c r="D75" s="226"/>
      <c r="E75" s="226"/>
      <c r="F75" s="166"/>
      <c r="G75" s="241"/>
      <c r="H75" s="242"/>
    </row>
    <row r="76" spans="1:8" ht="15">
      <c r="A76" s="164" t="s">
        <v>37</v>
      </c>
      <c r="B76" s="165">
        <f>DATE(22,7,1)</f>
        <v>8218</v>
      </c>
      <c r="C76" s="226">
        <v>5095922.64</v>
      </c>
      <c r="D76" s="226">
        <v>215844.68</v>
      </c>
      <c r="E76" s="226">
        <v>209181.95</v>
      </c>
      <c r="F76" s="166">
        <f>+(D76-E76)/E76</f>
        <v>0.03185136193634289</v>
      </c>
      <c r="G76" s="241">
        <f>+D76/C76</f>
        <v>0.042356349428412834</v>
      </c>
      <c r="H76" s="289">
        <f>1-G76</f>
        <v>0.9576436505715872</v>
      </c>
    </row>
    <row r="77" spans="1:8" ht="15">
      <c r="A77" s="164"/>
      <c r="B77" s="165">
        <f>DATE(22,8,1)</f>
        <v>8249</v>
      </c>
      <c r="C77" s="226">
        <v>4684772.5</v>
      </c>
      <c r="D77" s="226">
        <v>222475.66</v>
      </c>
      <c r="E77" s="226">
        <v>126701.54</v>
      </c>
      <c r="F77" s="166">
        <f>+(D77-E77)/E77</f>
        <v>0.7559033615534587</v>
      </c>
      <c r="G77" s="241">
        <f>+D77/C77</f>
        <v>0.047489106461413015</v>
      </c>
      <c r="H77" s="289">
        <f>1-G77</f>
        <v>0.952510893538587</v>
      </c>
    </row>
    <row r="78" spans="1:8" ht="15">
      <c r="A78" s="164"/>
      <c r="B78" s="165">
        <f>DATE(22,9,1)</f>
        <v>8280</v>
      </c>
      <c r="C78" s="226">
        <v>4372547.5</v>
      </c>
      <c r="D78" s="226">
        <v>213180.35</v>
      </c>
      <c r="E78" s="226">
        <v>145306.89</v>
      </c>
      <c r="F78" s="166">
        <f>+(D78-E78)/E78</f>
        <v>0.46710420958015125</v>
      </c>
      <c r="G78" s="241">
        <f>+D78/C78</f>
        <v>0.048754267392178134</v>
      </c>
      <c r="H78" s="289">
        <f>1-G78</f>
        <v>0.9512457326078219</v>
      </c>
    </row>
    <row r="79" spans="1:8" ht="15" thickBot="1">
      <c r="A79" s="167"/>
      <c r="B79" s="168"/>
      <c r="C79" s="226"/>
      <c r="D79" s="226"/>
      <c r="E79" s="226"/>
      <c r="F79" s="166"/>
      <c r="G79" s="241"/>
      <c r="H79" s="242"/>
    </row>
    <row r="80" spans="1:8" ht="16.5" thickBot="1" thickTop="1">
      <c r="A80" s="174" t="s">
        <v>14</v>
      </c>
      <c r="B80" s="175"/>
      <c r="C80" s="228">
        <f>SUM(C76:C79)</f>
        <v>14153242.64</v>
      </c>
      <c r="D80" s="228">
        <f>SUM(D76:D79)</f>
        <v>651500.69</v>
      </c>
      <c r="E80" s="228">
        <f>SUM(E76:E79)</f>
        <v>481190.38</v>
      </c>
      <c r="F80" s="176">
        <f>+(D80-E80)/E80</f>
        <v>0.35393540078669056</v>
      </c>
      <c r="G80" s="245">
        <f>+D80/C80</f>
        <v>0.04603190283467082</v>
      </c>
      <c r="H80" s="246">
        <f>1-G80</f>
        <v>0.9539680971653292</v>
      </c>
    </row>
    <row r="81" spans="1:8" ht="15" thickTop="1">
      <c r="A81" s="167"/>
      <c r="B81" s="168"/>
      <c r="C81" s="226"/>
      <c r="D81" s="226"/>
      <c r="E81" s="226"/>
      <c r="F81" s="166"/>
      <c r="G81" s="241"/>
      <c r="H81" s="242"/>
    </row>
    <row r="82" spans="1:8" ht="15">
      <c r="A82" s="164" t="s">
        <v>57</v>
      </c>
      <c r="B82" s="165">
        <f>DATE(22,7,1)</f>
        <v>8218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">
      <c r="A83" s="164"/>
      <c r="B83" s="165">
        <f>DATE(22,8,1)</f>
        <v>8249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">
      <c r="A84" s="164"/>
      <c r="B84" s="165">
        <f>DATE(22,9,1)</f>
        <v>8280</v>
      </c>
      <c r="C84" s="226">
        <v>0</v>
      </c>
      <c r="D84" s="226">
        <v>0</v>
      </c>
      <c r="E84" s="226">
        <v>0</v>
      </c>
      <c r="F84" s="166">
        <v>0</v>
      </c>
      <c r="G84" s="241">
        <v>0</v>
      </c>
      <c r="H84" s="242">
        <v>0</v>
      </c>
    </row>
    <row r="85" spans="1:8" ht="15" thickBot="1">
      <c r="A85" s="167"/>
      <c r="B85" s="168"/>
      <c r="C85" s="226"/>
      <c r="D85" s="226"/>
      <c r="E85" s="226"/>
      <c r="F85" s="166"/>
      <c r="G85" s="241"/>
      <c r="H85" s="242"/>
    </row>
    <row r="86" spans="1:8" ht="16.5" thickBot="1" thickTop="1">
      <c r="A86" s="169" t="s">
        <v>14</v>
      </c>
      <c r="B86" s="155"/>
      <c r="C86" s="223">
        <f>SUM(C82:C85)</f>
        <v>0</v>
      </c>
      <c r="D86" s="223">
        <f>SUM(D82:D85)</f>
        <v>0</v>
      </c>
      <c r="E86" s="223">
        <f>SUM(E82:E85)</f>
        <v>0</v>
      </c>
      <c r="F86" s="176">
        <v>0</v>
      </c>
      <c r="G86" s="245">
        <v>0</v>
      </c>
      <c r="H86" s="246">
        <v>0</v>
      </c>
    </row>
    <row r="87" spans="1:8" ht="15.75" thickBot="1" thickTop="1">
      <c r="A87" s="171"/>
      <c r="B87" s="172"/>
      <c r="C87" s="227"/>
      <c r="D87" s="227"/>
      <c r="E87" s="227"/>
      <c r="F87" s="173"/>
      <c r="G87" s="243"/>
      <c r="H87" s="244"/>
    </row>
    <row r="88" spans="1:8" ht="16.5" thickBot="1" thickTop="1">
      <c r="A88" s="184" t="s">
        <v>38</v>
      </c>
      <c r="B88" s="155"/>
      <c r="C88" s="223">
        <f>C86+C80+C62+C50+C38+C26+C14+C32+C74+C20+C56+C68+C44</f>
        <v>30221436.34</v>
      </c>
      <c r="D88" s="223">
        <f>D86+D80+D62+D50+D38+D26+D14+D32+D74+D20+D56+D68+D44</f>
        <v>1440436.23</v>
      </c>
      <c r="E88" s="223">
        <f>E86+E80+E62+E50+E38+E26+E14+E32+E74+E20+E56+E68+E44</f>
        <v>481190.38</v>
      </c>
      <c r="F88" s="176">
        <f>+(D88-E88)/E88</f>
        <v>1.993485094194942</v>
      </c>
      <c r="G88" s="236">
        <f>D88/C88</f>
        <v>0.04766273230016836</v>
      </c>
      <c r="H88" s="237">
        <f>1-G88</f>
        <v>0.9523372676998316</v>
      </c>
    </row>
    <row r="89" spans="1:8" ht="16.5" thickBot="1" thickTop="1">
      <c r="A89" s="184"/>
      <c r="B89" s="155"/>
      <c r="C89" s="223"/>
      <c r="D89" s="223"/>
      <c r="E89" s="223"/>
      <c r="F89" s="170"/>
      <c r="G89" s="236"/>
      <c r="H89" s="237"/>
    </row>
    <row r="90" spans="1:8" ht="16.5" thickBot="1" thickTop="1">
      <c r="A90" s="184" t="s">
        <v>39</v>
      </c>
      <c r="B90" s="155"/>
      <c r="C90" s="223">
        <f>+C12+C18+C24+C30+C36+C42+C48+C54+C60+C66+C72+C78+C84</f>
        <v>9542586.09</v>
      </c>
      <c r="D90" s="223">
        <f>+D12+D18+D24+D30+D36+D42+D48+D54+D60+D66+D72+D78+D84</f>
        <v>445609.82999999996</v>
      </c>
      <c r="E90" s="223">
        <f>+E12+E18+E24+E30+E36+E42+E48+E54+E60+E66+E72+E78+E84</f>
        <v>145306.89</v>
      </c>
      <c r="F90" s="176">
        <f>+(D90-E90)/E90</f>
        <v>2.0666806646264324</v>
      </c>
      <c r="G90" s="236">
        <f>D90/C90</f>
        <v>0.0466969672368971</v>
      </c>
      <c r="H90" s="246">
        <f>1-G90</f>
        <v>0.9533030327631029</v>
      </c>
    </row>
    <row r="91" spans="1:8" ht="15.75" thickTop="1">
      <c r="A91" s="185"/>
      <c r="B91" s="186"/>
      <c r="C91" s="231"/>
      <c r="D91" s="231"/>
      <c r="E91" s="231"/>
      <c r="F91" s="187"/>
      <c r="G91" s="250"/>
      <c r="H91" s="250"/>
    </row>
    <row r="92" spans="1:8" ht="17.25">
      <c r="A92" s="188" t="s">
        <v>49</v>
      </c>
      <c r="B92" s="189"/>
      <c r="C92" s="232"/>
      <c r="D92" s="232"/>
      <c r="E92" s="232"/>
      <c r="F92" s="190"/>
      <c r="G92" s="251"/>
      <c r="H92" s="251"/>
    </row>
    <row r="93" spans="1:8" ht="15">
      <c r="A93" s="191"/>
      <c r="B93" s="189"/>
      <c r="C93" s="232"/>
      <c r="D93" s="232"/>
      <c r="E93" s="232"/>
      <c r="F93" s="190"/>
      <c r="G93" s="257"/>
      <c r="H93" s="257"/>
    </row>
  </sheetData>
  <sheetProtection/>
  <printOptions horizontalCentered="1"/>
  <pageMargins left="0.7" right="0.45" top="0.25" bottom="0.25" header="0.3" footer="0.3"/>
  <pageSetup horizontalDpi="600" verticalDpi="600" orientation="landscape" scale="6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94"/>
  <sheetViews>
    <sheetView tabSelected="1" showOutlineSymbols="0" zoomScalePageLayoutView="0" workbookViewId="0" topLeftCell="A1">
      <selection activeCell="A6" sqref="A6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7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7.2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7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7.25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5.7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5.7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5.7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>(+D10-E10)/E10</f>
        <v>-0.050274622998703784</v>
      </c>
      <c r="G10" s="241">
        <f>D10/C10</f>
        <v>0.09543807894024711</v>
      </c>
      <c r="H10" s="242">
        <f>1-G10</f>
        <v>0.9045619210597529</v>
      </c>
      <c r="I10" s="157"/>
    </row>
    <row r="11" spans="1:9" ht="15">
      <c r="A11" s="164"/>
      <c r="B11" s="165">
        <f>DATE(22,8,1)</f>
        <v>8249</v>
      </c>
      <c r="C11" s="226">
        <v>124862515.53</v>
      </c>
      <c r="D11" s="226">
        <v>11831590.09</v>
      </c>
      <c r="E11" s="226">
        <v>12571995.62</v>
      </c>
      <c r="F11" s="166">
        <f>(+D11-E11)/E11</f>
        <v>-0.05889323798539467</v>
      </c>
      <c r="G11" s="241">
        <f>D11/C11</f>
        <v>0.09475694158313903</v>
      </c>
      <c r="H11" s="242">
        <f>1-G11</f>
        <v>0.9052430584168609</v>
      </c>
      <c r="I11" s="157"/>
    </row>
    <row r="12" spans="1:9" ht="1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>(+D12-E12)/E12</f>
        <v>-0.012825221875395023</v>
      </c>
      <c r="G12" s="241">
        <f>D12/C12</f>
        <v>0.09747348498535309</v>
      </c>
      <c r="H12" s="242">
        <f>1-G12</f>
        <v>0.9025265150146469</v>
      </c>
      <c r="I12" s="157"/>
    </row>
    <row r="13" spans="1:9" ht="15" thickBot="1">
      <c r="A13" s="167"/>
      <c r="B13" s="168"/>
      <c r="C13" s="226"/>
      <c r="D13" s="226"/>
      <c r="E13" s="226"/>
      <c r="F13" s="166"/>
      <c r="G13" s="241"/>
      <c r="H13" s="242"/>
      <c r="I13" s="157"/>
    </row>
    <row r="14" spans="1:9" ht="16.5" thickBot="1" thickTop="1">
      <c r="A14" s="169" t="s">
        <v>14</v>
      </c>
      <c r="B14" s="155"/>
      <c r="C14" s="223">
        <f>SUM(C10:C13)</f>
        <v>380423987.52</v>
      </c>
      <c r="D14" s="223">
        <f>SUM(D10:D13)</f>
        <v>36467855.9</v>
      </c>
      <c r="E14" s="223">
        <f>SUM(E10:E13)</f>
        <v>38041894.39</v>
      </c>
      <c r="F14" s="170">
        <f>(+D14-E14)/E14</f>
        <v>-0.04137644865587363</v>
      </c>
      <c r="G14" s="236">
        <f>D14/C14</f>
        <v>0.09586108420169687</v>
      </c>
      <c r="H14" s="237">
        <f>1-G14</f>
        <v>0.9041389157983031</v>
      </c>
      <c r="I14" s="157"/>
    </row>
    <row r="15" spans="1:9" ht="15" thickTop="1">
      <c r="A15" s="171"/>
      <c r="B15" s="172"/>
      <c r="C15" s="227"/>
      <c r="D15" s="227"/>
      <c r="E15" s="227"/>
      <c r="F15" s="173"/>
      <c r="G15" s="243"/>
      <c r="H15" s="244"/>
      <c r="I15" s="157"/>
    </row>
    <row r="16" spans="1:9" ht="15">
      <c r="A16" s="19" t="s">
        <v>48</v>
      </c>
      <c r="B16" s="165">
        <f>DATE(22,7,1)</f>
        <v>8218</v>
      </c>
      <c r="C16" s="226">
        <v>76496067.98</v>
      </c>
      <c r="D16" s="226">
        <v>7757914.71</v>
      </c>
      <c r="E16" s="226">
        <v>7305624.15</v>
      </c>
      <c r="F16" s="166">
        <f>(+D16-E16)/E16</f>
        <v>0.06190991361087191</v>
      </c>
      <c r="G16" s="241">
        <f>D16/C16</f>
        <v>0.10141586247319688</v>
      </c>
      <c r="H16" s="242">
        <f>1-G16</f>
        <v>0.8985841375268031</v>
      </c>
      <c r="I16" s="157"/>
    </row>
    <row r="17" spans="1:9" ht="15">
      <c r="A17" s="19"/>
      <c r="B17" s="165">
        <f>DATE(22,8,1)</f>
        <v>8249</v>
      </c>
      <c r="C17" s="226">
        <v>71699704.19</v>
      </c>
      <c r="D17" s="226">
        <v>6870200.03</v>
      </c>
      <c r="E17" s="226">
        <v>6574172.11</v>
      </c>
      <c r="F17" s="166">
        <f>(+D17-E17)/E17</f>
        <v>0.04502892760439153</v>
      </c>
      <c r="G17" s="241">
        <f>D17/C17</f>
        <v>0.09581908471748188</v>
      </c>
      <c r="H17" s="242">
        <f>1-G17</f>
        <v>0.9041809152825181</v>
      </c>
      <c r="I17" s="157"/>
    </row>
    <row r="18" spans="1:9" ht="15">
      <c r="A18" s="19"/>
      <c r="B18" s="165">
        <f>DATE(22,9,1)</f>
        <v>8280</v>
      </c>
      <c r="C18" s="226">
        <v>72118161.13</v>
      </c>
      <c r="D18" s="226">
        <v>7013550.54</v>
      </c>
      <c r="E18" s="226">
        <v>6771046.11</v>
      </c>
      <c r="F18" s="166">
        <f>(+D18-E18)/E18</f>
        <v>0.03581491339157336</v>
      </c>
      <c r="G18" s="241">
        <f>D18/C18</f>
        <v>0.09725082323379534</v>
      </c>
      <c r="H18" s="242">
        <f>1-G18</f>
        <v>0.9027491767662047</v>
      </c>
      <c r="I18" s="157"/>
    </row>
    <row r="19" spans="1:9" ht="15" thickBot="1">
      <c r="A19" s="167"/>
      <c r="B19" s="165"/>
      <c r="C19" s="226"/>
      <c r="D19" s="226"/>
      <c r="E19" s="226"/>
      <c r="F19" s="166"/>
      <c r="G19" s="241"/>
      <c r="H19" s="242"/>
      <c r="I19" s="157"/>
    </row>
    <row r="20" spans="1:9" ht="16.5" thickBot="1" thickTop="1">
      <c r="A20" s="169" t="s">
        <v>14</v>
      </c>
      <c r="B20" s="155"/>
      <c r="C20" s="223">
        <f>SUM(C16:C19)</f>
        <v>220313933.3</v>
      </c>
      <c r="D20" s="223">
        <f>SUM(D16:D19)</f>
        <v>21641665.28</v>
      </c>
      <c r="E20" s="223">
        <f>SUM(E16:E19)</f>
        <v>20650842.37</v>
      </c>
      <c r="F20" s="170">
        <f>(+D20-E20)/E20</f>
        <v>0.0479797817564766</v>
      </c>
      <c r="G20" s="236">
        <f>D20/C20</f>
        <v>0.09823103312549321</v>
      </c>
      <c r="H20" s="237">
        <f>1-G20</f>
        <v>0.9017689668745068</v>
      </c>
      <c r="I20" s="157"/>
    </row>
    <row r="21" spans="1:9" ht="15" thickTop="1">
      <c r="A21" s="171"/>
      <c r="B21" s="172"/>
      <c r="C21" s="227"/>
      <c r="D21" s="227"/>
      <c r="E21" s="227"/>
      <c r="F21" s="173"/>
      <c r="G21" s="243"/>
      <c r="H21" s="244"/>
      <c r="I21" s="157"/>
    </row>
    <row r="22" spans="1:9" ht="15">
      <c r="A22" s="19" t="s">
        <v>62</v>
      </c>
      <c r="B22" s="165">
        <f>DATE(22,7,1)</f>
        <v>8218</v>
      </c>
      <c r="C22" s="226">
        <v>35430502.56</v>
      </c>
      <c r="D22" s="226">
        <v>3537425.2</v>
      </c>
      <c r="E22" s="226">
        <v>4179858.95</v>
      </c>
      <c r="F22" s="166">
        <f>(+D22-E22)/E22</f>
        <v>-0.1536974710594002</v>
      </c>
      <c r="G22" s="241">
        <f>D22/C22</f>
        <v>0.09984123691188194</v>
      </c>
      <c r="H22" s="242">
        <f>1-G22</f>
        <v>0.900158763088118</v>
      </c>
      <c r="I22" s="157"/>
    </row>
    <row r="23" spans="1:9" ht="15">
      <c r="A23" s="19"/>
      <c r="B23" s="165">
        <f>DATE(22,8,1)</f>
        <v>8249</v>
      </c>
      <c r="C23" s="226">
        <v>31830509.12</v>
      </c>
      <c r="D23" s="226">
        <v>3224518.01</v>
      </c>
      <c r="E23" s="226">
        <v>3554355.99</v>
      </c>
      <c r="F23" s="166">
        <f>(+D23-E23)/E23</f>
        <v>-0.09279823994219567</v>
      </c>
      <c r="G23" s="241">
        <f>D23/C23</f>
        <v>0.1013027469288559</v>
      </c>
      <c r="H23" s="242">
        <f>1-G23</f>
        <v>0.8986972530711441</v>
      </c>
      <c r="I23" s="157"/>
    </row>
    <row r="24" spans="1:9" ht="15">
      <c r="A24" s="19"/>
      <c r="B24" s="165">
        <f>DATE(22,9,1)</f>
        <v>8280</v>
      </c>
      <c r="C24" s="226">
        <v>31336078.07</v>
      </c>
      <c r="D24" s="226">
        <v>3285954.25</v>
      </c>
      <c r="E24" s="226">
        <v>3815155.29</v>
      </c>
      <c r="F24" s="166">
        <f>(+D24-E24)/E24</f>
        <v>-0.13871022272333247</v>
      </c>
      <c r="G24" s="241">
        <f>D24/C24</f>
        <v>0.10486169464665238</v>
      </c>
      <c r="H24" s="242">
        <f>1-G24</f>
        <v>0.8951383053533476</v>
      </c>
      <c r="I24" s="157"/>
    </row>
    <row r="25" spans="1:9" ht="15" thickBot="1">
      <c r="A25" s="167"/>
      <c r="B25" s="165"/>
      <c r="C25" s="226"/>
      <c r="D25" s="226"/>
      <c r="E25" s="226"/>
      <c r="F25" s="166"/>
      <c r="G25" s="241"/>
      <c r="H25" s="242"/>
      <c r="I25" s="157"/>
    </row>
    <row r="26" spans="1:9" ht="16.5" thickBot="1" thickTop="1">
      <c r="A26" s="174" t="s">
        <v>14</v>
      </c>
      <c r="B26" s="175"/>
      <c r="C26" s="228">
        <f>SUM(C22:C25)</f>
        <v>98597089.75</v>
      </c>
      <c r="D26" s="228">
        <f>SUM(D22:D25)</f>
        <v>10047897.46</v>
      </c>
      <c r="E26" s="228">
        <f>SUM(E22:E25)</f>
        <v>11549370.23</v>
      </c>
      <c r="F26" s="176">
        <f>(+D26-E26)/E26</f>
        <v>-0.13000473100254917</v>
      </c>
      <c r="G26" s="245">
        <f>D26/C26</f>
        <v>0.1019086616600669</v>
      </c>
      <c r="H26" s="246">
        <f>1-G26</f>
        <v>0.8980913383399332</v>
      </c>
      <c r="I26" s="157"/>
    </row>
    <row r="27" spans="1:9" ht="15" thickTop="1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5">
      <c r="A28" s="177" t="s">
        <v>58</v>
      </c>
      <c r="B28" s="165">
        <f>DATE(22,7,1)</f>
        <v>8218</v>
      </c>
      <c r="C28" s="226">
        <v>201538093.35</v>
      </c>
      <c r="D28" s="226">
        <v>17880290.2</v>
      </c>
      <c r="E28" s="226">
        <v>16788708.57</v>
      </c>
      <c r="F28" s="166">
        <f>(+D28-E28)/E28</f>
        <v>0.06501879673762179</v>
      </c>
      <c r="G28" s="241">
        <f>D28/C28</f>
        <v>0.08871915925565642</v>
      </c>
      <c r="H28" s="242">
        <f>1-G28</f>
        <v>0.9112808407443436</v>
      </c>
      <c r="I28" s="157"/>
    </row>
    <row r="29" spans="1:9" ht="15">
      <c r="A29" s="177"/>
      <c r="B29" s="165">
        <f>DATE(22,8,1)</f>
        <v>8249</v>
      </c>
      <c r="C29" s="226">
        <v>184867734.87</v>
      </c>
      <c r="D29" s="226">
        <v>17060867.38</v>
      </c>
      <c r="E29" s="226">
        <v>15228470.93</v>
      </c>
      <c r="F29" s="166">
        <f>(+D29-E29)/E29</f>
        <v>0.12032701499860954</v>
      </c>
      <c r="G29" s="241">
        <f>D29/C29</f>
        <v>0.09228688495587017</v>
      </c>
      <c r="H29" s="242">
        <f>1-G29</f>
        <v>0.9077131150441298</v>
      </c>
      <c r="I29" s="157"/>
    </row>
    <row r="30" spans="1:9" ht="15">
      <c r="A30" s="177"/>
      <c r="B30" s="165">
        <f>DATE(22,9,1)</f>
        <v>8280</v>
      </c>
      <c r="C30" s="226">
        <v>181026457.54</v>
      </c>
      <c r="D30" s="226">
        <v>17061917.54</v>
      </c>
      <c r="E30" s="226">
        <v>16699713.12</v>
      </c>
      <c r="F30" s="166">
        <f>(+D30-E30)/E30</f>
        <v>0.02168926001286901</v>
      </c>
      <c r="G30" s="241">
        <f>D30/C30</f>
        <v>0.09425096072616877</v>
      </c>
      <c r="H30" s="242">
        <f>1-G30</f>
        <v>0.9057490392738312</v>
      </c>
      <c r="I30" s="157"/>
    </row>
    <row r="31" spans="1:9" ht="15" thickBot="1">
      <c r="A31" s="167"/>
      <c r="B31" s="168"/>
      <c r="C31" s="226"/>
      <c r="D31" s="226"/>
      <c r="E31" s="226"/>
      <c r="F31" s="166"/>
      <c r="G31" s="241"/>
      <c r="H31" s="242"/>
      <c r="I31" s="157"/>
    </row>
    <row r="32" spans="1:9" ht="16.5" thickBot="1" thickTop="1">
      <c r="A32" s="174" t="s">
        <v>14</v>
      </c>
      <c r="B32" s="178"/>
      <c r="C32" s="228">
        <f>SUM(C28:C31)</f>
        <v>567432285.76</v>
      </c>
      <c r="D32" s="228">
        <f>SUM(D28:D31)</f>
        <v>52003075.12</v>
      </c>
      <c r="E32" s="228">
        <f>SUM(E28:E31)</f>
        <v>48716892.62</v>
      </c>
      <c r="F32" s="176">
        <f>(+D32-E32)/E32</f>
        <v>0.0674546820059477</v>
      </c>
      <c r="G32" s="245">
        <f>D32/C32</f>
        <v>0.09164630992110151</v>
      </c>
      <c r="H32" s="246">
        <f>1-G32</f>
        <v>0.9083536900788984</v>
      </c>
      <c r="I32" s="157"/>
    </row>
    <row r="33" spans="1:9" ht="15" thickTop="1">
      <c r="A33" s="167"/>
      <c r="B33" s="168"/>
      <c r="C33" s="226"/>
      <c r="D33" s="226"/>
      <c r="E33" s="226"/>
      <c r="F33" s="166"/>
      <c r="G33" s="241"/>
      <c r="H33" s="242"/>
      <c r="I33" s="157"/>
    </row>
    <row r="34" spans="1:9" ht="15">
      <c r="A34" s="164" t="s">
        <v>60</v>
      </c>
      <c r="B34" s="165">
        <f>DATE(22,7,1)</f>
        <v>8218</v>
      </c>
      <c r="C34" s="226">
        <v>121501837.18</v>
      </c>
      <c r="D34" s="226">
        <v>11877741.56</v>
      </c>
      <c r="E34" s="226">
        <v>12735420.67</v>
      </c>
      <c r="F34" s="166">
        <f>(+D34-E34)/E34</f>
        <v>-0.0673459583490931</v>
      </c>
      <c r="G34" s="241">
        <f>D34/C34</f>
        <v>0.09775771161718001</v>
      </c>
      <c r="H34" s="242">
        <f>1-G34</f>
        <v>0.90224228838282</v>
      </c>
      <c r="I34" s="157"/>
    </row>
    <row r="35" spans="1:9" ht="15">
      <c r="A35" s="164"/>
      <c r="B35" s="165">
        <f>DATE(22,8,1)</f>
        <v>8249</v>
      </c>
      <c r="C35" s="226">
        <v>118750548.99</v>
      </c>
      <c r="D35" s="226">
        <v>11399779.33</v>
      </c>
      <c r="E35" s="226">
        <v>11645905.55</v>
      </c>
      <c r="F35" s="166">
        <f>(+D35-E35)/E35</f>
        <v>-0.02113414186155757</v>
      </c>
      <c r="G35" s="241">
        <f>D35/C35</f>
        <v>0.09599769792188478</v>
      </c>
      <c r="H35" s="242">
        <f>1-G35</f>
        <v>0.9040023020781152</v>
      </c>
      <c r="I35" s="157"/>
    </row>
    <row r="36" spans="1:9" ht="15">
      <c r="A36" s="164"/>
      <c r="B36" s="165">
        <f>DATE(22,9,1)</f>
        <v>8280</v>
      </c>
      <c r="C36" s="226">
        <v>118393348.34</v>
      </c>
      <c r="D36" s="226">
        <v>10069352.81</v>
      </c>
      <c r="E36" s="226">
        <v>11184280.18</v>
      </c>
      <c r="F36" s="166">
        <f>(+D36-E36)/E36</f>
        <v>-0.09968700283400797</v>
      </c>
      <c r="G36" s="241">
        <f>D36/C36</f>
        <v>0.08504998761487009</v>
      </c>
      <c r="H36" s="242">
        <f>1-G36</f>
        <v>0.91495001238513</v>
      </c>
      <c r="I36" s="157"/>
    </row>
    <row r="37" spans="1:9" ht="15" thickBot="1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6.5" thickBot="1" thickTop="1">
      <c r="A38" s="174" t="s">
        <v>14</v>
      </c>
      <c r="B38" s="175"/>
      <c r="C38" s="228">
        <f>SUM(C34:C37)</f>
        <v>358645734.51</v>
      </c>
      <c r="D38" s="230">
        <f>SUM(D34:D37)</f>
        <v>33346873.700000003</v>
      </c>
      <c r="E38" s="271">
        <f>SUM(E34:E37)</f>
        <v>35565606.4</v>
      </c>
      <c r="F38" s="272">
        <f>(+D38-E38)/E38</f>
        <v>-0.06238422241550746</v>
      </c>
      <c r="G38" s="249">
        <f>D38/C38</f>
        <v>0.09297998133327919</v>
      </c>
      <c r="H38" s="270">
        <f>1-G38</f>
        <v>0.9070200186667208</v>
      </c>
      <c r="I38" s="157"/>
    </row>
    <row r="39" spans="1:9" ht="15" thickTop="1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">
      <c r="A40" s="164" t="s">
        <v>64</v>
      </c>
      <c r="B40" s="165">
        <f>DATE(22,7,1)</f>
        <v>8218</v>
      </c>
      <c r="C40" s="226">
        <v>53641198.85</v>
      </c>
      <c r="D40" s="226">
        <v>5559220.1</v>
      </c>
      <c r="E40" s="226">
        <v>5744094.34</v>
      </c>
      <c r="F40" s="166">
        <f>(+D40-E40)/E40</f>
        <v>-0.03218509812984726</v>
      </c>
      <c r="G40" s="241">
        <f>D40/C40</f>
        <v>0.10363713375507452</v>
      </c>
      <c r="H40" s="242">
        <f>1-G40</f>
        <v>0.8963628662449254</v>
      </c>
      <c r="I40" s="157"/>
    </row>
    <row r="41" spans="1:9" ht="15">
      <c r="A41" s="164"/>
      <c r="B41" s="165">
        <f>DATE(22,8,1)</f>
        <v>8249</v>
      </c>
      <c r="C41" s="226">
        <v>47590579.29</v>
      </c>
      <c r="D41" s="226">
        <v>4834999.09</v>
      </c>
      <c r="E41" s="226">
        <v>5022432.17</v>
      </c>
      <c r="F41" s="166">
        <f>(+D41-E41)/E41</f>
        <v>-0.03731918593536726</v>
      </c>
      <c r="G41" s="241">
        <f>D41/C41</f>
        <v>0.10159571835714043</v>
      </c>
      <c r="H41" s="242">
        <f>1-G41</f>
        <v>0.8984042816428596</v>
      </c>
      <c r="I41" s="157"/>
    </row>
    <row r="42" spans="1:9" ht="15">
      <c r="A42" s="164"/>
      <c r="B42" s="165">
        <f>DATE(22,9,1)</f>
        <v>8280</v>
      </c>
      <c r="C42" s="226">
        <v>47220560.24</v>
      </c>
      <c r="D42" s="226">
        <v>4841899.8</v>
      </c>
      <c r="E42" s="226">
        <v>5281548.16</v>
      </c>
      <c r="F42" s="166">
        <f>(+D42-E42)/E42</f>
        <v>-0.08324232718915514</v>
      </c>
      <c r="G42" s="241">
        <f>D42/C42</f>
        <v>0.10253795752085298</v>
      </c>
      <c r="H42" s="242">
        <f>1-G42</f>
        <v>0.8974620424791471</v>
      </c>
      <c r="I42" s="157"/>
    </row>
    <row r="43" spans="1:9" ht="15" thickBot="1">
      <c r="A43" s="167"/>
      <c r="B43" s="165"/>
      <c r="C43" s="226"/>
      <c r="D43" s="226"/>
      <c r="E43" s="226"/>
      <c r="F43" s="166"/>
      <c r="G43" s="241"/>
      <c r="H43" s="242"/>
      <c r="I43" s="157"/>
    </row>
    <row r="44" spans="1:9" ht="16.5" thickBot="1" thickTop="1">
      <c r="A44" s="174" t="s">
        <v>14</v>
      </c>
      <c r="B44" s="175"/>
      <c r="C44" s="228">
        <f>SUM(C40:C43)</f>
        <v>148452338.38</v>
      </c>
      <c r="D44" s="230">
        <f>SUM(D40:D43)</f>
        <v>15236118.989999998</v>
      </c>
      <c r="E44" s="271">
        <f>SUM(E40:E43)</f>
        <v>16048074.67</v>
      </c>
      <c r="F44" s="272">
        <f>(+D44-E44)/E44</f>
        <v>-0.0505952082537264</v>
      </c>
      <c r="G44" s="249">
        <f>D44/C44</f>
        <v>0.102633068338738</v>
      </c>
      <c r="H44" s="270">
        <f>1-G44</f>
        <v>0.897366931661262</v>
      </c>
      <c r="I44" s="157"/>
    </row>
    <row r="45" spans="1:9" ht="15" thickTop="1">
      <c r="A45" s="167"/>
      <c r="B45" s="168"/>
      <c r="C45" s="226"/>
      <c r="D45" s="226"/>
      <c r="E45" s="226"/>
      <c r="F45" s="166"/>
      <c r="G45" s="241"/>
      <c r="H45" s="242"/>
      <c r="I45" s="157"/>
    </row>
    <row r="46" spans="1:9" ht="15">
      <c r="A46" s="290" t="s">
        <v>67</v>
      </c>
      <c r="B46" s="165">
        <f>DATE(22,7,1)</f>
        <v>8218</v>
      </c>
      <c r="C46" s="226">
        <v>85581160.4</v>
      </c>
      <c r="D46" s="226">
        <v>9654928.82</v>
      </c>
      <c r="E46" s="226">
        <v>8446672.57</v>
      </c>
      <c r="F46" s="166">
        <f>(+D46-E46)/E46</f>
        <v>0.14304523349127524</v>
      </c>
      <c r="G46" s="241">
        <f>D46/C46</f>
        <v>0.11281605408098673</v>
      </c>
      <c r="H46" s="242">
        <f>1-G46</f>
        <v>0.8871839459190133</v>
      </c>
      <c r="I46" s="157"/>
    </row>
    <row r="47" spans="1:9" ht="15">
      <c r="A47" s="290"/>
      <c r="B47" s="165">
        <f>DATE(22,8,1)</f>
        <v>8249</v>
      </c>
      <c r="C47" s="226">
        <v>82456263.29</v>
      </c>
      <c r="D47" s="226">
        <v>9270730.97</v>
      </c>
      <c r="E47" s="226">
        <v>8803736.44</v>
      </c>
      <c r="F47" s="166">
        <f>(+D47-E47)/E47</f>
        <v>0.05304503754544488</v>
      </c>
      <c r="G47" s="241">
        <f>D47/C47</f>
        <v>0.11243210157844154</v>
      </c>
      <c r="H47" s="242">
        <f>1-G47</f>
        <v>0.8875678984215585</v>
      </c>
      <c r="I47" s="157"/>
    </row>
    <row r="48" spans="1:9" ht="15">
      <c r="A48" s="290"/>
      <c r="B48" s="165">
        <f>DATE(22,9,1)</f>
        <v>8280</v>
      </c>
      <c r="C48" s="226">
        <v>81432452.09</v>
      </c>
      <c r="D48" s="226">
        <v>9440089.3</v>
      </c>
      <c r="E48" s="226">
        <v>8914995.23</v>
      </c>
      <c r="F48" s="166">
        <f>(+D48-E48)/E48</f>
        <v>0.05890009545187387</v>
      </c>
      <c r="G48" s="241">
        <f>D48/C48</f>
        <v>0.11592539654297422</v>
      </c>
      <c r="H48" s="242">
        <f>1-G48</f>
        <v>0.8840746034570258</v>
      </c>
      <c r="I48" s="157"/>
    </row>
    <row r="49" spans="1:9" ht="1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6.5" thickBot="1" thickTop="1">
      <c r="A50" s="174" t="s">
        <v>14</v>
      </c>
      <c r="B50" s="175"/>
      <c r="C50" s="228">
        <f>SUM(C46:C49)</f>
        <v>249469875.78</v>
      </c>
      <c r="D50" s="230">
        <f>SUM(D46:D49)</f>
        <v>28365749.09</v>
      </c>
      <c r="E50" s="271">
        <f>SUM(E46:E49)</f>
        <v>26165404.24</v>
      </c>
      <c r="F50" s="272">
        <f>(+D50-E50)/E50</f>
        <v>0.08409366925186865</v>
      </c>
      <c r="G50" s="249">
        <f>D50/C50</f>
        <v>0.11370410556108547</v>
      </c>
      <c r="H50" s="270">
        <f>1-G50</f>
        <v>0.8862958944389145</v>
      </c>
      <c r="I50" s="157"/>
    </row>
    <row r="51" spans="1:9" ht="1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">
      <c r="A52" s="164" t="s">
        <v>69</v>
      </c>
      <c r="B52" s="165">
        <f>DATE(22,7,1)</f>
        <v>8218</v>
      </c>
      <c r="C52" s="226">
        <v>115913733.48</v>
      </c>
      <c r="D52" s="226">
        <v>11762621.74</v>
      </c>
      <c r="E52" s="226">
        <v>13534455.82</v>
      </c>
      <c r="F52" s="166">
        <f>(+D52-E52)/E52</f>
        <v>-0.1309128422719252</v>
      </c>
      <c r="G52" s="241">
        <f>D52/C52</f>
        <v>0.10147737793321572</v>
      </c>
      <c r="H52" s="242">
        <f>1-G52</f>
        <v>0.8985226220667842</v>
      </c>
      <c r="I52" s="157"/>
    </row>
    <row r="53" spans="1:9" ht="15">
      <c r="A53" s="164"/>
      <c r="B53" s="165">
        <f>DATE(22,8,1)</f>
        <v>8249</v>
      </c>
      <c r="C53" s="226">
        <v>120866905.96</v>
      </c>
      <c r="D53" s="226">
        <v>12540537.03</v>
      </c>
      <c r="E53" s="226">
        <v>11799607.16</v>
      </c>
      <c r="F53" s="166">
        <f>(+D53-E53)/E53</f>
        <v>0.0627927574158324</v>
      </c>
      <c r="G53" s="241">
        <f>D53/C53</f>
        <v>0.10375492721018438</v>
      </c>
      <c r="H53" s="242">
        <f>1-G53</f>
        <v>0.8962450727898156</v>
      </c>
      <c r="I53" s="157"/>
    </row>
    <row r="54" spans="1:9" ht="15">
      <c r="A54" s="164"/>
      <c r="B54" s="165">
        <f>DATE(22,9,1)</f>
        <v>8280</v>
      </c>
      <c r="C54" s="226">
        <v>118707239.62</v>
      </c>
      <c r="D54" s="226">
        <v>12203478.51</v>
      </c>
      <c r="E54" s="226">
        <v>11262305.48</v>
      </c>
      <c r="F54" s="166">
        <f>(+D54-E54)/E54</f>
        <v>0.08356841604690687</v>
      </c>
      <c r="G54" s="241">
        <f>D54/C54</f>
        <v>0.10280315294218952</v>
      </c>
      <c r="H54" s="242">
        <f>1-G54</f>
        <v>0.8971968470578104</v>
      </c>
      <c r="I54" s="157"/>
    </row>
    <row r="55" spans="1:9" ht="15" thickBot="1">
      <c r="A55" s="167"/>
      <c r="B55" s="165"/>
      <c r="C55" s="226"/>
      <c r="D55" s="226"/>
      <c r="E55" s="226"/>
      <c r="F55" s="166"/>
      <c r="G55" s="241"/>
      <c r="H55" s="242"/>
      <c r="I55" s="157"/>
    </row>
    <row r="56" spans="1:9" ht="16.5" thickBot="1" thickTop="1">
      <c r="A56" s="174" t="s">
        <v>14</v>
      </c>
      <c r="B56" s="175"/>
      <c r="C56" s="228">
        <f>SUM(C52:C55)</f>
        <v>355487879.06</v>
      </c>
      <c r="D56" s="230">
        <f>SUM(D52:D55)</f>
        <v>36506637.28</v>
      </c>
      <c r="E56" s="271">
        <f>SUM(E52:E55)</f>
        <v>36596368.46</v>
      </c>
      <c r="F56" s="176">
        <f>(+D56-E56)/E56</f>
        <v>-0.00245191486958812</v>
      </c>
      <c r="G56" s="249">
        <f>D56/C56</f>
        <v>0.1026944642290837</v>
      </c>
      <c r="H56" s="270">
        <f>1-G56</f>
        <v>0.8973055357709163</v>
      </c>
      <c r="I56" s="157"/>
    </row>
    <row r="57" spans="1:9" ht="15" thickTop="1">
      <c r="A57" s="167"/>
      <c r="B57" s="179"/>
      <c r="C57" s="229"/>
      <c r="D57" s="229"/>
      <c r="E57" s="229"/>
      <c r="F57" s="180"/>
      <c r="G57" s="247"/>
      <c r="H57" s="248"/>
      <c r="I57" s="157"/>
    </row>
    <row r="58" spans="1:9" ht="15">
      <c r="A58" s="164" t="s">
        <v>16</v>
      </c>
      <c r="B58" s="165">
        <f>DATE(22,7,1)</f>
        <v>8218</v>
      </c>
      <c r="C58" s="226">
        <v>164331221.16</v>
      </c>
      <c r="D58" s="226">
        <v>15914314.48</v>
      </c>
      <c r="E58" s="226">
        <v>16148799.36</v>
      </c>
      <c r="F58" s="166">
        <f>(+D58-E58)/E58</f>
        <v>-0.014520267096810284</v>
      </c>
      <c r="G58" s="241">
        <f>D58/C58</f>
        <v>0.09684291498391005</v>
      </c>
      <c r="H58" s="242">
        <f>1-G58</f>
        <v>0.9031570850160899</v>
      </c>
      <c r="I58" s="157"/>
    </row>
    <row r="59" spans="1:9" ht="15">
      <c r="A59" s="164"/>
      <c r="B59" s="165">
        <f>DATE(22,8,1)</f>
        <v>8249</v>
      </c>
      <c r="C59" s="226">
        <v>151296993.62</v>
      </c>
      <c r="D59" s="226">
        <v>14340389.18</v>
      </c>
      <c r="E59" s="226">
        <v>14007269.2</v>
      </c>
      <c r="F59" s="166">
        <f>(+D59-E59)/E59</f>
        <v>0.02378193602504623</v>
      </c>
      <c r="G59" s="241">
        <f>D59/C59</f>
        <v>0.09478304120184672</v>
      </c>
      <c r="H59" s="242">
        <f>1-G59</f>
        <v>0.9052169587981533</v>
      </c>
      <c r="I59" s="157"/>
    </row>
    <row r="60" spans="1:9" ht="15">
      <c r="A60" s="164"/>
      <c r="B60" s="165">
        <f>DATE(22,9,1)</f>
        <v>8280</v>
      </c>
      <c r="C60" s="226">
        <v>150060402.08</v>
      </c>
      <c r="D60" s="226">
        <v>15068846.29</v>
      </c>
      <c r="E60" s="226">
        <v>13534117.95</v>
      </c>
      <c r="F60" s="166">
        <f>(+D60-E60)/E60</f>
        <v>0.11339699754870246</v>
      </c>
      <c r="G60" s="241">
        <f>D60/C60</f>
        <v>0.10041853867595607</v>
      </c>
      <c r="H60" s="242">
        <f>1-G60</f>
        <v>0.8995814613240439</v>
      </c>
      <c r="I60" s="157"/>
    </row>
    <row r="61" spans="1:9" ht="15.75" customHeight="1" thickBot="1">
      <c r="A61" s="164"/>
      <c r="B61" s="165"/>
      <c r="C61" s="226"/>
      <c r="D61" s="226"/>
      <c r="E61" s="226"/>
      <c r="F61" s="166"/>
      <c r="G61" s="241"/>
      <c r="H61" s="242"/>
      <c r="I61" s="157"/>
    </row>
    <row r="62" spans="1:9" ht="16.5" thickBot="1" thickTop="1">
      <c r="A62" s="174" t="s">
        <v>14</v>
      </c>
      <c r="B62" s="181"/>
      <c r="C62" s="228">
        <f>SUM(C58:C61)</f>
        <v>465688616.86</v>
      </c>
      <c r="D62" s="228">
        <f>SUM(D58:D61)</f>
        <v>45323549.95</v>
      </c>
      <c r="E62" s="228">
        <f>SUM(E58:E61)</f>
        <v>43690186.51</v>
      </c>
      <c r="F62" s="176">
        <f>(+D62-E62)/E62</f>
        <v>0.037385133149435146</v>
      </c>
      <c r="G62" s="245">
        <f>D62/C62</f>
        <v>0.09732587035432223</v>
      </c>
      <c r="H62" s="246">
        <f>1-G62</f>
        <v>0.9026741296456777</v>
      </c>
      <c r="I62" s="157"/>
    </row>
    <row r="63" spans="1:9" ht="15" thickTop="1">
      <c r="A63" s="171"/>
      <c r="B63" s="172"/>
      <c r="C63" s="227"/>
      <c r="D63" s="227"/>
      <c r="E63" s="227"/>
      <c r="F63" s="173"/>
      <c r="G63" s="243"/>
      <c r="H63" s="244"/>
      <c r="I63" s="157"/>
    </row>
    <row r="64" spans="1:9" ht="15">
      <c r="A64" s="164" t="s">
        <v>53</v>
      </c>
      <c r="B64" s="165">
        <f>DATE(22,7,1)</f>
        <v>8218</v>
      </c>
      <c r="C64" s="226">
        <v>217334773.96</v>
      </c>
      <c r="D64" s="226">
        <v>19656587.45</v>
      </c>
      <c r="E64" s="226">
        <v>17635283.72</v>
      </c>
      <c r="F64" s="166">
        <f>(+D64-E64)/E64</f>
        <v>0.1146170235814046</v>
      </c>
      <c r="G64" s="241">
        <f>D64/C64</f>
        <v>0.09044382126174504</v>
      </c>
      <c r="H64" s="242">
        <f>1-G64</f>
        <v>0.909556178738255</v>
      </c>
      <c r="I64" s="157"/>
    </row>
    <row r="65" spans="1:9" ht="15">
      <c r="A65" s="164"/>
      <c r="B65" s="165">
        <f>DATE(22,8,1)</f>
        <v>8249</v>
      </c>
      <c r="C65" s="226">
        <v>200475281.67</v>
      </c>
      <c r="D65" s="226">
        <v>17776767.91</v>
      </c>
      <c r="E65" s="226">
        <v>17152915.09</v>
      </c>
      <c r="F65" s="166">
        <f>(+D65-E65)/E65</f>
        <v>0.03637007568257019</v>
      </c>
      <c r="G65" s="241">
        <f>D65/C65</f>
        <v>0.08867311601667746</v>
      </c>
      <c r="H65" s="242">
        <f>1-G65</f>
        <v>0.9113268839833225</v>
      </c>
      <c r="I65" s="157"/>
    </row>
    <row r="66" spans="1:9" ht="15">
      <c r="A66" s="164"/>
      <c r="B66" s="165">
        <f>DATE(22,9,1)</f>
        <v>8280</v>
      </c>
      <c r="C66" s="226">
        <v>196574841.52</v>
      </c>
      <c r="D66" s="226">
        <v>17845168.1</v>
      </c>
      <c r="E66" s="226">
        <v>16762718.67</v>
      </c>
      <c r="F66" s="166">
        <f>(+D66-E66)/E66</f>
        <v>0.06457481338854931</v>
      </c>
      <c r="G66" s="241">
        <f>D66/C66</f>
        <v>0.09078052899350494</v>
      </c>
      <c r="H66" s="242">
        <f>1-G66</f>
        <v>0.909219471006495</v>
      </c>
      <c r="I66" s="157"/>
    </row>
    <row r="67" spans="1:9" ht="15" thickBot="1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6.5" thickBot="1" thickTop="1">
      <c r="A68" s="174" t="s">
        <v>14</v>
      </c>
      <c r="B68" s="175"/>
      <c r="C68" s="228">
        <f>SUM(C64:C67)</f>
        <v>614384897.15</v>
      </c>
      <c r="D68" s="228">
        <f>SUM(D64:D67)</f>
        <v>55278523.46</v>
      </c>
      <c r="E68" s="228">
        <f>SUM(E64:E67)</f>
        <v>51550917.480000004</v>
      </c>
      <c r="F68" s="176">
        <f>(+D68-E68)/E68</f>
        <v>0.07230920732780713</v>
      </c>
      <c r="G68" s="249">
        <f>D68/C68</f>
        <v>0.0899737667973696</v>
      </c>
      <c r="H68" s="270">
        <f>1-G68</f>
        <v>0.9100262332026304</v>
      </c>
      <c r="I68" s="157"/>
    </row>
    <row r="69" spans="1:9" ht="15" thickTop="1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">
      <c r="A70" s="164" t="s">
        <v>54</v>
      </c>
      <c r="B70" s="165">
        <f>DATE(22,7,1)</f>
        <v>8218</v>
      </c>
      <c r="C70" s="226">
        <v>29253159.1</v>
      </c>
      <c r="D70" s="226">
        <v>3220140.18</v>
      </c>
      <c r="E70" s="226">
        <v>3540868.12</v>
      </c>
      <c r="F70" s="166">
        <f>(+D70-E70)/E70</f>
        <v>-0.09057890018225247</v>
      </c>
      <c r="G70" s="241">
        <f>D70/C70</f>
        <v>0.11007837372340412</v>
      </c>
      <c r="H70" s="242">
        <f>1-G70</f>
        <v>0.8899216262765959</v>
      </c>
      <c r="I70" s="157"/>
    </row>
    <row r="71" spans="1:9" ht="15">
      <c r="A71" s="164"/>
      <c r="B71" s="165">
        <f>DATE(22,8,1)</f>
        <v>8249</v>
      </c>
      <c r="C71" s="226">
        <v>25837783.38</v>
      </c>
      <c r="D71" s="226">
        <v>2910388.06</v>
      </c>
      <c r="E71" s="226">
        <v>3115295.59</v>
      </c>
      <c r="F71" s="166">
        <f>(+D71-E71)/E71</f>
        <v>-0.06577466698753931</v>
      </c>
      <c r="G71" s="241">
        <f>D71/C71</f>
        <v>0.11264077948160274</v>
      </c>
      <c r="H71" s="242">
        <f>1-G71</f>
        <v>0.8873592205183972</v>
      </c>
      <c r="I71" s="157"/>
    </row>
    <row r="72" spans="1:9" ht="15">
      <c r="A72" s="164"/>
      <c r="B72" s="165">
        <f>DATE(22,9,1)</f>
        <v>8280</v>
      </c>
      <c r="C72" s="226">
        <v>27357626.21</v>
      </c>
      <c r="D72" s="226">
        <v>3079109.35</v>
      </c>
      <c r="E72" s="226">
        <v>3042841.65</v>
      </c>
      <c r="F72" s="166">
        <f>(+D72-E72)/E72</f>
        <v>0.011919023127608428</v>
      </c>
      <c r="G72" s="241">
        <f>D72/C72</f>
        <v>0.11255031143288656</v>
      </c>
      <c r="H72" s="242">
        <f>1-G72</f>
        <v>0.8874496885671135</v>
      </c>
      <c r="I72" s="157"/>
    </row>
    <row r="73" spans="1:9" ht="15" thickBot="1">
      <c r="A73" s="167"/>
      <c r="B73" s="168"/>
      <c r="C73" s="226"/>
      <c r="D73" s="226"/>
      <c r="E73" s="226"/>
      <c r="F73" s="166"/>
      <c r="G73" s="241"/>
      <c r="H73" s="242"/>
      <c r="I73" s="157"/>
    </row>
    <row r="74" spans="1:9" ht="16.5" thickBot="1" thickTop="1">
      <c r="A74" s="182" t="s">
        <v>14</v>
      </c>
      <c r="B74" s="183"/>
      <c r="C74" s="230">
        <f>SUM(C70:C73)</f>
        <v>82448568.69</v>
      </c>
      <c r="D74" s="230">
        <f>SUM(D70:D73)</f>
        <v>9209637.59</v>
      </c>
      <c r="E74" s="230">
        <f>SUM(E70:E73)</f>
        <v>9699005.36</v>
      </c>
      <c r="F74" s="176">
        <f>(+D74-E74)/E74</f>
        <v>-0.050455459280208045</v>
      </c>
      <c r="G74" s="249">
        <f>D74/C74</f>
        <v>0.11170160666618117</v>
      </c>
      <c r="H74" s="246">
        <f>1-G74</f>
        <v>0.8882983933338189</v>
      </c>
      <c r="I74" s="157"/>
    </row>
    <row r="75" spans="1:9" ht="15" thickTop="1">
      <c r="A75" s="167"/>
      <c r="B75" s="168"/>
      <c r="C75" s="226"/>
      <c r="D75" s="226"/>
      <c r="E75" s="226"/>
      <c r="F75" s="166"/>
      <c r="G75" s="241"/>
      <c r="H75" s="242"/>
      <c r="I75" s="157"/>
    </row>
    <row r="76" spans="1:9" ht="15">
      <c r="A76" s="164" t="s">
        <v>37</v>
      </c>
      <c r="B76" s="165">
        <f>DATE(22,7,1)</f>
        <v>8218</v>
      </c>
      <c r="C76" s="226">
        <v>239506696.32</v>
      </c>
      <c r="D76" s="226">
        <v>21735779.22</v>
      </c>
      <c r="E76" s="226">
        <v>21441670.74</v>
      </c>
      <c r="F76" s="166">
        <f>(+D76-E76)/E76</f>
        <v>0.013716677378658435</v>
      </c>
      <c r="G76" s="241">
        <f>D76/C76</f>
        <v>0.09075228189427852</v>
      </c>
      <c r="H76" s="242">
        <f>1-G76</f>
        <v>0.9092477181057215</v>
      </c>
      <c r="I76" s="157"/>
    </row>
    <row r="77" spans="1:9" ht="15">
      <c r="A77" s="164"/>
      <c r="B77" s="165">
        <f>DATE(22,8,1)</f>
        <v>8249</v>
      </c>
      <c r="C77" s="226">
        <v>220146005.59</v>
      </c>
      <c r="D77" s="226">
        <v>20453352.67</v>
      </c>
      <c r="E77" s="226">
        <v>19679228.6</v>
      </c>
      <c r="F77" s="166">
        <f>(+D77-E77)/E77</f>
        <v>0.03933711456555773</v>
      </c>
      <c r="G77" s="241">
        <f>D77/C77</f>
        <v>0.09290812529250397</v>
      </c>
      <c r="H77" s="242">
        <f>1-G77</f>
        <v>0.9070918747074961</v>
      </c>
      <c r="I77" s="157"/>
    </row>
    <row r="78" spans="1:9" ht="15">
      <c r="A78" s="164"/>
      <c r="B78" s="165">
        <f>DATE(22,9,1)</f>
        <v>8280</v>
      </c>
      <c r="C78" s="226">
        <v>219043118.49</v>
      </c>
      <c r="D78" s="226">
        <v>19785542.02</v>
      </c>
      <c r="E78" s="226">
        <v>19466571.38</v>
      </c>
      <c r="F78" s="166">
        <f>(+D78-E78)/E78</f>
        <v>0.01638555828725503</v>
      </c>
      <c r="G78" s="241">
        <f>D78/C78</f>
        <v>0.09032715639000213</v>
      </c>
      <c r="H78" s="242">
        <f>1-G78</f>
        <v>0.9096728436099979</v>
      </c>
      <c r="I78" s="157"/>
    </row>
    <row r="79" spans="1:9" ht="15" thickBot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6.5" thickBot="1" thickTop="1">
      <c r="A80" s="174" t="s">
        <v>14</v>
      </c>
      <c r="B80" s="175"/>
      <c r="C80" s="228">
        <f>SUM(C76:C79)</f>
        <v>678695820.4</v>
      </c>
      <c r="D80" s="228">
        <f>SUM(D76:D79)</f>
        <v>61974673.91</v>
      </c>
      <c r="E80" s="228">
        <f>SUM(E76:E79)</f>
        <v>60587470.72</v>
      </c>
      <c r="F80" s="176">
        <f>(+D80-E80)/E80</f>
        <v>0.022895875558345102</v>
      </c>
      <c r="G80" s="245">
        <f>D80/C80</f>
        <v>0.09131435916825634</v>
      </c>
      <c r="H80" s="246">
        <f>1-G80</f>
        <v>0.9086856408317436</v>
      </c>
      <c r="I80" s="157"/>
    </row>
    <row r="81" spans="1:9" ht="15" thickTop="1">
      <c r="A81" s="167"/>
      <c r="B81" s="168"/>
      <c r="C81" s="226"/>
      <c r="D81" s="226"/>
      <c r="E81" s="226"/>
      <c r="F81" s="166"/>
      <c r="G81" s="241"/>
      <c r="H81" s="242"/>
      <c r="I81" s="157"/>
    </row>
    <row r="82" spans="1:9" ht="15">
      <c r="A82" s="164" t="s">
        <v>57</v>
      </c>
      <c r="B82" s="165">
        <f>DATE(22,7,1)</f>
        <v>8218</v>
      </c>
      <c r="C82" s="226">
        <v>35319959.49</v>
      </c>
      <c r="D82" s="226">
        <v>3941098.7</v>
      </c>
      <c r="E82" s="226">
        <v>3963905.07</v>
      </c>
      <c r="F82" s="166">
        <f>(+D82-E82)/E82</f>
        <v>-0.005753510640959837</v>
      </c>
      <c r="G82" s="241">
        <f>D82/C82</f>
        <v>0.11158276387932516</v>
      </c>
      <c r="H82" s="242">
        <f>1-G82</f>
        <v>0.8884172361206748</v>
      </c>
      <c r="I82" s="157"/>
    </row>
    <row r="83" spans="1:9" ht="15">
      <c r="A83" s="164"/>
      <c r="B83" s="165">
        <f>DATE(22,8,1)</f>
        <v>8249</v>
      </c>
      <c r="C83" s="226">
        <v>32131032.47</v>
      </c>
      <c r="D83" s="226">
        <v>3508347.49</v>
      </c>
      <c r="E83" s="226">
        <v>3797696.16</v>
      </c>
      <c r="F83" s="166">
        <f>(+D83-E83)/E83</f>
        <v>-0.07619057918525002</v>
      </c>
      <c r="G83" s="241">
        <f>D83/C83</f>
        <v>0.10918875679689606</v>
      </c>
      <c r="H83" s="242">
        <f>1-G83</f>
        <v>0.8908112432031039</v>
      </c>
      <c r="I83" s="157"/>
    </row>
    <row r="84" spans="1:9" ht="15">
      <c r="A84" s="164"/>
      <c r="B84" s="165">
        <f>DATE(22,9,1)</f>
        <v>8280</v>
      </c>
      <c r="C84" s="226">
        <v>32450974.03</v>
      </c>
      <c r="D84" s="226">
        <v>3766686.61</v>
      </c>
      <c r="E84" s="226">
        <v>3519488.37</v>
      </c>
      <c r="F84" s="166">
        <f>(+D84-E84)/E84</f>
        <v>0.07023698163264558</v>
      </c>
      <c r="G84" s="241">
        <f>D84/C84</f>
        <v>0.11607314487749444</v>
      </c>
      <c r="H84" s="242">
        <f>1-G84</f>
        <v>0.8839268551225056</v>
      </c>
      <c r="I84" s="157"/>
    </row>
    <row r="85" spans="1:9" ht="15" thickBot="1">
      <c r="A85" s="167"/>
      <c r="B85" s="168"/>
      <c r="C85" s="226"/>
      <c r="D85" s="226"/>
      <c r="E85" s="226"/>
      <c r="F85" s="166"/>
      <c r="G85" s="241"/>
      <c r="H85" s="242"/>
      <c r="I85" s="157"/>
    </row>
    <row r="86" spans="1:9" ht="16.5" thickBot="1" thickTop="1">
      <c r="A86" s="169" t="s">
        <v>14</v>
      </c>
      <c r="B86" s="155"/>
      <c r="C86" s="223">
        <f>SUM(C82:C85)</f>
        <v>99901965.99000001</v>
      </c>
      <c r="D86" s="223">
        <f>SUM(D82:D85)</f>
        <v>11216132.8</v>
      </c>
      <c r="E86" s="223">
        <f>SUM(E82:E85)</f>
        <v>11281089.600000001</v>
      </c>
      <c r="F86" s="176">
        <f>(+D86-E86)/E86</f>
        <v>-0.0057580253595362575</v>
      </c>
      <c r="G86" s="245">
        <f>D86/C86</f>
        <v>0.11227139214780532</v>
      </c>
      <c r="H86" s="246">
        <f>1-G86</f>
        <v>0.8877286078521947</v>
      </c>
      <c r="I86" s="157"/>
    </row>
    <row r="87" spans="1:9" ht="15.75" thickBot="1" thickTop="1">
      <c r="A87" s="171"/>
      <c r="B87" s="172"/>
      <c r="C87" s="227"/>
      <c r="D87" s="227"/>
      <c r="E87" s="227"/>
      <c r="F87" s="173"/>
      <c r="G87" s="243"/>
      <c r="H87" s="244"/>
      <c r="I87" s="157"/>
    </row>
    <row r="88" spans="1:9" ht="16.5" thickBot="1" thickTop="1">
      <c r="A88" s="184" t="s">
        <v>38</v>
      </c>
      <c r="B88" s="155"/>
      <c r="C88" s="223">
        <f>C86+C80+C62+C50+C38+C26+C14+C32+C74+C20+C56+C68+C44</f>
        <v>4319942993.15</v>
      </c>
      <c r="D88" s="223">
        <f>D86+D80+D62+D50+D38+D26+D14+D32+D74+D20+D56+D68+D44</f>
        <v>416618390.5299999</v>
      </c>
      <c r="E88" s="223">
        <f>E86+E80+E62+E50+E38+E26+E14+E32+E74+E20+E56+E68+E44</f>
        <v>410143123.05</v>
      </c>
      <c r="F88" s="170">
        <f>(+D88-E88)/E88</f>
        <v>0.015787824093811537</v>
      </c>
      <c r="G88" s="236">
        <f>D88/C88</f>
        <v>0.0964407148868906</v>
      </c>
      <c r="H88" s="237">
        <f>1-G88</f>
        <v>0.9035592851131093</v>
      </c>
      <c r="I88" s="157"/>
    </row>
    <row r="89" spans="1:9" ht="16.5" thickBot="1" thickTop="1">
      <c r="A89" s="184"/>
      <c r="B89" s="155"/>
      <c r="C89" s="223"/>
      <c r="D89" s="223"/>
      <c r="E89" s="223"/>
      <c r="F89" s="170"/>
      <c r="G89" s="236"/>
      <c r="H89" s="237"/>
      <c r="I89" s="157"/>
    </row>
    <row r="90" spans="1:9" ht="16.5" thickBot="1" thickTop="1">
      <c r="A90" s="184" t="s">
        <v>39</v>
      </c>
      <c r="B90" s="155"/>
      <c r="C90" s="223">
        <f>+C12+C18+C24+C30+C36+C42+C48+C54+C60+C66+C72+C78+C84</f>
        <v>1396566862.9800003</v>
      </c>
      <c r="D90" s="223">
        <f>+D12+D18+D24+D30+D36+D42+D48+D54+D60+D66+D72+D78+D84</f>
        <v>135240837.25</v>
      </c>
      <c r="E90" s="223">
        <f>+E12+E18+E24+E30+E36+E42+E48+E54+E60+E66+E72+E78+E84</f>
        <v>132187057.81000002</v>
      </c>
      <c r="F90" s="170">
        <f>(+D90-E90)/E90</f>
        <v>0.023101954840309358</v>
      </c>
      <c r="G90" s="236">
        <f>D90/C90</f>
        <v>0.09683806829085329</v>
      </c>
      <c r="H90" s="246">
        <f>1-G90</f>
        <v>0.9031619317091467</v>
      </c>
      <c r="I90" s="157"/>
    </row>
    <row r="91" spans="1:9" ht="15.75" thickTop="1">
      <c r="A91" s="185"/>
      <c r="B91" s="186"/>
      <c r="C91" s="231"/>
      <c r="D91" s="231"/>
      <c r="E91" s="231"/>
      <c r="F91" s="187"/>
      <c r="G91" s="250"/>
      <c r="H91" s="250"/>
      <c r="I91" s="151"/>
    </row>
    <row r="92" spans="1:9" ht="16.5" customHeight="1">
      <c r="A92" s="188" t="s">
        <v>49</v>
      </c>
      <c r="B92" s="189"/>
      <c r="C92" s="232"/>
      <c r="D92" s="232"/>
      <c r="E92" s="232"/>
      <c r="F92" s="190"/>
      <c r="G92" s="251"/>
      <c r="H92" s="251"/>
      <c r="I92" s="151"/>
    </row>
    <row r="93" spans="1:9" ht="15">
      <c r="A93" s="191"/>
      <c r="B93" s="189"/>
      <c r="C93" s="232"/>
      <c r="D93" s="232"/>
      <c r="E93" s="232"/>
      <c r="F93" s="190"/>
      <c r="G93" s="257"/>
      <c r="H93" s="257"/>
      <c r="I93" s="151"/>
    </row>
    <row r="94" spans="1:9" ht="15">
      <c r="A94" s="72"/>
      <c r="I94" s="151"/>
    </row>
  </sheetData>
  <sheetProtection/>
  <printOptions horizontalCentered="1"/>
  <pageMargins left="0.75" right="0.25" top="0.3194" bottom="0.2" header="0.5" footer="0.5"/>
  <pageSetup horizontalDpi="600" verticalDpi="600" orientation="landscape" scale="65" r:id="rId1"/>
  <rowBreaks count="1" manualBreakCount="1">
    <brk id="5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Jennifer Bruns</cp:lastModifiedBy>
  <cp:lastPrinted>2022-10-06T14:46:36Z</cp:lastPrinted>
  <dcterms:created xsi:type="dcterms:W3CDTF">2003-09-09T14:41:43Z</dcterms:created>
  <dcterms:modified xsi:type="dcterms:W3CDTF">2022-10-06T14:46:39Z</dcterms:modified>
  <cp:category/>
  <cp:version/>
  <cp:contentType/>
  <cp:contentStatus/>
</cp:coreProperties>
</file>