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7536" windowHeight="4056" activeTab="0"/>
  </bookViews>
  <sheets>
    <sheet name="MONTHLY STATS" sheetId="1" r:id="rId1"/>
    <sheet name="YTD TAXES" sheetId="2" r:id="rId2"/>
    <sheet name="TABLE STATS" sheetId="3" r:id="rId3"/>
    <sheet name="HYBRID STATS" sheetId="4" r:id="rId4"/>
    <sheet name="SLOT STATS" sheetId="5" r:id="rId5"/>
  </sheets>
  <definedNames>
    <definedName name="_xlnm.Print_Area" localSheetId="0">'MONTHLY STATS'!$A$1:$M$78</definedName>
    <definedName name="_xlnm.Print_Area" localSheetId="4">'SLOT STATS'!$A$1:$I$79</definedName>
    <definedName name="_xlnm.Print_Area" localSheetId="2">'TABLE STATS'!$A$1:$H$78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fullCalcOnLoad="1"/>
</workbook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<sst xmlns="http://schemas.openxmlformats.org/spreadsheetml/2006/main" count="241" uniqueCount="79">
  <si>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</si>
  <si>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</si>
  <si>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</si>
  <si>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</si>
  <si>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</si>
  <si>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</si>
  <si>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</si>
  <si>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</si>
  <si>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</si>
  <si>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</si>
  <si>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</si>
  <si>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</si>
  <si>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</si>
  <si>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</si>
  <si>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</si>
  <si>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</si>
  <si>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</si>
  <si>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</si>
  <si>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</si>
  <si>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</si>
  <si>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</si>
  <si>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</si>
  <si>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</si>
  <si>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</si>
  <si>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</si>
  <si>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</si>
  <si>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</si>
  <si>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</si>
  <si>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</si>
  <si>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</si>
  <si>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</si>
  <si>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</si>
  <si>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</si>
  <si>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</si>
  <si>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</si>
  <si>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</si>
  <si>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</si>
  <si>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</si>
  <si>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</si>
  <si>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</si>
  <si>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</si>
  <si>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</si>
  <si>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</si>
  <si>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</si>
  <si>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</si>
  <si>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</si>
  <si>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</si>
  <si>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</si>
  <si>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</si>
  <si>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</si>
  <si>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</si>
  <si>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</si>
  <si>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</si>
  <si>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</si>
  <si>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</si>
  <si>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</si>
  <si>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</si>
  <si>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</si>
  <si>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</si>
  <si>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</si>
  <si>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</si>
  <si>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</si>
  <si>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</si>
  <si>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</si>
  <si>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</si>
  <si>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</si>
  <si>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</si>
  <si>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</si>
  <si>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</si>
  <si>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</si>
  <si>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</si>
  <si>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2023 YTD ADMISSIONS, PATRONS AND AGR SUMMARY </t>
  </si>
  <si>
    <t>MONTH ENDED:  AUGUST 31, 2022</t>
  </si>
  <si>
    <t>(as reported on the tax remittal database dtd 9/9/22)</t>
  </si>
  <si>
    <t>FOR THE MONTH ENDED:   AUGUST 31, 2022</t>
  </si>
  <si>
    <t>THRU MONTH ENDED:   AUGUST 31, 2022</t>
  </si>
  <si>
    <t>(as reported on the tax remittal database as of 9/9/22)</t>
  </si>
  <si>
    <t>THRU MONTH ENDED:    AUGUST 31, 2022</t>
  </si>
  <si>
    <t>THRU MONTH ENDED:     AUGUST 31,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</si>
</sst>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  <numFmt numFmtId="168" formatCode="0.00000000000000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1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167" fontId="0" fillId="0" borderId="15" xfId="53" applyNumberFormat="1" applyFont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8"/>
  <sheetViews>
    <sheetView tabSelected="1" showOutlineSymbols="0" workbookViewId="0" topLeftCell="A1">
      <selection activeCell="A81" sqref="A81"/>
    </sheetView>
  </sheetViews>
  <sheetFormatPr defaultColWidth="9.6640625" defaultRowHeight="15"/>
  <cols>
    <col min="1" max="1" width="26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7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5.7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">
      <c r="A9" s="19" t="s">
        <v>13</v>
      </c>
      <c r="B9" s="20">
        <f>DATE(2022,7,1)</f>
        <v>44743</v>
      </c>
      <c r="C9" s="21">
        <v>217943</v>
      </c>
      <c r="D9" s="22">
        <v>232803</v>
      </c>
      <c r="E9" s="23">
        <f>(+C9-D9)/D9</f>
        <v>-0.06383079255851513</v>
      </c>
      <c r="F9" s="21">
        <f>+C9-101378</f>
        <v>116565</v>
      </c>
      <c r="G9" s="21">
        <f>+D9-107437</f>
        <v>125366</v>
      </c>
      <c r="H9" s="23">
        <f>(+F9-G9)/G9</f>
        <v>-0.0702024472344974</v>
      </c>
      <c r="I9" s="24">
        <f>K9/C9</f>
        <v>73.39293026158217</v>
      </c>
      <c r="J9" s="24">
        <f>K9/F9</f>
        <v>137.22365547119634</v>
      </c>
      <c r="K9" s="21">
        <v>15995475.4</v>
      </c>
      <c r="L9" s="21">
        <v>15939478.61</v>
      </c>
      <c r="M9" s="25">
        <f>(+K9-L9)/L9</f>
        <v>0.0035130879353149035</v>
      </c>
      <c r="N9" s="10"/>
      <c r="R9" s="2"/>
    </row>
    <row r="10" spans="1:18" ht="15">
      <c r="A10" s="19"/>
      <c r="B10" s="20">
        <f>DATE(2022,8,1)</f>
        <v>44774</v>
      </c>
      <c r="C10" s="21">
        <v>199444</v>
      </c>
      <c r="D10" s="22">
        <v>224849</v>
      </c>
      <c r="E10" s="23">
        <f>(+C10-D10)/D10</f>
        <v>-0.11298693790054659</v>
      </c>
      <c r="F10" s="21">
        <f>+C10-93160</f>
        <v>106284</v>
      </c>
      <c r="G10" s="21">
        <f>+D10-102898</f>
        <v>121951</v>
      </c>
      <c r="H10" s="23">
        <f>(+F10-G10)/G10</f>
        <v>-0.12846963124533625</v>
      </c>
      <c r="I10" s="24">
        <f>K10/C10</f>
        <v>76.15323835262029</v>
      </c>
      <c r="J10" s="24">
        <f>K10/F10</f>
        <v>142.90303780437318</v>
      </c>
      <c r="K10" s="21">
        <v>15188306.47</v>
      </c>
      <c r="L10" s="21">
        <v>15076597.12</v>
      </c>
      <c r="M10" s="25">
        <f>(+K10-L10)/L10</f>
        <v>0.0074094538118162235</v>
      </c>
      <c r="N10" s="10"/>
      <c r="R10" s="2"/>
    </row>
    <row r="11" spans="1:18" ht="15.75" customHeight="1" thickBot="1">
      <c r="A11" s="19"/>
      <c r="B11" s="20"/>
      <c r="C11" s="21"/>
      <c r="D11" s="21"/>
      <c r="E11" s="23"/>
      <c r="F11" s="21"/>
      <c r="G11" s="21"/>
      <c r="H11" s="23"/>
      <c r="I11" s="24"/>
      <c r="J11" s="24"/>
      <c r="K11" s="21"/>
      <c r="L11" s="21"/>
      <c r="M11" s="25"/>
      <c r="N11" s="10"/>
      <c r="R11" s="2"/>
    </row>
    <row r="12" spans="1:18" ht="16.5" thickBot="1" thickTop="1">
      <c r="A12" s="26" t="s">
        <v>14</v>
      </c>
      <c r="B12" s="27"/>
      <c r="C12" s="28">
        <f>SUM(C9:C11)</f>
        <v>417387</v>
      </c>
      <c r="D12" s="28">
        <f>SUM(D9:D11)</f>
        <v>457652</v>
      </c>
      <c r="E12" s="279">
        <f>(+C12-D12)/D12</f>
        <v>-0.08798169788398172</v>
      </c>
      <c r="F12" s="28">
        <f>SUM(F9:F11)</f>
        <v>222849</v>
      </c>
      <c r="G12" s="28">
        <f>SUM(G9:G11)</f>
        <v>247317</v>
      </c>
      <c r="H12" s="30">
        <f>(+F12-G12)/G12</f>
        <v>-0.09893375708099322</v>
      </c>
      <c r="I12" s="31">
        <f>K12/C12</f>
        <v>74.71191453016026</v>
      </c>
      <c r="J12" s="31">
        <f>K12/F12</f>
        <v>139.93233925213934</v>
      </c>
      <c r="K12" s="28">
        <f>SUM(K9:K11)</f>
        <v>31183781.87</v>
      </c>
      <c r="L12" s="28">
        <f>SUM(L9:L11)</f>
        <v>31016075.729999997</v>
      </c>
      <c r="M12" s="32">
        <f>(+K12-L12)/L12</f>
        <v>0.005407071528323365</v>
      </c>
      <c r="N12" s="10"/>
      <c r="R12" s="2"/>
    </row>
    <row r="13" spans="1:18" ht="15.75" customHeight="1" thickTop="1">
      <c r="A13" s="15"/>
      <c r="B13" s="16"/>
      <c r="C13" s="16"/>
      <c r="D13" s="16"/>
      <c r="E13" s="17"/>
      <c r="F13" s="16"/>
      <c r="G13" s="16"/>
      <c r="H13" s="17"/>
      <c r="I13" s="16"/>
      <c r="J13" s="16"/>
      <c r="K13" s="195"/>
      <c r="L13" s="195"/>
      <c r="M13" s="18"/>
      <c r="N13" s="10"/>
      <c r="R13" s="2"/>
    </row>
    <row r="14" spans="1:18" ht="15">
      <c r="A14" s="19" t="s">
        <v>15</v>
      </c>
      <c r="B14" s="20">
        <f>DATE(2022,7,1)</f>
        <v>44743</v>
      </c>
      <c r="C14" s="21">
        <v>114715</v>
      </c>
      <c r="D14" s="21">
        <v>116107</v>
      </c>
      <c r="E14" s="23">
        <f>(+C14-D14)/D14</f>
        <v>-0.011988941235239909</v>
      </c>
      <c r="F14" s="21">
        <f>+C14-55568</f>
        <v>59147</v>
      </c>
      <c r="G14" s="21">
        <f>+D14-56210</f>
        <v>59897</v>
      </c>
      <c r="H14" s="23">
        <f>(+F14-G14)/G14</f>
        <v>-0.012521495233484147</v>
      </c>
      <c r="I14" s="24">
        <f>K14/C14</f>
        <v>73.18793714858563</v>
      </c>
      <c r="J14" s="24">
        <f>K14/F14</f>
        <v>141.9472536223308</v>
      </c>
      <c r="K14" s="21">
        <v>8395754.21</v>
      </c>
      <c r="L14" s="21">
        <v>8058935.65</v>
      </c>
      <c r="M14" s="25">
        <f>(+K14-L14)/L14</f>
        <v>0.041794422319279906</v>
      </c>
      <c r="N14" s="10"/>
      <c r="R14" s="2"/>
    </row>
    <row r="15" spans="1:18" ht="15">
      <c r="A15" s="19"/>
      <c r="B15" s="20">
        <f>DATE(2022,8,1)</f>
        <v>44774</v>
      </c>
      <c r="C15" s="21">
        <v>103784</v>
      </c>
      <c r="D15" s="21">
        <v>103353</v>
      </c>
      <c r="E15" s="23">
        <f>(+C15-D15)/D15</f>
        <v>0.004170174063645951</v>
      </c>
      <c r="F15" s="21">
        <f>+C15-49858</f>
        <v>53926</v>
      </c>
      <c r="G15" s="21">
        <f>+D15-50446</f>
        <v>52907</v>
      </c>
      <c r="H15" s="23">
        <f>(+F15-G15)/G15</f>
        <v>0.019260211314192827</v>
      </c>
      <c r="I15" s="24">
        <f>K15/C15</f>
        <v>72.90103994835428</v>
      </c>
      <c r="J15" s="24">
        <f>K15/F15</f>
        <v>140.30266531914106</v>
      </c>
      <c r="K15" s="21">
        <v>7565961.53</v>
      </c>
      <c r="L15" s="21">
        <v>7190146.61</v>
      </c>
      <c r="M15" s="25">
        <f>(+K15-L15)/L15</f>
        <v>0.05226804686810133</v>
      </c>
      <c r="N15" s="10"/>
      <c r="R15" s="2"/>
    </row>
    <row r="16" spans="1:18" ht="15.75" customHeight="1" thickBot="1">
      <c r="A16" s="19"/>
      <c r="B16" s="20"/>
      <c r="C16" s="21"/>
      <c r="D16" s="21"/>
      <c r="E16" s="23"/>
      <c r="F16" s="21"/>
      <c r="G16" s="21"/>
      <c r="H16" s="23"/>
      <c r="I16" s="24"/>
      <c r="J16" s="24"/>
      <c r="K16" s="21"/>
      <c r="L16" s="21"/>
      <c r="M16" s="25"/>
      <c r="N16" s="10"/>
      <c r="R16" s="2"/>
    </row>
    <row r="17" spans="1:18" ht="17.25" customHeight="1" thickBot="1" thickTop="1">
      <c r="A17" s="26" t="s">
        <v>14</v>
      </c>
      <c r="B17" s="27"/>
      <c r="C17" s="28">
        <f>SUM(C14:C16)</f>
        <v>218499</v>
      </c>
      <c r="D17" s="28">
        <f>SUM(D14:D16)</f>
        <v>219460</v>
      </c>
      <c r="E17" s="279">
        <f>(+C17-D17)/D17</f>
        <v>-0.004378930101157386</v>
      </c>
      <c r="F17" s="28">
        <f>SUM(F14:F16)</f>
        <v>113073</v>
      </c>
      <c r="G17" s="28">
        <f>SUM(G14:G16)</f>
        <v>112804</v>
      </c>
      <c r="H17" s="30">
        <f>(+F17-G17)/G17</f>
        <v>0.0023846672103826107</v>
      </c>
      <c r="I17" s="31">
        <f>K17/C17</f>
        <v>73.05166495041168</v>
      </c>
      <c r="J17" s="31">
        <f>K17/F17</f>
        <v>141.16292784307484</v>
      </c>
      <c r="K17" s="28">
        <f>SUM(K14:K16)</f>
        <v>15961715.740000002</v>
      </c>
      <c r="L17" s="28">
        <f>SUM(L14:L16)</f>
        <v>15249082.260000002</v>
      </c>
      <c r="M17" s="32">
        <f>(+K17-L17)/L17</f>
        <v>0.046732876631488535</v>
      </c>
      <c r="N17" s="10"/>
      <c r="R17" s="2"/>
    </row>
    <row r="18" spans="1:18" ht="15.75" customHeight="1" thickTop="1">
      <c r="A18" s="33"/>
      <c r="B18" s="34"/>
      <c r="C18" s="35"/>
      <c r="D18" s="35"/>
      <c r="E18" s="29"/>
      <c r="F18" s="35"/>
      <c r="G18" s="35"/>
      <c r="H18" s="29"/>
      <c r="I18" s="36"/>
      <c r="J18" s="36"/>
      <c r="K18" s="35"/>
      <c r="L18" s="35"/>
      <c r="M18" s="37"/>
      <c r="N18" s="10"/>
      <c r="R18" s="2"/>
    </row>
    <row r="19" spans="1:18" ht="15.75" customHeight="1">
      <c r="A19" s="19" t="s">
        <v>62</v>
      </c>
      <c r="B19" s="20">
        <f>DATE(2022,7,1)</f>
        <v>44743</v>
      </c>
      <c r="C19" s="21">
        <v>56544</v>
      </c>
      <c r="D19" s="21">
        <v>66837</v>
      </c>
      <c r="E19" s="23">
        <f>(+C19-D19)/D19</f>
        <v>-0.1540015261008124</v>
      </c>
      <c r="F19" s="21">
        <f>+C19-31773</f>
        <v>24771</v>
      </c>
      <c r="G19" s="21">
        <f>+D19-37212</f>
        <v>29625</v>
      </c>
      <c r="H19" s="23">
        <f>(+F19-G19)/G19</f>
        <v>-0.16384810126582278</v>
      </c>
      <c r="I19" s="24">
        <f>K19/C19</f>
        <v>66.96577355687606</v>
      </c>
      <c r="J19" s="24">
        <f>K19/F19</f>
        <v>152.8607121230471</v>
      </c>
      <c r="K19" s="21">
        <v>3786512.7</v>
      </c>
      <c r="L19" s="21">
        <v>4599517.95</v>
      </c>
      <c r="M19" s="25">
        <f>(+K19-L19)/L19</f>
        <v>-0.17675879490806204</v>
      </c>
      <c r="N19" s="10"/>
      <c r="R19" s="2"/>
    </row>
    <row r="20" spans="1:18" ht="15.75" customHeight="1">
      <c r="A20" s="19"/>
      <c r="B20" s="20">
        <f>DATE(2022,8,1)</f>
        <v>44774</v>
      </c>
      <c r="C20" s="21">
        <v>49669</v>
      </c>
      <c r="D20" s="21">
        <v>56112</v>
      </c>
      <c r="E20" s="23">
        <f>(+C20-D20)/D20</f>
        <v>-0.11482392358140861</v>
      </c>
      <c r="F20" s="21">
        <f>+C20-27651</f>
        <v>22018</v>
      </c>
      <c r="G20" s="21">
        <f>+D20-31048</f>
        <v>25064</v>
      </c>
      <c r="H20" s="23">
        <f>(+F20-G20)/G20</f>
        <v>-0.12152888605170763</v>
      </c>
      <c r="I20" s="24">
        <f>K20/C20</f>
        <v>70.40636030522056</v>
      </c>
      <c r="J20" s="24">
        <f>K20/F20</f>
        <v>158.8252116450177</v>
      </c>
      <c r="K20" s="21">
        <v>3497013.51</v>
      </c>
      <c r="L20" s="21">
        <v>3838097.49</v>
      </c>
      <c r="M20" s="25">
        <f>(+K20-L20)/L20</f>
        <v>-0.0888679823502869</v>
      </c>
      <c r="N20" s="10"/>
      <c r="R20" s="2"/>
    </row>
    <row r="21" spans="1:18" ht="15.75" customHeight="1" thickBot="1">
      <c r="A21" s="38"/>
      <c r="B21" s="20"/>
      <c r="C21" s="21"/>
      <c r="D21" s="21"/>
      <c r="E21" s="23"/>
      <c r="F21" s="21"/>
      <c r="G21" s="21"/>
      <c r="H21" s="23"/>
      <c r="I21" s="24"/>
      <c r="J21" s="24"/>
      <c r="K21" s="21"/>
      <c r="L21" s="21"/>
      <c r="M21" s="25"/>
      <c r="N21" s="10"/>
      <c r="R21" s="2"/>
    </row>
    <row r="22" spans="1:18" ht="17.25" customHeight="1" thickBot="1" thickTop="1">
      <c r="A22" s="39" t="s">
        <v>14</v>
      </c>
      <c r="B22" s="40"/>
      <c r="C22" s="41">
        <f>SUM(C19:C21)</f>
        <v>106213</v>
      </c>
      <c r="D22" s="41">
        <f>SUM(D19:D21)</f>
        <v>122949</v>
      </c>
      <c r="E22" s="280">
        <f>(+C22-D22)/D22</f>
        <v>-0.1361214812645894</v>
      </c>
      <c r="F22" s="41">
        <f>SUM(F19:F21)</f>
        <v>46789</v>
      </c>
      <c r="G22" s="41">
        <f>SUM(G19:G21)</f>
        <v>54689</v>
      </c>
      <c r="H22" s="42">
        <f>(+F22-G22)/G22</f>
        <v>-0.1444531807127576</v>
      </c>
      <c r="I22" s="43">
        <f>K22/C22</f>
        <v>68.57471505371282</v>
      </c>
      <c r="J22" s="43">
        <f>K22/F22</f>
        <v>155.6674904357862</v>
      </c>
      <c r="K22" s="41">
        <f>SUM(K19:K21)</f>
        <v>7283526.21</v>
      </c>
      <c r="L22" s="41">
        <f>SUM(L19:L21)</f>
        <v>8437615.440000001</v>
      </c>
      <c r="M22" s="44">
        <f>(+K22-L22)/L22</f>
        <v>-0.13677907439687736</v>
      </c>
      <c r="N22" s="10"/>
      <c r="R22" s="2"/>
    </row>
    <row r="23" spans="1:18" ht="15.75" customHeight="1" thickTop="1">
      <c r="A23" s="38"/>
      <c r="B23" s="45"/>
      <c r="C23" s="21"/>
      <c r="D23" s="21"/>
      <c r="E23" s="23"/>
      <c r="F23" s="21"/>
      <c r="G23" s="21"/>
      <c r="H23" s="23"/>
      <c r="I23" s="24"/>
      <c r="J23" s="24"/>
      <c r="K23" s="21"/>
      <c r="L23" s="21"/>
      <c r="M23" s="25"/>
      <c r="N23" s="10"/>
      <c r="R23" s="2"/>
    </row>
    <row r="24" spans="1:18" ht="15.75" customHeight="1">
      <c r="A24" s="177" t="s">
        <v>58</v>
      </c>
      <c r="B24" s="20">
        <f>DATE(2022,7,1)</f>
        <v>44743</v>
      </c>
      <c r="C24" s="21">
        <v>327697</v>
      </c>
      <c r="D24" s="21">
        <v>337225</v>
      </c>
      <c r="E24" s="23">
        <f>(+C24-D24)/D24</f>
        <v>-0.028254132997257025</v>
      </c>
      <c r="F24" s="21">
        <f>+C24-165744</f>
        <v>161953</v>
      </c>
      <c r="G24" s="21">
        <f>+D24-176904</f>
        <v>160321</v>
      </c>
      <c r="H24" s="23">
        <f>(+F24-G24)/G24</f>
        <v>0.010179577223195964</v>
      </c>
      <c r="I24" s="24">
        <f>K24/C24</f>
        <v>65.31661028327997</v>
      </c>
      <c r="J24" s="24">
        <f>K24/F24</f>
        <v>132.16215346427666</v>
      </c>
      <c r="K24" s="21">
        <v>21404057.24</v>
      </c>
      <c r="L24" s="21">
        <v>19292691.57</v>
      </c>
      <c r="M24" s="25">
        <f>(+K24-L24)/L24</f>
        <v>0.10943862666021971</v>
      </c>
      <c r="N24" s="10"/>
      <c r="R24" s="2"/>
    </row>
    <row r="25" spans="1:18" ht="15.75" customHeight="1">
      <c r="A25" s="177"/>
      <c r="B25" s="20">
        <f>DATE(2022,8,1)</f>
        <v>44774</v>
      </c>
      <c r="C25" s="21">
        <v>302775</v>
      </c>
      <c r="D25" s="21">
        <v>302300</v>
      </c>
      <c r="E25" s="23">
        <f>(+C25-D25)/D25</f>
        <v>0.00157128680119087</v>
      </c>
      <c r="F25" s="21">
        <f>+C25-150422</f>
        <v>152353</v>
      </c>
      <c r="G25" s="21">
        <f>+D25-157033</f>
        <v>145267</v>
      </c>
      <c r="H25" s="23">
        <f>(+F25-G25)/G25</f>
        <v>0.04877914460958098</v>
      </c>
      <c r="I25" s="24">
        <f>K25/C25</f>
        <v>63.881155379407154</v>
      </c>
      <c r="J25" s="24">
        <f>K25/F25</f>
        <v>126.95264825766476</v>
      </c>
      <c r="K25" s="21">
        <v>19341616.82</v>
      </c>
      <c r="L25" s="21">
        <v>17616276.93</v>
      </c>
      <c r="M25" s="25">
        <f>(+K25-L25)/L25</f>
        <v>0.09794009806134449</v>
      </c>
      <c r="N25" s="10"/>
      <c r="R25" s="2"/>
    </row>
    <row r="26" spans="1:18" ht="15" thickBot="1">
      <c r="A26" s="38"/>
      <c r="B26" s="45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6.5" thickBot="1" thickTop="1">
      <c r="A27" s="39" t="s">
        <v>14</v>
      </c>
      <c r="B27" s="40"/>
      <c r="C27" s="41">
        <f>SUM(C24:C26)</f>
        <v>630472</v>
      </c>
      <c r="D27" s="41">
        <f>SUM(D24:D26)</f>
        <v>639525</v>
      </c>
      <c r="E27" s="280">
        <f>(+C27-D27)/D27</f>
        <v>-0.014155818771744655</v>
      </c>
      <c r="F27" s="41">
        <f>SUM(F24:F26)</f>
        <v>314306</v>
      </c>
      <c r="G27" s="41">
        <f>SUM(G24:G26)</f>
        <v>305588</v>
      </c>
      <c r="H27" s="42">
        <f>(+F27-G27)/G27</f>
        <v>0.02852860714425959</v>
      </c>
      <c r="I27" s="43">
        <f>K27/C27</f>
        <v>64.62725396211093</v>
      </c>
      <c r="J27" s="43">
        <f>K27/F27</f>
        <v>129.63695907809588</v>
      </c>
      <c r="K27" s="41">
        <f>SUM(K24:K26)</f>
        <v>40745674.06</v>
      </c>
      <c r="L27" s="41">
        <f>SUM(L24:L26)</f>
        <v>36908968.5</v>
      </c>
      <c r="M27" s="44">
        <f>(+K27-L27)/L27</f>
        <v>0.10395049539246816</v>
      </c>
      <c r="N27" s="10"/>
      <c r="R27" s="2"/>
    </row>
    <row r="28" spans="1:18" ht="15" thickTop="1">
      <c r="A28" s="38"/>
      <c r="B28" s="45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5">
      <c r="A29" s="19" t="s">
        <v>60</v>
      </c>
      <c r="B29" s="20">
        <f>DATE(2022,7,1)</f>
        <v>44743</v>
      </c>
      <c r="C29" s="21">
        <v>219130</v>
      </c>
      <c r="D29" s="21">
        <v>256229</v>
      </c>
      <c r="E29" s="23">
        <f>(+C29-D29)/D29</f>
        <v>-0.14478845095598078</v>
      </c>
      <c r="F29" s="21">
        <f>+C29-103416</f>
        <v>115714</v>
      </c>
      <c r="G29" s="21">
        <f>+D29-120621</f>
        <v>135608</v>
      </c>
      <c r="H29" s="23">
        <f>(+F29-G29)/G29</f>
        <v>-0.14670225945371954</v>
      </c>
      <c r="I29" s="24">
        <f>K29/C29</f>
        <v>68.78708556564597</v>
      </c>
      <c r="J29" s="24">
        <f>K29/F29</f>
        <v>130.26352956427053</v>
      </c>
      <c r="K29" s="21">
        <v>15073314.06</v>
      </c>
      <c r="L29" s="21">
        <v>16211316.17</v>
      </c>
      <c r="M29" s="25">
        <f>(+K29-L29)/L29</f>
        <v>-0.07019800848162715</v>
      </c>
      <c r="N29" s="10"/>
      <c r="R29" s="2"/>
    </row>
    <row r="30" spans="1:18" ht="15">
      <c r="A30" s="19"/>
      <c r="B30" s="20">
        <f>DATE(2022,8,1)</f>
        <v>44774</v>
      </c>
      <c r="C30" s="21">
        <v>204381</v>
      </c>
      <c r="D30" s="21">
        <v>232853</v>
      </c>
      <c r="E30" s="23">
        <f>(+C30-D30)/D30</f>
        <v>-0.12227456807513754</v>
      </c>
      <c r="F30" s="21">
        <f>+C30-97907</f>
        <v>106474</v>
      </c>
      <c r="G30" s="21">
        <f>+D30-112411</f>
        <v>120442</v>
      </c>
      <c r="H30" s="23">
        <f>(+F30-G30)/G30</f>
        <v>-0.11597283339698776</v>
      </c>
      <c r="I30" s="24">
        <f>K30/C30</f>
        <v>74.90397996878379</v>
      </c>
      <c r="J30" s="24">
        <f>K30/F30</f>
        <v>143.78111398087796</v>
      </c>
      <c r="K30" s="21">
        <v>15308950.33</v>
      </c>
      <c r="L30" s="21">
        <v>13388857.55</v>
      </c>
      <c r="M30" s="25">
        <f>(+K30-L30)/L30</f>
        <v>0.1434097549271483</v>
      </c>
      <c r="N30" s="10"/>
      <c r="R30" s="2"/>
    </row>
    <row r="31" spans="1:18" ht="15" thickBot="1">
      <c r="A31" s="38"/>
      <c r="B31" s="20"/>
      <c r="C31" s="21"/>
      <c r="D31" s="21"/>
      <c r="E31" s="23"/>
      <c r="F31" s="21"/>
      <c r="G31" s="21"/>
      <c r="H31" s="23"/>
      <c r="I31" s="24"/>
      <c r="J31" s="24"/>
      <c r="K31" s="21"/>
      <c r="L31" s="21"/>
      <c r="M31" s="25"/>
      <c r="N31" s="10"/>
      <c r="R31" s="2"/>
    </row>
    <row r="32" spans="1:18" ht="16.5" thickBot="1" thickTop="1">
      <c r="A32" s="39" t="s">
        <v>14</v>
      </c>
      <c r="B32" s="40"/>
      <c r="C32" s="41">
        <f>SUM(C29:C31)</f>
        <v>423511</v>
      </c>
      <c r="D32" s="41">
        <f>SUM(D29:D31)</f>
        <v>489082</v>
      </c>
      <c r="E32" s="281">
        <f>(+C32-D32)/D32</f>
        <v>-0.1340695425307004</v>
      </c>
      <c r="F32" s="47">
        <f>SUM(F29:F31)</f>
        <v>222188</v>
      </c>
      <c r="G32" s="48">
        <f>SUM(G29:G31)</f>
        <v>256050</v>
      </c>
      <c r="H32" s="49">
        <f>(+F32-G32)/G32</f>
        <v>-0.13224760788908416</v>
      </c>
      <c r="I32" s="50">
        <f>K32/C32</f>
        <v>71.73902068659373</v>
      </c>
      <c r="J32" s="51">
        <f>K32/F32</f>
        <v>136.7412479071777</v>
      </c>
      <c r="K32" s="48">
        <f>SUM(K29:K31)</f>
        <v>30382264.39</v>
      </c>
      <c r="L32" s="47">
        <f>SUM(L29:L31)</f>
        <v>29600173.72</v>
      </c>
      <c r="M32" s="44">
        <f>(+K32-L32)/L32</f>
        <v>0.026421827027034144</v>
      </c>
      <c r="N32" s="10"/>
      <c r="R32" s="2"/>
    </row>
    <row r="33" spans="1:18" ht="15.75" customHeight="1" thickTop="1">
      <c r="A33" s="273"/>
      <c r="B33" s="45"/>
      <c r="C33" s="21"/>
      <c r="D33" s="21"/>
      <c r="E33" s="23"/>
      <c r="F33" s="21"/>
      <c r="G33" s="21"/>
      <c r="H33" s="23"/>
      <c r="I33" s="24"/>
      <c r="J33" s="24"/>
      <c r="K33" s="21"/>
      <c r="L33" s="21"/>
      <c r="M33" s="25"/>
      <c r="N33" s="10"/>
      <c r="R33" s="2"/>
    </row>
    <row r="34" spans="1:18" ht="15">
      <c r="A34" s="274" t="s">
        <v>61</v>
      </c>
      <c r="B34" s="20">
        <f>DATE(2022,7,1)</f>
        <v>44743</v>
      </c>
      <c r="C34" s="21">
        <v>95268</v>
      </c>
      <c r="D34" s="21">
        <v>104293</v>
      </c>
      <c r="E34" s="23">
        <f>(+C34-D34)/D34</f>
        <v>-0.08653505029100707</v>
      </c>
      <c r="F34" s="21">
        <f>+C34-47922</f>
        <v>47346</v>
      </c>
      <c r="G34" s="21">
        <f>+D34-51816</f>
        <v>52477</v>
      </c>
      <c r="H34" s="23">
        <f>(+F34-G34)/G34</f>
        <v>-0.09777616860719934</v>
      </c>
      <c r="I34" s="24">
        <f>K34/C34</f>
        <v>65.71094281395641</v>
      </c>
      <c r="J34" s="24">
        <f>K34/F34</f>
        <v>132.22130908630083</v>
      </c>
      <c r="K34" s="21">
        <v>6260150.1</v>
      </c>
      <c r="L34" s="21">
        <v>6473124.34</v>
      </c>
      <c r="M34" s="25">
        <f>(+K34-L34)/L34</f>
        <v>-0.03290130527602382</v>
      </c>
      <c r="N34" s="10"/>
      <c r="R34" s="2"/>
    </row>
    <row r="35" spans="1:18" ht="15">
      <c r="A35" s="274"/>
      <c r="B35" s="20">
        <f>DATE(2022,8,1)</f>
        <v>44774</v>
      </c>
      <c r="C35" s="21">
        <v>85207</v>
      </c>
      <c r="D35" s="21">
        <v>93122</v>
      </c>
      <c r="E35" s="23">
        <f>(+C35-D35)/D35</f>
        <v>-0.08499602671763923</v>
      </c>
      <c r="F35" s="21">
        <f>+C35-42478</f>
        <v>42729</v>
      </c>
      <c r="G35" s="21">
        <f>+D35-46288</f>
        <v>46834</v>
      </c>
      <c r="H35" s="23">
        <f>(+F35-G35)/G35</f>
        <v>-0.08764999786479907</v>
      </c>
      <c r="I35" s="24">
        <f>K35/C35</f>
        <v>64.13961986691234</v>
      </c>
      <c r="J35" s="24">
        <f>K35/F35</f>
        <v>127.90246881509044</v>
      </c>
      <c r="K35" s="21">
        <v>5465144.59</v>
      </c>
      <c r="L35" s="21">
        <v>5866516.67</v>
      </c>
      <c r="M35" s="25">
        <f>(+K35-L35)/L35</f>
        <v>-0.06841744472533819</v>
      </c>
      <c r="N35" s="10"/>
      <c r="R35" s="2"/>
    </row>
    <row r="36" spans="1:18" ht="15.75" customHeight="1" thickBot="1">
      <c r="A36" s="19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Bot="1" thickTop="1">
      <c r="A37" s="39" t="s">
        <v>14</v>
      </c>
      <c r="B37" s="52"/>
      <c r="C37" s="47">
        <f>SUM(C34:C36)</f>
        <v>180475</v>
      </c>
      <c r="D37" s="48">
        <f>SUM(D34:D36)</f>
        <v>197415</v>
      </c>
      <c r="E37" s="281">
        <f>(+C37-D37)/D37</f>
        <v>-0.08580908238988932</v>
      </c>
      <c r="F37" s="48">
        <f>SUM(F34:F36)</f>
        <v>90075</v>
      </c>
      <c r="G37" s="47">
        <f>SUM(G34:G36)</f>
        <v>99311</v>
      </c>
      <c r="H37" s="46">
        <f>(+F37-G37)/G37</f>
        <v>-0.09300077534210711</v>
      </c>
      <c r="I37" s="51">
        <f>K37/C37</f>
        <v>64.96907987255852</v>
      </c>
      <c r="J37" s="50">
        <f>K37/F37</f>
        <v>130.1725749653067</v>
      </c>
      <c r="K37" s="47">
        <f>SUM(K34:K36)</f>
        <v>11725294.69</v>
      </c>
      <c r="L37" s="48">
        <f>SUM(L34:L36)</f>
        <v>12339641.01</v>
      </c>
      <c r="M37" s="44">
        <f>(+K37-L37)/L37</f>
        <v>-0.04978640136306529</v>
      </c>
      <c r="N37" s="10"/>
      <c r="R37" s="2"/>
    </row>
    <row r="38" spans="1:18" ht="15.75" customHeight="1" thickTop="1">
      <c r="A38" s="19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">
      <c r="A39" s="19" t="s">
        <v>67</v>
      </c>
      <c r="B39" s="20">
        <f>DATE(2022,7,1)</f>
        <v>44743</v>
      </c>
      <c r="C39" s="21">
        <v>220596</v>
      </c>
      <c r="D39" s="21">
        <v>224693</v>
      </c>
      <c r="E39" s="23">
        <f>(+C39-D39)/D39</f>
        <v>-0.018233767852136026</v>
      </c>
      <c r="F39" s="21">
        <f>+C39-105104</f>
        <v>115492</v>
      </c>
      <c r="G39" s="21">
        <f>+D39-121301</f>
        <v>103392</v>
      </c>
      <c r="H39" s="23">
        <f>(+F39-G39)/G39</f>
        <v>0.11703033116682142</v>
      </c>
      <c r="I39" s="24">
        <f>K39/C39</f>
        <v>48.08238961721881</v>
      </c>
      <c r="J39" s="24">
        <f>K39/F39</f>
        <v>91.83997869982336</v>
      </c>
      <c r="K39" s="21">
        <v>10606782.82</v>
      </c>
      <c r="L39" s="21">
        <v>9514293.57</v>
      </c>
      <c r="M39" s="25">
        <f>(+K39-L39)/L39</f>
        <v>0.11482610263832756</v>
      </c>
      <c r="N39" s="10"/>
      <c r="R39" s="2"/>
    </row>
    <row r="40" spans="1:18" ht="15">
      <c r="A40" s="19"/>
      <c r="B40" s="20">
        <f>DATE(2022,8,1)</f>
        <v>44774</v>
      </c>
      <c r="C40" s="21">
        <v>204208</v>
      </c>
      <c r="D40" s="21">
        <v>253687</v>
      </c>
      <c r="E40" s="23">
        <f>(+C40-D40)/D40</f>
        <v>-0.19503955661898323</v>
      </c>
      <c r="F40" s="21">
        <f>+C40-95602</f>
        <v>108606</v>
      </c>
      <c r="G40" s="21">
        <f>+D40-139919</f>
        <v>113768</v>
      </c>
      <c r="H40" s="23">
        <f>(+F40-G40)/G40</f>
        <v>-0.045373039870613883</v>
      </c>
      <c r="I40" s="24">
        <f>K40/C40</f>
        <v>50.441069742615376</v>
      </c>
      <c r="J40" s="24">
        <f>K40/F40</f>
        <v>94.8425498591238</v>
      </c>
      <c r="K40" s="21">
        <v>10300469.97</v>
      </c>
      <c r="L40" s="21">
        <v>9470339.94</v>
      </c>
      <c r="M40" s="25">
        <f>(+K40-L40)/L40</f>
        <v>0.08765577954533291</v>
      </c>
      <c r="N40" s="10"/>
      <c r="R40" s="2"/>
    </row>
    <row r="41" spans="1:18" ht="15.75" customHeight="1" thickBot="1">
      <c r="A41" s="19"/>
      <c r="B41" s="45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7.25" customHeight="1" thickBot="1" thickTop="1">
      <c r="A42" s="39" t="s">
        <v>14</v>
      </c>
      <c r="B42" s="52"/>
      <c r="C42" s="47">
        <f>SUM(C39:C41)</f>
        <v>424804</v>
      </c>
      <c r="D42" s="48">
        <f>SUM(D39:D41)</f>
        <v>478380</v>
      </c>
      <c r="E42" s="281">
        <f>(+C42-D42)/D42</f>
        <v>-0.11199464860571094</v>
      </c>
      <c r="F42" s="48">
        <f>SUM(F39:F41)</f>
        <v>224098</v>
      </c>
      <c r="G42" s="47">
        <f>SUM(G39:G41)</f>
        <v>217160</v>
      </c>
      <c r="H42" s="53">
        <f>(+F42-G42)/G42</f>
        <v>0.031948793516301345</v>
      </c>
      <c r="I42" s="51">
        <f>K42/C42</f>
        <v>49.2162333452604</v>
      </c>
      <c r="J42" s="50">
        <f>K42/F42</f>
        <v>93.29513333452329</v>
      </c>
      <c r="K42" s="47">
        <f>SUM(K39:K41)</f>
        <v>20907252.79</v>
      </c>
      <c r="L42" s="48">
        <f>SUM(L39:L41)</f>
        <v>18984633.509999998</v>
      </c>
      <c r="M42" s="44">
        <f>(+K42-L42)/L42</f>
        <v>0.10127239374872722</v>
      </c>
      <c r="N42" s="10"/>
      <c r="R42" s="2"/>
    </row>
    <row r="43" spans="1:18" ht="15.75" customHeight="1" thickTop="1">
      <c r="A43" s="19"/>
      <c r="B43" s="45"/>
      <c r="C43" s="21"/>
      <c r="D43" s="21"/>
      <c r="E43" s="23"/>
      <c r="F43" s="21"/>
      <c r="G43" s="21"/>
      <c r="H43" s="23"/>
      <c r="I43" s="24"/>
      <c r="J43" s="24"/>
      <c r="K43" s="21"/>
      <c r="L43" s="21"/>
      <c r="M43" s="25"/>
      <c r="N43" s="10"/>
      <c r="R43" s="2"/>
    </row>
    <row r="44" spans="1:18" ht="15.75" customHeight="1">
      <c r="A44" s="19" t="s">
        <v>69</v>
      </c>
      <c r="B44" s="20">
        <f>DATE(2022,7,1)</f>
        <v>44743</v>
      </c>
      <c r="C44" s="21">
        <v>226300</v>
      </c>
      <c r="D44" s="21">
        <v>251090</v>
      </c>
      <c r="E44" s="23">
        <f>(+C44-D44)/D44</f>
        <v>-0.09872953920904855</v>
      </c>
      <c r="F44" s="21">
        <f>+C44-105791</f>
        <v>120509</v>
      </c>
      <c r="G44" s="21">
        <f>+D44-113536</f>
        <v>137554</v>
      </c>
      <c r="H44" s="23">
        <f>(+F44-G44)/G44</f>
        <v>-0.12391497157479972</v>
      </c>
      <c r="I44" s="24">
        <f>K44/C44</f>
        <v>58.190034202386215</v>
      </c>
      <c r="J44" s="24">
        <f>K44/F44</f>
        <v>109.27320565268984</v>
      </c>
      <c r="K44" s="21">
        <v>13168404.74</v>
      </c>
      <c r="L44" s="21">
        <v>14822103.82</v>
      </c>
      <c r="M44" s="25">
        <f>(+K44-L44)/L44</f>
        <v>-0.111569794685192</v>
      </c>
      <c r="N44" s="10"/>
      <c r="R44" s="2"/>
    </row>
    <row r="45" spans="1:18" ht="15.75" customHeight="1">
      <c r="A45" s="19"/>
      <c r="B45" s="20">
        <f>DATE(2022,8,1)</f>
        <v>44774</v>
      </c>
      <c r="C45" s="21">
        <v>232604</v>
      </c>
      <c r="D45" s="21">
        <v>215479</v>
      </c>
      <c r="E45" s="23">
        <f>(+C45-D45)/D45</f>
        <v>0.07947410188463841</v>
      </c>
      <c r="F45" s="21">
        <f>+C45-107571</f>
        <v>125033</v>
      </c>
      <c r="G45" s="21">
        <f>+D45-96518</f>
        <v>118961</v>
      </c>
      <c r="H45" s="23">
        <f>(+F45-G45)/G45</f>
        <v>0.05104193811417187</v>
      </c>
      <c r="I45" s="24">
        <f>K45/C45</f>
        <v>59.877394412821786</v>
      </c>
      <c r="J45" s="24">
        <f>K45/F45</f>
        <v>111.3923640158998</v>
      </c>
      <c r="K45" s="21">
        <v>13927721.45</v>
      </c>
      <c r="L45" s="21">
        <v>13122626.66</v>
      </c>
      <c r="M45" s="25">
        <f>(+K45-L45)/L45</f>
        <v>0.06135164939608204</v>
      </c>
      <c r="N45" s="10"/>
      <c r="R45" s="2"/>
    </row>
    <row r="46" spans="1:18" ht="15.75" customHeight="1" thickBot="1">
      <c r="A46" s="19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6.5" thickBot="1" thickTop="1">
      <c r="A47" s="39" t="s">
        <v>14</v>
      </c>
      <c r="B47" s="40"/>
      <c r="C47" s="41">
        <f>SUM(C44:C46)</f>
        <v>458904</v>
      </c>
      <c r="D47" s="41">
        <f>SUM(D44:D46)</f>
        <v>466569</v>
      </c>
      <c r="E47" s="280">
        <f>(+C47-D47)/D47</f>
        <v>-0.01642843823743112</v>
      </c>
      <c r="F47" s="41">
        <f>SUM(F44:F46)</f>
        <v>245542</v>
      </c>
      <c r="G47" s="41">
        <f>SUM(G44:G46)</f>
        <v>256515</v>
      </c>
      <c r="H47" s="42">
        <f>(+F47-G47)/G47</f>
        <v>-0.042777225503381866</v>
      </c>
      <c r="I47" s="43">
        <f>K47/C47</f>
        <v>59.04530400693827</v>
      </c>
      <c r="J47" s="43">
        <f>K47/F47</f>
        <v>110.35230710021095</v>
      </c>
      <c r="K47" s="41">
        <f>SUM(K44:K46)</f>
        <v>27096126.189999998</v>
      </c>
      <c r="L47" s="41">
        <f>SUM(L44:L46)</f>
        <v>27944730.48</v>
      </c>
      <c r="M47" s="44">
        <f>(+K47-L47)/L47</f>
        <v>-0.030367238310183294</v>
      </c>
      <c r="N47" s="10"/>
      <c r="R47" s="2"/>
    </row>
    <row r="48" spans="1:18" ht="15.75" customHeight="1" thickTop="1">
      <c r="A48" s="54"/>
      <c r="B48" s="55"/>
      <c r="C48" s="55"/>
      <c r="D48" s="55"/>
      <c r="E48" s="56"/>
      <c r="F48" s="55"/>
      <c r="G48" s="55"/>
      <c r="H48" s="56"/>
      <c r="I48" s="55"/>
      <c r="J48" s="55"/>
      <c r="K48" s="196"/>
      <c r="L48" s="196"/>
      <c r="M48" s="57"/>
      <c r="N48" s="10"/>
      <c r="R48" s="2"/>
    </row>
    <row r="49" spans="1:18" ht="15.75" customHeight="1">
      <c r="A49" s="19" t="s">
        <v>16</v>
      </c>
      <c r="B49" s="20">
        <f>DATE(2022,7,1)</f>
        <v>44743</v>
      </c>
      <c r="C49" s="21">
        <v>271337</v>
      </c>
      <c r="D49" s="21">
        <v>292626</v>
      </c>
      <c r="E49" s="23">
        <f>(+C49-D49)/D49</f>
        <v>-0.0727515668464183</v>
      </c>
      <c r="F49" s="21">
        <f>+C49-134570</f>
        <v>136767</v>
      </c>
      <c r="G49" s="21">
        <f>+D49-144119</f>
        <v>148507</v>
      </c>
      <c r="H49" s="23">
        <f>(+F49-G49)/G49</f>
        <v>-0.07905351262903432</v>
      </c>
      <c r="I49" s="24">
        <f>K49/C49</f>
        <v>67.09200728245688</v>
      </c>
      <c r="J49" s="24">
        <f>K49/F49</f>
        <v>133.10626086702203</v>
      </c>
      <c r="K49" s="21">
        <v>18204543.98</v>
      </c>
      <c r="L49" s="21">
        <v>18108904.36</v>
      </c>
      <c r="M49" s="25">
        <f>(+K49-L49)/L49</f>
        <v>0.005281358722687575</v>
      </c>
      <c r="N49" s="10"/>
      <c r="R49" s="2"/>
    </row>
    <row r="50" spans="1:18" ht="15.75" customHeight="1">
      <c r="A50" s="19"/>
      <c r="B50" s="20">
        <f>DATE(2022,8,1)</f>
        <v>44774</v>
      </c>
      <c r="C50" s="21">
        <v>244622</v>
      </c>
      <c r="D50" s="21">
        <v>252812</v>
      </c>
      <c r="E50" s="23">
        <f>(+C50-D50)/D50</f>
        <v>-0.032395614132240555</v>
      </c>
      <c r="F50" s="21">
        <f>+C50-120033</f>
        <v>124589</v>
      </c>
      <c r="G50" s="21">
        <f>+D50-122587</f>
        <v>130225</v>
      </c>
      <c r="H50" s="23">
        <f>(+F50-G50)/G50</f>
        <v>-0.04327894029564216</v>
      </c>
      <c r="I50" s="24">
        <f>K50/C50</f>
        <v>67.20574674395598</v>
      </c>
      <c r="J50" s="24">
        <f>K50/F50</f>
        <v>131.95389785615103</v>
      </c>
      <c r="K50" s="21">
        <v>16440004.18</v>
      </c>
      <c r="L50" s="21">
        <v>16282457.7</v>
      </c>
      <c r="M50" s="25">
        <f>(+K50-L50)/L50</f>
        <v>0.009675841503951855</v>
      </c>
      <c r="N50" s="10"/>
      <c r="R50" s="2"/>
    </row>
    <row r="51" spans="1:18" ht="15.75" customHeight="1" thickBot="1">
      <c r="A51" s="19"/>
      <c r="B51" s="45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6.5" thickBot="1" thickTop="1">
      <c r="A52" s="39" t="s">
        <v>14</v>
      </c>
      <c r="B52" s="40"/>
      <c r="C52" s="41">
        <f>SUM(C49:C51)</f>
        <v>515959</v>
      </c>
      <c r="D52" s="41">
        <f>SUM(D49:D51)</f>
        <v>545438</v>
      </c>
      <c r="E52" s="280">
        <f>(+C52-D52)/D52</f>
        <v>-0.054046472743006536</v>
      </c>
      <c r="F52" s="41">
        <f>SUM(F49:F51)</f>
        <v>261356</v>
      </c>
      <c r="G52" s="41">
        <f>SUM(G49:G51)</f>
        <v>278732</v>
      </c>
      <c r="H52" s="42">
        <f>(+F52-G52)/G52</f>
        <v>-0.062339451516151716</v>
      </c>
      <c r="I52" s="43">
        <f>K52/C52</f>
        <v>67.14593244812087</v>
      </c>
      <c r="J52" s="43">
        <f>K52/F52</f>
        <v>132.55692679716554</v>
      </c>
      <c r="K52" s="41">
        <f>SUM(K49:K51)</f>
        <v>34644548.16</v>
      </c>
      <c r="L52" s="41">
        <f>SUM(L49:L51)</f>
        <v>34391362.06</v>
      </c>
      <c r="M52" s="44">
        <f>(+K52-L52)/L52</f>
        <v>0.007361909643423818</v>
      </c>
      <c r="N52" s="10"/>
      <c r="R52" s="2"/>
    </row>
    <row r="53" spans="1:18" ht="15.75" customHeight="1" thickTop="1">
      <c r="A53" s="54"/>
      <c r="B53" s="55"/>
      <c r="C53" s="55"/>
      <c r="D53" s="55"/>
      <c r="E53" s="56"/>
      <c r="F53" s="55"/>
      <c r="G53" s="55"/>
      <c r="H53" s="56"/>
      <c r="I53" s="55"/>
      <c r="J53" s="55"/>
      <c r="K53" s="196"/>
      <c r="L53" s="196"/>
      <c r="M53" s="57"/>
      <c r="N53" s="10"/>
      <c r="R53" s="2"/>
    </row>
    <row r="54" spans="1:18" ht="15.75" customHeight="1">
      <c r="A54" s="19" t="s">
        <v>53</v>
      </c>
      <c r="B54" s="20">
        <f>DATE(2022,7,1)</f>
        <v>44743</v>
      </c>
      <c r="C54" s="21">
        <v>358906</v>
      </c>
      <c r="D54" s="21">
        <v>338901</v>
      </c>
      <c r="E54" s="23">
        <f>(+C54-D54)/D54</f>
        <v>0.05902903797864273</v>
      </c>
      <c r="F54" s="21">
        <f>+C54-172463</f>
        <v>186443</v>
      </c>
      <c r="G54" s="21">
        <f>+D54-160819</f>
        <v>178082</v>
      </c>
      <c r="H54" s="23">
        <f>(+F54-G54)/G54</f>
        <v>0.0469502813310722</v>
      </c>
      <c r="I54" s="24">
        <f>K54/C54</f>
        <v>62.40353460237499</v>
      </c>
      <c r="J54" s="24">
        <f>K54/F54</f>
        <v>120.12788353545051</v>
      </c>
      <c r="K54" s="21">
        <v>22397002.99</v>
      </c>
      <c r="L54" s="21">
        <v>20138878.38</v>
      </c>
      <c r="M54" s="25">
        <f>(+K54-L54)/L54</f>
        <v>0.11212762535189408</v>
      </c>
      <c r="N54" s="10"/>
      <c r="R54" s="2"/>
    </row>
    <row r="55" spans="1:18" ht="15.75" customHeight="1">
      <c r="A55" s="19"/>
      <c r="B55" s="20">
        <f>DATE(2022,8,1)</f>
        <v>44774</v>
      </c>
      <c r="C55" s="21">
        <v>332390</v>
      </c>
      <c r="D55" s="21">
        <v>315503</v>
      </c>
      <c r="E55" s="23">
        <f>(+C55-D55)/D55</f>
        <v>0.05352405523877744</v>
      </c>
      <c r="F55" s="21">
        <f>+C55-159690</f>
        <v>172700</v>
      </c>
      <c r="G55" s="21">
        <f>+D55-149989</f>
        <v>165514</v>
      </c>
      <c r="H55" s="23">
        <f>(+F55-G55)/G55</f>
        <v>0.04341626690189349</v>
      </c>
      <c r="I55" s="24">
        <f>K55/C55</f>
        <v>62.33865263696261</v>
      </c>
      <c r="J55" s="24">
        <f>K55/F55</f>
        <v>119.98115083960626</v>
      </c>
      <c r="K55" s="21">
        <v>20720744.75</v>
      </c>
      <c r="L55" s="21">
        <v>19194870.57</v>
      </c>
      <c r="M55" s="25">
        <f>(+K55-L55)/L55</f>
        <v>0.07949385094499231</v>
      </c>
      <c r="N55" s="10"/>
      <c r="R55" s="2"/>
    </row>
    <row r="56" spans="1:18" ht="15.75" customHeight="1" thickBot="1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6.5" thickBot="1" thickTop="1">
      <c r="A57" s="39" t="s">
        <v>14</v>
      </c>
      <c r="B57" s="40"/>
      <c r="C57" s="41">
        <f>SUM(C54:C56)</f>
        <v>691296</v>
      </c>
      <c r="D57" s="41">
        <f>SUM(D54:D56)</f>
        <v>654404</v>
      </c>
      <c r="E57" s="280">
        <f>(+C57-D57)/D57</f>
        <v>0.05637496103324552</v>
      </c>
      <c r="F57" s="41">
        <f>SUM(F54:F56)</f>
        <v>359143</v>
      </c>
      <c r="G57" s="41">
        <f>SUM(G54:G56)</f>
        <v>343596</v>
      </c>
      <c r="H57" s="42">
        <f>(+F57-G57)/G57</f>
        <v>0.04524790742616328</v>
      </c>
      <c r="I57" s="43">
        <f>K57/C57</f>
        <v>62.372337956533805</v>
      </c>
      <c r="J57" s="43">
        <f>K57/F57</f>
        <v>120.05732463113577</v>
      </c>
      <c r="K57" s="41">
        <f>SUM(K54:K56)</f>
        <v>43117747.739999995</v>
      </c>
      <c r="L57" s="41">
        <f>SUM(L54:L56)</f>
        <v>39333748.95</v>
      </c>
      <c r="M57" s="44">
        <f>(+K57-L57)/L57</f>
        <v>0.09620234254329808</v>
      </c>
      <c r="N57" s="10"/>
      <c r="R57" s="2"/>
    </row>
    <row r="58" spans="1:18" ht="15.75" customHeight="1" thickTop="1">
      <c r="A58" s="58"/>
      <c r="B58" s="59"/>
      <c r="C58" s="59"/>
      <c r="D58" s="59"/>
      <c r="E58" s="60"/>
      <c r="F58" s="59"/>
      <c r="G58" s="59"/>
      <c r="H58" s="60"/>
      <c r="I58" s="59"/>
      <c r="J58" s="59"/>
      <c r="K58" s="197"/>
      <c r="L58" s="197"/>
      <c r="M58" s="61"/>
      <c r="N58" s="10"/>
      <c r="R58" s="2"/>
    </row>
    <row r="59" spans="1:18" ht="15" customHeight="1">
      <c r="A59" s="19" t="s">
        <v>54</v>
      </c>
      <c r="B59" s="20">
        <f>DATE(2022,7,1)</f>
        <v>44743</v>
      </c>
      <c r="C59" s="21">
        <v>45743</v>
      </c>
      <c r="D59" s="21">
        <v>54523</v>
      </c>
      <c r="E59" s="23">
        <f>(+C59-D59)/D59</f>
        <v>-0.1610329585679438</v>
      </c>
      <c r="F59" s="21">
        <f>+C59-23748</f>
        <v>21995</v>
      </c>
      <c r="G59" s="21">
        <f>+D59-27936</f>
        <v>26587</v>
      </c>
      <c r="H59" s="23">
        <f>(+F59-G59)/G59</f>
        <v>-0.17271598901718885</v>
      </c>
      <c r="I59" s="24">
        <f>K59/C59</f>
        <v>71.13247229084232</v>
      </c>
      <c r="J59" s="24">
        <f>K59/F59</f>
        <v>147.93419777222095</v>
      </c>
      <c r="K59" s="21">
        <v>3253812.68</v>
      </c>
      <c r="L59" s="21">
        <v>3636808.62</v>
      </c>
      <c r="M59" s="25">
        <f>(+K59-L59)/L59</f>
        <v>-0.1053109965406978</v>
      </c>
      <c r="N59" s="10"/>
      <c r="R59" s="2"/>
    </row>
    <row r="60" spans="1:18" ht="15" customHeight="1">
      <c r="A60" s="19"/>
      <c r="B60" s="20">
        <f>DATE(2022,8,1)</f>
        <v>44774</v>
      </c>
      <c r="C60" s="21">
        <v>40978</v>
      </c>
      <c r="D60" s="21">
        <v>47684</v>
      </c>
      <c r="E60" s="23">
        <f>(+C60-D60)/D60</f>
        <v>-0.14063417498532002</v>
      </c>
      <c r="F60" s="21">
        <f>+C60-21136</f>
        <v>19842</v>
      </c>
      <c r="G60" s="21">
        <f>+D60-24640</f>
        <v>23044</v>
      </c>
      <c r="H60" s="23">
        <f>(+F60-G60)/G60</f>
        <v>-0.1389515709078285</v>
      </c>
      <c r="I60" s="24">
        <f>K60/C60</f>
        <v>72.08604763531652</v>
      </c>
      <c r="J60" s="24">
        <f>K60/F60</f>
        <v>148.87320129019253</v>
      </c>
      <c r="K60" s="21">
        <v>2953942.06</v>
      </c>
      <c r="L60" s="21">
        <v>3224724.59</v>
      </c>
      <c r="M60" s="25">
        <f>(+K60-L60)/L60</f>
        <v>-0.0839707461653337</v>
      </c>
      <c r="N60" s="10"/>
      <c r="R60" s="2"/>
    </row>
    <row r="61" spans="1:18" ht="15" thickBot="1">
      <c r="A61" s="38"/>
      <c r="B61" s="20"/>
      <c r="C61" s="21"/>
      <c r="D61" s="21"/>
      <c r="E61" s="23"/>
      <c r="F61" s="21"/>
      <c r="G61" s="21"/>
      <c r="H61" s="23"/>
      <c r="I61" s="24"/>
      <c r="J61" s="24"/>
      <c r="K61" s="21"/>
      <c r="L61" s="21"/>
      <c r="M61" s="25"/>
      <c r="N61" s="10"/>
      <c r="R61" s="2"/>
    </row>
    <row r="62" spans="1:18" ht="16.5" thickBot="1" thickTop="1">
      <c r="A62" s="62" t="s">
        <v>14</v>
      </c>
      <c r="B62" s="52"/>
      <c r="C62" s="48">
        <f>SUM(C59:C61)</f>
        <v>86721</v>
      </c>
      <c r="D62" s="48">
        <f>SUM(D59:D61)</f>
        <v>102207</v>
      </c>
      <c r="E62" s="280">
        <f>(+C62-D62)/D62</f>
        <v>-0.15151604097566704</v>
      </c>
      <c r="F62" s="48">
        <f>SUM(F59:F61)</f>
        <v>41837</v>
      </c>
      <c r="G62" s="48">
        <f>SUM(G59:G61)</f>
        <v>49631</v>
      </c>
      <c r="H62" s="42">
        <f>(+F62-G62)/G62</f>
        <v>-0.15703894743204852</v>
      </c>
      <c r="I62" s="50">
        <f>K62/C62</f>
        <v>71.58306223406096</v>
      </c>
      <c r="J62" s="50">
        <f>K62/F62</f>
        <v>148.3795382078065</v>
      </c>
      <c r="K62" s="48">
        <f>SUM(K59:K61)</f>
        <v>6207754.74</v>
      </c>
      <c r="L62" s="48">
        <f>SUM(L59:L61)</f>
        <v>6861533.21</v>
      </c>
      <c r="M62" s="44">
        <f>(+K62-L62)/L62</f>
        <v>-0.09528168850763308</v>
      </c>
      <c r="N62" s="10"/>
      <c r="R62" s="2"/>
    </row>
    <row r="63" spans="1:18" ht="15.75" customHeight="1" thickTop="1">
      <c r="A63" s="19"/>
      <c r="B63" s="45"/>
      <c r="C63" s="21"/>
      <c r="D63" s="21"/>
      <c r="E63" s="23"/>
      <c r="F63" s="21"/>
      <c r="G63" s="21"/>
      <c r="H63" s="23"/>
      <c r="I63" s="24"/>
      <c r="J63" s="24"/>
      <c r="K63" s="21"/>
      <c r="L63" s="21"/>
      <c r="M63" s="25"/>
      <c r="N63" s="10"/>
      <c r="R63" s="2"/>
    </row>
    <row r="64" spans="1:18" ht="15">
      <c r="A64" s="19" t="s">
        <v>17</v>
      </c>
      <c r="B64" s="20">
        <f>DATE(2022,7,1)</f>
        <v>44743</v>
      </c>
      <c r="C64" s="21">
        <v>376535</v>
      </c>
      <c r="D64" s="21">
        <v>395405</v>
      </c>
      <c r="E64" s="23">
        <f>(+C64-D64)/D64</f>
        <v>-0.047723220495441386</v>
      </c>
      <c r="F64" s="21">
        <f>+C64-192471</f>
        <v>184064</v>
      </c>
      <c r="G64" s="21">
        <f>+D64-202613</f>
        <v>192792</v>
      </c>
      <c r="H64" s="23">
        <f>(+F64-G64)/G64</f>
        <v>-0.04527158803269845</v>
      </c>
      <c r="I64" s="24">
        <f>K64/C64</f>
        <v>70.90780094811903</v>
      </c>
      <c r="J64" s="24">
        <f>K64/F64</f>
        <v>145.05426824365438</v>
      </c>
      <c r="K64" s="21">
        <v>26699268.83</v>
      </c>
      <c r="L64" s="21">
        <v>26479612.13</v>
      </c>
      <c r="M64" s="25">
        <f>(+K64-L64)/L64</f>
        <v>0.00829531410511636</v>
      </c>
      <c r="N64" s="10"/>
      <c r="R64" s="2"/>
    </row>
    <row r="65" spans="1:18" ht="15">
      <c r="A65" s="19"/>
      <c r="B65" s="20">
        <f>DATE(2022,8,1)</f>
        <v>44774</v>
      </c>
      <c r="C65" s="21">
        <v>348725</v>
      </c>
      <c r="D65" s="21">
        <v>360122</v>
      </c>
      <c r="E65" s="23">
        <f>(+C65-D65)/D65</f>
        <v>-0.031647608310516995</v>
      </c>
      <c r="F65" s="21">
        <f>+C65-177430</f>
        <v>171295</v>
      </c>
      <c r="G65" s="21">
        <f>+D65-186327</f>
        <v>173795</v>
      </c>
      <c r="H65" s="23">
        <f>(+F65-G65)/G65</f>
        <v>-0.014384763658333093</v>
      </c>
      <c r="I65" s="24">
        <f>K65/C65</f>
        <v>76.33593679833679</v>
      </c>
      <c r="J65" s="24">
        <f>K65/F65</f>
        <v>155.40587617852242</v>
      </c>
      <c r="K65" s="21">
        <v>26620249.56</v>
      </c>
      <c r="L65" s="21">
        <v>24423693.36</v>
      </c>
      <c r="M65" s="25">
        <f>(+K65-L65)/L65</f>
        <v>0.08993546420777694</v>
      </c>
      <c r="N65" s="10"/>
      <c r="R65" s="2"/>
    </row>
    <row r="66" spans="1:18" ht="15" thickBot="1">
      <c r="A66" s="38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6.5" thickBot="1" thickTop="1">
      <c r="A67" s="39" t="s">
        <v>14</v>
      </c>
      <c r="B67" s="40"/>
      <c r="C67" s="41">
        <f>SUM(C64:C66)</f>
        <v>725260</v>
      </c>
      <c r="D67" s="41">
        <f>SUM(D64:D66)</f>
        <v>755527</v>
      </c>
      <c r="E67" s="280">
        <f>(+C67-D67)/D67</f>
        <v>-0.04006077876766813</v>
      </c>
      <c r="F67" s="41">
        <f>SUM(F64:F66)</f>
        <v>355359</v>
      </c>
      <c r="G67" s="41">
        <f>SUM(G64:G66)</f>
        <v>366587</v>
      </c>
      <c r="H67" s="42">
        <f>(+F67-G67)/G67</f>
        <v>-0.030628472913660332</v>
      </c>
      <c r="I67" s="43">
        <f>K67/C67</f>
        <v>73.51779829302595</v>
      </c>
      <c r="J67" s="43">
        <f>K67/F67</f>
        <v>150.0440917213297</v>
      </c>
      <c r="K67" s="41">
        <f>SUM(K64:K66)</f>
        <v>53319518.39</v>
      </c>
      <c r="L67" s="41">
        <f>SUM(L64:L66)</f>
        <v>50903305.489999995</v>
      </c>
      <c r="M67" s="44">
        <f>(+K67-L67)/L67</f>
        <v>0.047466719041942634</v>
      </c>
      <c r="N67" s="10"/>
      <c r="R67" s="2"/>
    </row>
    <row r="68" spans="1:18" ht="15.75" customHeight="1" thickTop="1">
      <c r="A68" s="19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">
      <c r="A69" s="19" t="s">
        <v>56</v>
      </c>
      <c r="B69" s="20">
        <f>DATE(2022,7,1)</f>
        <v>44743</v>
      </c>
      <c r="C69" s="21">
        <v>68778</v>
      </c>
      <c r="D69" s="21">
        <v>70527</v>
      </c>
      <c r="E69" s="23">
        <f>(+C69-D69)/D69</f>
        <v>-0.024799013143902336</v>
      </c>
      <c r="F69" s="21">
        <f>+C69-29763</f>
        <v>39015</v>
      </c>
      <c r="G69" s="21">
        <f>+D69-30135</f>
        <v>40392</v>
      </c>
      <c r="H69" s="23">
        <f>(+F69-G69)/G69</f>
        <v>-0.03409090909090909</v>
      </c>
      <c r="I69" s="24">
        <f>K69/C69</f>
        <v>60.16359446334584</v>
      </c>
      <c r="J69" s="24">
        <f>K69/F69</f>
        <v>106.060020504934</v>
      </c>
      <c r="K69" s="21">
        <v>4137931.7</v>
      </c>
      <c r="L69" s="21">
        <v>4091344.57</v>
      </c>
      <c r="M69" s="25">
        <f>(+K69-L69)/L69</f>
        <v>0.011386752986195039</v>
      </c>
      <c r="N69" s="10"/>
      <c r="R69" s="2"/>
    </row>
    <row r="70" spans="1:18" ht="15">
      <c r="A70" s="19"/>
      <c r="B70" s="20">
        <f>DATE(2022,8,1)</f>
        <v>44774</v>
      </c>
      <c r="C70" s="21">
        <v>61732</v>
      </c>
      <c r="D70" s="21">
        <v>69916</v>
      </c>
      <c r="E70" s="23">
        <f>(+C70-D70)/D70</f>
        <v>-0.1170547514159849</v>
      </c>
      <c r="F70" s="21">
        <f>+C70-26815</f>
        <v>34917</v>
      </c>
      <c r="G70" s="21">
        <f>+D70-30124</f>
        <v>39792</v>
      </c>
      <c r="H70" s="23">
        <f>(+F70-G70)/G70</f>
        <v>-0.12251206272617611</v>
      </c>
      <c r="I70" s="24">
        <f>K70/C70</f>
        <v>59.28251133933779</v>
      </c>
      <c r="J70" s="24">
        <f>K70/F70</f>
        <v>104.80934759572702</v>
      </c>
      <c r="K70" s="21">
        <v>3659627.99</v>
      </c>
      <c r="L70" s="21">
        <v>3930320.16</v>
      </c>
      <c r="M70" s="25">
        <f>(+K70-L70)/L70</f>
        <v>-0.06887280399060414</v>
      </c>
      <c r="N70" s="10"/>
      <c r="R70" s="2"/>
    </row>
    <row r="71" spans="1:18" ht="15" thickBot="1">
      <c r="A71" s="38"/>
      <c r="B71" s="45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6.5" thickBot="1" thickTop="1">
      <c r="A72" s="26" t="s">
        <v>14</v>
      </c>
      <c r="B72" s="27"/>
      <c r="C72" s="28">
        <f>SUM(C69:C71)</f>
        <v>130510</v>
      </c>
      <c r="D72" s="28">
        <f>SUM(D69:D71)</f>
        <v>140443</v>
      </c>
      <c r="E72" s="280">
        <f>(+C72-D72)/D72</f>
        <v>-0.07072620208910377</v>
      </c>
      <c r="F72" s="28">
        <f>SUM(F69:F71)</f>
        <v>73932</v>
      </c>
      <c r="G72" s="28">
        <f>SUM(G69:G71)</f>
        <v>80184</v>
      </c>
      <c r="H72" s="42">
        <f>(+F72-G72)/G72</f>
        <v>-0.07797066746483089</v>
      </c>
      <c r="I72" s="43">
        <f>K72/C72</f>
        <v>59.74683694736036</v>
      </c>
      <c r="J72" s="43">
        <f>K72/F72</f>
        <v>105.46934602066764</v>
      </c>
      <c r="K72" s="28">
        <f>SUM(K69:K71)</f>
        <v>7797559.69</v>
      </c>
      <c r="L72" s="28">
        <f>SUM(L69:L71)</f>
        <v>8021664.73</v>
      </c>
      <c r="M72" s="44">
        <f>(+K72-L72)/L72</f>
        <v>-0.02793747277443245</v>
      </c>
      <c r="N72" s="10"/>
      <c r="R72" s="2"/>
    </row>
    <row r="73" spans="1:18" ht="15.75" thickBot="1" thickTop="1">
      <c r="A73" s="63"/>
      <c r="B73" s="34"/>
      <c r="C73" s="35"/>
      <c r="D73" s="35"/>
      <c r="E73" s="29"/>
      <c r="F73" s="35"/>
      <c r="G73" s="35"/>
      <c r="H73" s="29"/>
      <c r="I73" s="36"/>
      <c r="J73" s="36"/>
      <c r="K73" s="35"/>
      <c r="L73" s="35"/>
      <c r="M73" s="37"/>
      <c r="N73" s="10"/>
      <c r="R73" s="2"/>
    </row>
    <row r="74" spans="1:18" ht="16.5" thickBot="1" thickTop="1">
      <c r="A74" s="64" t="s">
        <v>18</v>
      </c>
      <c r="B74" s="65"/>
      <c r="C74" s="28">
        <f>C72+C67+C32+C42+C47+C22+C12+C52+C57+C27+C62+C17+C37</f>
        <v>5010011</v>
      </c>
      <c r="D74" s="28">
        <f>D72+D67+D32+D42+D47+D22+D12+D52+D57+D27+D62+D17+D37</f>
        <v>5269051</v>
      </c>
      <c r="E74" s="279">
        <f>(+C74-D74)/D74</f>
        <v>-0.04916255318082896</v>
      </c>
      <c r="F74" s="28">
        <f>F72+F67+F32+F42+F47+F22+F12+F52+F57+F27+F62+F17+F37</f>
        <v>2570547</v>
      </c>
      <c r="G74" s="28">
        <f>G72+G67+G32+G42+G47+G22+G12+G52+G57+G27+G62+G17+G37</f>
        <v>2668164</v>
      </c>
      <c r="H74" s="30">
        <f>(+F74-G74)/G74</f>
        <v>-0.03658583205530095</v>
      </c>
      <c r="I74" s="31">
        <f>K74/C74</f>
        <v>65.94252281282417</v>
      </c>
      <c r="J74" s="31">
        <f>K74/F74</f>
        <v>128.52235911656157</v>
      </c>
      <c r="K74" s="28">
        <f>K72+K67+K32+K42+K47+K22+K12+K52+K57+K27+K62+K17+K37</f>
        <v>330372764.66</v>
      </c>
      <c r="L74" s="28">
        <f>L72+L67+L32+L42+L47+L22+L12+L52+L57+L27+L62+L17+L37</f>
        <v>319992535.0899999</v>
      </c>
      <c r="M74" s="32">
        <f>(+K74-L74)/L74</f>
        <v>0.03243897413757045</v>
      </c>
      <c r="N74" s="10"/>
      <c r="R74" s="2"/>
    </row>
    <row r="75" spans="1:18" ht="16.5" thickBot="1" thickTop="1">
      <c r="A75" s="64"/>
      <c r="B75" s="65"/>
      <c r="C75" s="28"/>
      <c r="D75" s="28"/>
      <c r="E75" s="29"/>
      <c r="F75" s="28"/>
      <c r="G75" s="28"/>
      <c r="H75" s="30"/>
      <c r="I75" s="31"/>
      <c r="J75" s="31"/>
      <c r="K75" s="28"/>
      <c r="L75" s="28"/>
      <c r="M75" s="32"/>
      <c r="N75" s="10"/>
      <c r="R75" s="2"/>
    </row>
    <row r="76" spans="1:18" ht="16.5" thickBot="1" thickTop="1">
      <c r="A76" s="64" t="s">
        <v>19</v>
      </c>
      <c r="B76" s="65"/>
      <c r="C76" s="28">
        <f>+C10+C15+C20+C25+C30+C35+C40+C45+C50+C55+C60+C65+C70</f>
        <v>2410519</v>
      </c>
      <c r="D76" s="28">
        <f>+D10+D15+D20+D25+D30+D35+D40+D45+D50+D55+D60+D65+D70</f>
        <v>2527792</v>
      </c>
      <c r="E76" s="279">
        <f>(+C76-D76)/D76</f>
        <v>-0.04639345325881243</v>
      </c>
      <c r="F76" s="28">
        <f>+F10+F15+F20+F25+F30+F35+F40+F45+F50+F55+F60+F65+F70</f>
        <v>1240766</v>
      </c>
      <c r="G76" s="28">
        <f>+G10+G15+G20+G25+G30+G35+G40+G45+G50+G55+G60+G65+G70</f>
        <v>1277564</v>
      </c>
      <c r="H76" s="30">
        <f>(+F76-G76)/G76</f>
        <v>-0.028803253692182937</v>
      </c>
      <c r="I76" s="31">
        <f>K76/C76</f>
        <v>66.7863448535357</v>
      </c>
      <c r="J76" s="31">
        <f>K76/F76</f>
        <v>129.75029393938905</v>
      </c>
      <c r="K76" s="28">
        <f>+K10+K15+K20+K25+K30+K35+K40+K45+K50+K55+K60+K65+K70</f>
        <v>160989753.21</v>
      </c>
      <c r="L76" s="28">
        <f>+L10+L15+L20+L25+L30+L35+L40+L45+L50+L55+L60+L65+L70</f>
        <v>152625525.35</v>
      </c>
      <c r="M76" s="32">
        <f>(+K76-L76)/L76</f>
        <v>0.05480228710642741</v>
      </c>
      <c r="N76" s="10"/>
      <c r="R76" s="2"/>
    </row>
    <row r="77" spans="1:18" ht="15" thickTop="1">
      <c r="A77" s="66"/>
      <c r="B77" s="67"/>
      <c r="C77" s="68"/>
      <c r="D77" s="67"/>
      <c r="E77" s="67"/>
      <c r="F77" s="67"/>
      <c r="G77" s="67"/>
      <c r="H77" s="67"/>
      <c r="I77" s="67"/>
      <c r="J77" s="67"/>
      <c r="K77" s="68"/>
      <c r="L77" s="68"/>
      <c r="M77" s="67"/>
      <c r="R77" s="2"/>
    </row>
    <row r="78" spans="1:18" ht="17.25">
      <c r="A78" s="264" t="s">
        <v>20</v>
      </c>
      <c r="B78" s="70"/>
      <c r="C78" s="71"/>
      <c r="D78" s="71"/>
      <c r="E78" s="71"/>
      <c r="F78" s="71"/>
      <c r="G78" s="71"/>
      <c r="H78" s="71"/>
      <c r="I78" s="71"/>
      <c r="J78" s="71"/>
      <c r="K78" s="198"/>
      <c r="L78" s="198"/>
      <c r="M78" s="71"/>
      <c r="N78" s="2"/>
      <c r="O78" s="2"/>
      <c r="P78" s="2"/>
      <c r="Q78" s="2"/>
      <c r="R78" s="2"/>
    </row>
    <row r="79" spans="1:18" ht="17.25">
      <c r="A79" s="69"/>
      <c r="B79" s="70"/>
      <c r="C79" s="71"/>
      <c r="D79" s="71"/>
      <c r="E79" s="71"/>
      <c r="F79" s="71"/>
      <c r="G79" s="71"/>
      <c r="H79" s="71"/>
      <c r="I79" s="71"/>
      <c r="J79" s="71"/>
      <c r="K79" s="198"/>
      <c r="L79" s="198"/>
      <c r="M79" s="71"/>
      <c r="N79" s="2"/>
      <c r="O79" s="2"/>
      <c r="P79" s="2"/>
      <c r="Q79" s="2"/>
      <c r="R79" s="2"/>
    </row>
    <row r="80" spans="1:18" ht="15">
      <c r="A80" s="72"/>
      <c r="B80" s="73"/>
      <c r="C80" s="74"/>
      <c r="D80" s="74"/>
      <c r="E80" s="74"/>
      <c r="F80" s="74"/>
      <c r="G80" s="74"/>
      <c r="H80" s="74"/>
      <c r="I80" s="74"/>
      <c r="J80" s="74"/>
      <c r="K80" s="192"/>
      <c r="L80" s="192"/>
      <c r="M80" s="75"/>
      <c r="N80" s="2"/>
      <c r="O80" s="2"/>
      <c r="P80" s="2"/>
      <c r="Q80" s="2"/>
      <c r="R80" s="2"/>
    </row>
    <row r="81" spans="1:18" ht="15">
      <c r="A81" s="2"/>
      <c r="B81" s="73"/>
      <c r="C81" s="74"/>
      <c r="D81" s="74"/>
      <c r="E81" s="74"/>
      <c r="F81" s="74"/>
      <c r="G81" s="74"/>
      <c r="H81" s="74"/>
      <c r="I81" s="74"/>
      <c r="J81" s="74"/>
      <c r="K81" s="192"/>
      <c r="L81" s="192"/>
      <c r="M81" s="75"/>
      <c r="N81" s="2"/>
      <c r="O81" s="2"/>
      <c r="P81" s="2"/>
      <c r="Q81" s="2"/>
      <c r="R81" s="2"/>
    </row>
    <row r="82" spans="1:18" ht="15">
      <c r="A82" s="2"/>
      <c r="B82" s="73"/>
      <c r="C82" s="74"/>
      <c r="D82" s="74"/>
      <c r="E82" s="74"/>
      <c r="F82" s="74"/>
      <c r="G82" s="74"/>
      <c r="H82" s="74"/>
      <c r="I82" s="74"/>
      <c r="J82" s="74"/>
      <c r="K82" s="192"/>
      <c r="L82" s="192"/>
      <c r="M82" s="75"/>
      <c r="N82" s="2"/>
      <c r="O82" s="2"/>
      <c r="P82" s="2"/>
      <c r="Q82" s="2"/>
      <c r="R82" s="2"/>
    </row>
    <row r="83" spans="1:18" ht="15">
      <c r="A83" s="2"/>
      <c r="B83" s="73"/>
      <c r="C83" s="74"/>
      <c r="D83" s="74"/>
      <c r="E83" s="74"/>
      <c r="F83" s="74"/>
      <c r="G83" s="74"/>
      <c r="H83" s="74"/>
      <c r="I83" s="74"/>
      <c r="J83" s="74"/>
      <c r="K83" s="192"/>
      <c r="L83" s="192"/>
      <c r="M83" s="75"/>
      <c r="N83" s="2"/>
      <c r="O83" s="2"/>
      <c r="P83" s="2"/>
      <c r="Q83" s="2"/>
      <c r="R83" s="2"/>
    </row>
    <row r="84" spans="1:18" ht="15">
      <c r="A84" s="2"/>
      <c r="B84" s="73"/>
      <c r="C84" s="74"/>
      <c r="D84" s="74"/>
      <c r="E84" s="74"/>
      <c r="F84" s="74"/>
      <c r="G84" s="74"/>
      <c r="H84" s="74"/>
      <c r="I84" s="74"/>
      <c r="J84" s="74"/>
      <c r="K84" s="192"/>
      <c r="L84" s="192"/>
      <c r="M84" s="75"/>
      <c r="N84" s="2"/>
      <c r="O84" s="2"/>
      <c r="P84" s="2"/>
      <c r="Q84" s="2"/>
      <c r="R84" s="2"/>
    </row>
    <row r="85" spans="1:18" ht="15">
      <c r="A85" s="2"/>
      <c r="B85" s="73"/>
      <c r="C85" s="74"/>
      <c r="D85" s="74"/>
      <c r="E85" s="74"/>
      <c r="F85" s="74"/>
      <c r="G85" s="74"/>
      <c r="H85" s="74"/>
      <c r="I85" s="74"/>
      <c r="J85" s="74"/>
      <c r="K85" s="192"/>
      <c r="L85" s="192"/>
      <c r="M85" s="75"/>
      <c r="N85" s="2"/>
      <c r="O85" s="2"/>
      <c r="P85" s="2"/>
      <c r="Q85" s="2"/>
      <c r="R85" s="2"/>
    </row>
    <row r="86" spans="1:18" ht="15">
      <c r="A86" s="2"/>
      <c r="B86" s="73"/>
      <c r="C86" s="74"/>
      <c r="D86" s="74"/>
      <c r="E86" s="74"/>
      <c r="F86" s="74"/>
      <c r="G86" s="74"/>
      <c r="H86" s="74"/>
      <c r="I86" s="74"/>
      <c r="J86" s="74"/>
      <c r="K86" s="192"/>
      <c r="L86" s="192"/>
      <c r="M86" s="75"/>
      <c r="N86" s="2"/>
      <c r="O86" s="2"/>
      <c r="P86" s="2"/>
      <c r="Q86" s="2"/>
      <c r="R86" s="2"/>
    </row>
    <row r="87" spans="1:18" ht="15">
      <c r="A87" s="2"/>
      <c r="B87" s="73"/>
      <c r="C87" s="74"/>
      <c r="D87" s="74"/>
      <c r="E87" s="74"/>
      <c r="F87" s="74"/>
      <c r="G87" s="74"/>
      <c r="H87" s="74"/>
      <c r="I87" s="74"/>
      <c r="J87" s="74"/>
      <c r="K87" s="192"/>
      <c r="L87" s="192"/>
      <c r="M87" s="75"/>
      <c r="N87" s="2"/>
      <c r="O87" s="2"/>
      <c r="P87" s="2"/>
      <c r="Q87" s="2"/>
      <c r="R87" s="2"/>
    </row>
    <row r="88" spans="1:18" ht="15">
      <c r="A88" s="2"/>
      <c r="B88" s="73"/>
      <c r="C88" s="74"/>
      <c r="D88" s="74"/>
      <c r="E88" s="74"/>
      <c r="F88" s="74"/>
      <c r="G88" s="74"/>
      <c r="H88" s="74"/>
      <c r="I88" s="74"/>
      <c r="J88" s="74"/>
      <c r="K88" s="192"/>
      <c r="L88" s="192"/>
      <c r="M88" s="75"/>
      <c r="N88" s="2"/>
      <c r="O88" s="2"/>
      <c r="P88" s="2"/>
      <c r="Q88" s="2"/>
      <c r="R88" s="2"/>
    </row>
    <row r="89" spans="1:18" ht="15">
      <c r="A89" s="2"/>
      <c r="B89" s="73"/>
      <c r="C89" s="74"/>
      <c r="D89" s="74"/>
      <c r="E89" s="74"/>
      <c r="F89" s="74"/>
      <c r="G89" s="74"/>
      <c r="H89" s="74"/>
      <c r="I89" s="74"/>
      <c r="J89" s="74"/>
      <c r="K89" s="192"/>
      <c r="L89" s="192"/>
      <c r="M89" s="74"/>
      <c r="N89" s="2"/>
      <c r="O89" s="2"/>
      <c r="P89" s="2"/>
      <c r="Q89" s="2"/>
      <c r="R89" s="2"/>
    </row>
    <row r="90" spans="1:18" ht="15">
      <c r="A90" s="2"/>
      <c r="B90" s="73"/>
      <c r="C90" s="74"/>
      <c r="D90" s="74"/>
      <c r="E90" s="74"/>
      <c r="F90" s="74"/>
      <c r="G90" s="74"/>
      <c r="H90" s="74"/>
      <c r="I90" s="74"/>
      <c r="J90" s="74"/>
      <c r="K90" s="192"/>
      <c r="L90" s="192"/>
      <c r="M90" s="74"/>
      <c r="N90" s="2"/>
      <c r="O90" s="2"/>
      <c r="P90" s="2"/>
      <c r="Q90" s="2"/>
      <c r="R90" s="2"/>
    </row>
    <row r="91" spans="1:18" ht="15">
      <c r="A91" s="2"/>
      <c r="B91" s="70"/>
      <c r="C91" s="74"/>
      <c r="D91" s="74"/>
      <c r="E91" s="74"/>
      <c r="F91" s="74"/>
      <c r="G91" s="74"/>
      <c r="H91" s="74"/>
      <c r="I91" s="74"/>
      <c r="J91" s="74"/>
      <c r="K91" s="192"/>
      <c r="L91" s="192"/>
      <c r="M91" s="74"/>
      <c r="N91" s="2"/>
      <c r="O91" s="2"/>
      <c r="P91" s="2"/>
      <c r="Q91" s="2"/>
      <c r="R91" s="2"/>
    </row>
    <row r="92" spans="1:18" ht="15">
      <c r="A92" s="76"/>
      <c r="B92" s="70"/>
      <c r="C92" s="74"/>
      <c r="D92" s="74"/>
      <c r="E92" s="74"/>
      <c r="F92" s="74"/>
      <c r="G92" s="74"/>
      <c r="H92" s="74"/>
      <c r="I92" s="74"/>
      <c r="J92" s="74"/>
      <c r="K92" s="192"/>
      <c r="L92" s="192"/>
      <c r="M92" s="75"/>
      <c r="N92" s="2"/>
      <c r="O92" s="2"/>
      <c r="P92" s="2"/>
      <c r="Q92" s="2"/>
      <c r="R92" s="2"/>
    </row>
    <row r="93" spans="1:18" ht="15">
      <c r="A93" s="76"/>
      <c r="B93" s="70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ht="15">
      <c r="A94" s="76"/>
      <c r="B94" s="70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ht="15">
      <c r="A95" s="2"/>
      <c r="B95" s="70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ht="15">
      <c r="A96" s="76"/>
      <c r="B96" s="73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ht="15">
      <c r="A97" s="2"/>
      <c r="B97" s="73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ht="15">
      <c r="A98" s="2"/>
      <c r="B98" s="73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ht="15">
      <c r="A99" s="2"/>
      <c r="B99" s="77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ht="15">
      <c r="A100" s="2"/>
      <c r="B100" s="77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ht="15">
      <c r="A101" s="2"/>
      <c r="B101" s="77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ht="15">
      <c r="A102" s="2"/>
      <c r="B102" s="77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5"/>
      <c r="N102" s="2"/>
      <c r="O102" s="2"/>
      <c r="P102" s="2"/>
      <c r="Q102" s="2"/>
      <c r="R102" s="2"/>
    </row>
    <row r="103" spans="1:18" ht="15">
      <c r="A103" s="2"/>
      <c r="B103" s="77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5"/>
      <c r="N103" s="2"/>
      <c r="O103" s="2"/>
      <c r="P103" s="2"/>
      <c r="Q103" s="2"/>
      <c r="R103" s="2"/>
    </row>
    <row r="104" spans="1:18" ht="15">
      <c r="A104" s="2"/>
      <c r="B104" s="77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5"/>
      <c r="N104" s="2"/>
      <c r="O104" s="2"/>
      <c r="P104" s="2"/>
      <c r="Q104" s="2"/>
      <c r="R104" s="2"/>
    </row>
    <row r="105" spans="1:18" ht="15">
      <c r="A105" s="2"/>
      <c r="B105" s="77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ht="15">
      <c r="A106" s="2"/>
      <c r="B106" s="77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">
      <c r="A107" s="2"/>
      <c r="B107" s="77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ht="15">
      <c r="A108" s="2"/>
      <c r="B108" s="2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">
      <c r="A109" s="76"/>
      <c r="B109" s="2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ht="15">
      <c r="A110" s="2"/>
      <c r="B110" s="2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ht="15">
      <c r="A111" s="2"/>
      <c r="B111" s="2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">
      <c r="A112" s="76"/>
      <c r="B112" s="2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">
      <c r="A113" s="76"/>
      <c r="B113" s="2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">
      <c r="A114" s="76"/>
      <c r="B114" s="77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ht="15">
      <c r="A115" s="2"/>
      <c r="B115" s="77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ht="15">
      <c r="A116" s="2"/>
      <c r="B116" s="77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ht="15">
      <c r="A117" s="2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ht="15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">
      <c r="A120" s="2"/>
      <c r="B120" s="77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77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">
      <c r="A122" s="2"/>
      <c r="B122" s="77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">
      <c r="A123" s="2"/>
      <c r="B123" s="77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77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">
      <c r="A125" s="2"/>
      <c r="B125" s="77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">
      <c r="A126" s="2"/>
      <c r="B126" s="2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">
      <c r="A127" s="76"/>
      <c r="B127" s="2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2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ht="15">
      <c r="A129" s="2"/>
      <c r="B129" s="2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">
      <c r="A130" s="76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ht="15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">
      <c r="A133" s="2"/>
      <c r="B133" s="2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">
      <c r="A135" s="2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">
      <c r="A136" s="76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">
      <c r="A138" s="2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">
      <c r="A139" s="76"/>
      <c r="B139" s="76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">
      <c r="A140" s="2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">
      <c r="A143" s="2"/>
      <c r="B143" s="2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2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2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26.21484375" style="80" customWidth="1"/>
    <col min="5" max="6" width="13.6640625" style="80" customWidth="1"/>
    <col min="7" max="7" width="15.99609375" style="80" customWidth="1"/>
    <col min="8" max="8" width="12.44531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546875" style="80" customWidth="1"/>
    <col min="15" max="15" width="13.4453125" style="80" customWidth="1"/>
    <col min="16" max="16" width="3.77734375" style="80" customWidth="1"/>
    <col min="17" max="16384" width="9.6640625" style="80" customWidth="1"/>
  </cols>
  <sheetData>
    <row r="1" spans="1:15" ht="22.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2.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2.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3.25" thickBot="1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5.7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5.7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">
      <c r="A10" s="88">
        <f>DATE(2022,7,1)</f>
        <v>44743</v>
      </c>
      <c r="B10" s="89">
        <f>'MONTHLY STATS'!$C$9*2</f>
        <v>435886</v>
      </c>
      <c r="C10" s="89">
        <f>'MONTHLY STATS'!$C$14*2</f>
        <v>229430</v>
      </c>
      <c r="D10" s="89">
        <f>'MONTHLY STATS'!$C$19*2</f>
        <v>113088</v>
      </c>
      <c r="E10" s="89">
        <f>'MONTHLY STATS'!$C$24*2</f>
        <v>655394</v>
      </c>
      <c r="F10" s="89">
        <f>'MONTHLY STATS'!$C$29*2</f>
        <v>438260</v>
      </c>
      <c r="G10" s="89">
        <f>'MONTHLY STATS'!$C$34*2</f>
        <v>190536</v>
      </c>
      <c r="H10" s="89">
        <f>'MONTHLY STATS'!$C$39*2</f>
        <v>441192</v>
      </c>
      <c r="I10" s="89">
        <f>'MONTHLY STATS'!$C$44*2</f>
        <v>452600</v>
      </c>
      <c r="J10" s="89">
        <f>'MONTHLY STATS'!$C$49*2</f>
        <v>542674</v>
      </c>
      <c r="K10" s="89">
        <f>'MONTHLY STATS'!$C$54*2</f>
        <v>717812</v>
      </c>
      <c r="L10" s="89">
        <f>'MONTHLY STATS'!$C$59*2</f>
        <v>91486</v>
      </c>
      <c r="M10" s="89">
        <f>'MONTHLY STATS'!$C$64*2</f>
        <v>753070</v>
      </c>
      <c r="N10" s="89">
        <f>'MONTHLY STATS'!$C$69*2</f>
        <v>137556</v>
      </c>
      <c r="O10" s="90">
        <f>SUM(B10:N10)</f>
        <v>5198984</v>
      </c>
      <c r="P10" s="83"/>
    </row>
    <row r="11" spans="1:16" ht="15">
      <c r="A11" s="88">
        <f>DATE(2022,8,1)</f>
        <v>44774</v>
      </c>
      <c r="B11" s="89">
        <f>'MONTHLY STATS'!$C$10*2</f>
        <v>398888</v>
      </c>
      <c r="C11" s="89">
        <f>'MONTHLY STATS'!$C$15*2</f>
        <v>207568</v>
      </c>
      <c r="D11" s="89">
        <f>'MONTHLY STATS'!$C$20*2</f>
        <v>99338</v>
      </c>
      <c r="E11" s="89">
        <f>'MONTHLY STATS'!$C$25*2</f>
        <v>605550</v>
      </c>
      <c r="F11" s="89">
        <f>'MONTHLY STATS'!$C$30*2</f>
        <v>408762</v>
      </c>
      <c r="G11" s="89">
        <f>'MONTHLY STATS'!$C$35*2</f>
        <v>170414</v>
      </c>
      <c r="H11" s="89">
        <f>'MONTHLY STATS'!$C$40*2</f>
        <v>408416</v>
      </c>
      <c r="I11" s="89">
        <f>'MONTHLY STATS'!$C$45*2</f>
        <v>465208</v>
      </c>
      <c r="J11" s="89">
        <f>'MONTHLY STATS'!$C$50*2</f>
        <v>489244</v>
      </c>
      <c r="K11" s="89">
        <f>'MONTHLY STATS'!$C$55*2</f>
        <v>664780</v>
      </c>
      <c r="L11" s="89">
        <f>'MONTHLY STATS'!$C$60*2</f>
        <v>81956</v>
      </c>
      <c r="M11" s="89">
        <f>'MONTHLY STATS'!$C$65*2</f>
        <v>697450</v>
      </c>
      <c r="N11" s="89">
        <f>'MONTHLY STATS'!$C$70*2</f>
        <v>123464</v>
      </c>
      <c r="O11" s="90">
        <f>SUM(B11:N11)</f>
        <v>4821038</v>
      </c>
      <c r="P11" s="83"/>
    </row>
    <row r="12" spans="1:16" ht="1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3"/>
    </row>
    <row r="13" spans="1:16" ht="1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">
      <c r="A23" s="91" t="s">
        <v>27</v>
      </c>
      <c r="B23" s="90">
        <f aca="true" t="shared" si="0" ref="B23:O23">SUM(B10:B21)</f>
        <v>834774</v>
      </c>
      <c r="C23" s="90">
        <f t="shared" si="0"/>
        <v>436998</v>
      </c>
      <c r="D23" s="90">
        <f t="shared" si="0"/>
        <v>212426</v>
      </c>
      <c r="E23" s="90">
        <f t="shared" si="0"/>
        <v>1260944</v>
      </c>
      <c r="F23" s="90">
        <f t="shared" si="0"/>
        <v>847022</v>
      </c>
      <c r="G23" s="90">
        <f>SUM(G10:G21)</f>
        <v>360950</v>
      </c>
      <c r="H23" s="90">
        <f t="shared" si="0"/>
        <v>849608</v>
      </c>
      <c r="I23" s="90">
        <f>SUM(I10:I21)</f>
        <v>917808</v>
      </c>
      <c r="J23" s="90">
        <f t="shared" si="0"/>
        <v>1031918</v>
      </c>
      <c r="K23" s="90">
        <f>SUM(K10:K21)</f>
        <v>1382592</v>
      </c>
      <c r="L23" s="90">
        <f t="shared" si="0"/>
        <v>173442</v>
      </c>
      <c r="M23" s="90">
        <f t="shared" si="0"/>
        <v>1450520</v>
      </c>
      <c r="N23" s="90">
        <f t="shared" si="0"/>
        <v>261020</v>
      </c>
      <c r="O23" s="90">
        <f t="shared" si="0"/>
        <v>10020022</v>
      </c>
      <c r="P23" s="83"/>
    </row>
    <row r="24" spans="1:16" ht="15.7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3.25" thickBot="1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5.7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5.7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">
      <c r="A31" s="88">
        <f>DATE(2022,7,1)</f>
        <v>44743</v>
      </c>
      <c r="B31" s="89">
        <f>'MONTHLY STATS'!$K$9*0.21</f>
        <v>3359049.834</v>
      </c>
      <c r="C31" s="89">
        <f>'MONTHLY STATS'!$K$14*0.21</f>
        <v>1763108.3841000001</v>
      </c>
      <c r="D31" s="89">
        <f>'MONTHLY STATS'!$K$19*0.21</f>
        <v>795167.667</v>
      </c>
      <c r="E31" s="89">
        <f>'MONTHLY STATS'!$K$24*0.21</f>
        <v>4494852.0204</v>
      </c>
      <c r="F31" s="89">
        <f>'MONTHLY STATS'!$K$29*0.21</f>
        <v>3165395.9526</v>
      </c>
      <c r="G31" s="89">
        <f>'MONTHLY STATS'!$K$34*0.21</f>
        <v>1314631.521</v>
      </c>
      <c r="H31" s="89">
        <f>'MONTHLY STATS'!$K$39*0.21</f>
        <v>2227424.3922</v>
      </c>
      <c r="I31" s="89">
        <f>'MONTHLY STATS'!$K$44*0.21</f>
        <v>2765364.9954</v>
      </c>
      <c r="J31" s="89">
        <f>'MONTHLY STATS'!$K$49*0.21</f>
        <v>3822954.2358</v>
      </c>
      <c r="K31" s="89">
        <f>'MONTHLY STATS'!$K$54*0.21</f>
        <v>4703370.6279</v>
      </c>
      <c r="L31" s="89">
        <f>'MONTHLY STATS'!$K$59*0.21</f>
        <v>683300.6628</v>
      </c>
      <c r="M31" s="89">
        <f>'MONTHLY STATS'!$K$64*0.21</f>
        <v>5606846.454299999</v>
      </c>
      <c r="N31" s="89">
        <f>'MONTHLY STATS'!$K$69*0.21</f>
        <v>868965.657</v>
      </c>
      <c r="O31" s="90">
        <f>SUM(B31:N31)</f>
        <v>35570432.40449999</v>
      </c>
      <c r="P31" s="83"/>
    </row>
    <row r="32" spans="1:16" ht="15">
      <c r="A32" s="88">
        <f>DATE(2022,8,1)</f>
        <v>44774</v>
      </c>
      <c r="B32" s="89">
        <f>'MONTHLY STATS'!$K$10*0.21</f>
        <v>3189544.3587</v>
      </c>
      <c r="C32" s="89">
        <f>'MONTHLY STATS'!$K$15*0.21</f>
        <v>1588851.9213</v>
      </c>
      <c r="D32" s="89">
        <f>'MONTHLY STATS'!$K$20*0.21</f>
        <v>734372.8370999999</v>
      </c>
      <c r="E32" s="89">
        <f>'MONTHLY STATS'!$K$25*0.21</f>
        <v>4061739.5322</v>
      </c>
      <c r="F32" s="89">
        <f>'MONTHLY STATS'!$K$30*0.21</f>
        <v>3214879.5693</v>
      </c>
      <c r="G32" s="89">
        <f>'MONTHLY STATS'!$K$35*0.21</f>
        <v>1147680.3639</v>
      </c>
      <c r="H32" s="89">
        <f>'MONTHLY STATS'!$K$40*0.21</f>
        <v>2163098.6937</v>
      </c>
      <c r="I32" s="89">
        <f>'MONTHLY STATS'!$K$45*0.21</f>
        <v>2924821.5045</v>
      </c>
      <c r="J32" s="89">
        <f>'MONTHLY STATS'!$K$50*0.21</f>
        <v>3452400.8778</v>
      </c>
      <c r="K32" s="89">
        <f>'MONTHLY STATS'!$K$55*0.21</f>
        <v>4351356.3975</v>
      </c>
      <c r="L32" s="89">
        <f>'MONTHLY STATS'!$K$60*0.21</f>
        <v>620327.8326</v>
      </c>
      <c r="M32" s="89">
        <f>'MONTHLY STATS'!$K$65*0.21</f>
        <v>5590252.4076</v>
      </c>
      <c r="N32" s="89">
        <f>'MONTHLY STATS'!$K$70*0.21</f>
        <v>768521.8779</v>
      </c>
      <c r="O32" s="90">
        <f>SUM(B32:N32)</f>
        <v>33807848.1741</v>
      </c>
      <c r="P32" s="83"/>
    </row>
    <row r="33" spans="1:16" ht="1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83"/>
    </row>
    <row r="34" spans="1:16" ht="1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">
      <c r="A44" s="91" t="s">
        <v>27</v>
      </c>
      <c r="B44" s="90">
        <f aca="true" t="shared" si="1" ref="B44:O44">SUM(B31:B42)</f>
        <v>6548594.1927000005</v>
      </c>
      <c r="C44" s="90">
        <f t="shared" si="1"/>
        <v>3351960.3054</v>
      </c>
      <c r="D44" s="90">
        <f t="shared" si="1"/>
        <v>1529540.5041</v>
      </c>
      <c r="E44" s="90">
        <f t="shared" si="1"/>
        <v>8556591.5526</v>
      </c>
      <c r="F44" s="90">
        <f t="shared" si="1"/>
        <v>6380275.5219</v>
      </c>
      <c r="G44" s="90">
        <f t="shared" si="1"/>
        <v>2462311.8849</v>
      </c>
      <c r="H44" s="90">
        <f t="shared" si="1"/>
        <v>4390523.0859</v>
      </c>
      <c r="I44" s="90">
        <f>SUM(I31:I42)</f>
        <v>5690186.4999</v>
      </c>
      <c r="J44" s="90">
        <f t="shared" si="1"/>
        <v>7275355.1136</v>
      </c>
      <c r="K44" s="90">
        <f>SUM(K31:K42)</f>
        <v>9054727.0254</v>
      </c>
      <c r="L44" s="90">
        <f t="shared" si="1"/>
        <v>1303628.4954</v>
      </c>
      <c r="M44" s="90">
        <f t="shared" si="1"/>
        <v>11197098.861899998</v>
      </c>
      <c r="N44" s="90">
        <f t="shared" si="1"/>
        <v>1637487.5348999999</v>
      </c>
      <c r="O44" s="90">
        <f t="shared" si="1"/>
        <v>69378280.57859999</v>
      </c>
      <c r="P44" s="83"/>
    </row>
    <row r="45" spans="1:16" ht="15.7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9" ht="1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">
      <c r="A49" s="115"/>
      <c r="B49" s="98"/>
      <c r="C49" s="98"/>
      <c r="D49" s="98"/>
      <c r="E49" s="98"/>
      <c r="F49" s="98"/>
      <c r="G49" s="98"/>
      <c r="H49" s="98"/>
      <c r="I49" s="98"/>
    </row>
    <row r="50" ht="15">
      <c r="A50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7.25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30</v>
      </c>
      <c r="B2" s="117"/>
      <c r="C2" s="200"/>
      <c r="D2" s="200"/>
      <c r="E2" s="200"/>
      <c r="F2" s="117"/>
      <c r="G2" s="210"/>
    </row>
    <row r="3" spans="1:7" ht="18" customHeight="1">
      <c r="A3" s="283" t="s">
        <v>75</v>
      </c>
      <c r="B3" s="117"/>
      <c r="C3" s="200"/>
      <c r="D3" s="200"/>
      <c r="E3" s="200"/>
      <c r="F3" s="117"/>
      <c r="G3" s="210"/>
    </row>
    <row r="4" spans="1:7" ht="15">
      <c r="A4" s="284" t="s">
        <v>76</v>
      </c>
      <c r="B4" s="117"/>
      <c r="C4" s="200"/>
      <c r="D4" s="200"/>
      <c r="E4" s="200"/>
      <c r="F4" s="117"/>
      <c r="G4" s="210"/>
    </row>
    <row r="5" spans="1:7" ht="15">
      <c r="A5" s="117"/>
      <c r="B5" s="117"/>
      <c r="C5" s="200"/>
      <c r="D5" s="200"/>
      <c r="E5" s="200"/>
      <c r="F5" s="117"/>
      <c r="G5" s="211" t="s">
        <v>1</v>
      </c>
    </row>
    <row r="6" spans="1:8" ht="15.75" thickTop="1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5.75" thickBot="1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">
      <c r="A9" s="130" t="s">
        <v>36</v>
      </c>
      <c r="B9" s="131">
        <f>DATE(2022,7,1)</f>
        <v>44743</v>
      </c>
      <c r="C9" s="204">
        <v>15602600</v>
      </c>
      <c r="D9" s="204">
        <v>3018310</v>
      </c>
      <c r="E9" s="204">
        <v>2401856.06</v>
      </c>
      <c r="F9" s="132">
        <f>(+D9-E9)/E9</f>
        <v>0.2566573202559024</v>
      </c>
      <c r="G9" s="215">
        <f>D9/C9</f>
        <v>0.19344916872828888</v>
      </c>
      <c r="H9" s="123"/>
    </row>
    <row r="10" spans="1:8" ht="15">
      <c r="A10" s="130"/>
      <c r="B10" s="131">
        <f>DATE(2022,8,1)</f>
        <v>44774</v>
      </c>
      <c r="C10" s="204">
        <v>15211017.25</v>
      </c>
      <c r="D10" s="204">
        <v>3237681.85</v>
      </c>
      <c r="E10" s="204">
        <v>2504601.5</v>
      </c>
      <c r="F10" s="132">
        <f>(+D10-E10)/E10</f>
        <v>0.2926934085122923</v>
      </c>
      <c r="G10" s="215">
        <f>D10/C10</f>
        <v>0.2128511063255812</v>
      </c>
      <c r="H10" s="123"/>
    </row>
    <row r="11" spans="1:8" ht="15" thickBot="1">
      <c r="A11" s="133"/>
      <c r="B11" s="134"/>
      <c r="C11" s="204"/>
      <c r="D11" s="204"/>
      <c r="E11" s="204"/>
      <c r="F11" s="132"/>
      <c r="G11" s="215"/>
      <c r="H11" s="123"/>
    </row>
    <row r="12" spans="1:8" ht="16.5" thickBot="1" thickTop="1">
      <c r="A12" s="135" t="s">
        <v>14</v>
      </c>
      <c r="B12" s="136"/>
      <c r="C12" s="201">
        <f>SUM(C9:C11)</f>
        <v>30813617.25</v>
      </c>
      <c r="D12" s="201">
        <f>SUM(D9:D11)</f>
        <v>6255991.85</v>
      </c>
      <c r="E12" s="201">
        <f>SUM(E9:E11)</f>
        <v>4906457.5600000005</v>
      </c>
      <c r="F12" s="137">
        <f>(+D12-E12)/E12</f>
        <v>0.2750526777205017</v>
      </c>
      <c r="G12" s="212">
        <f>D12/C12</f>
        <v>0.2030268565758861</v>
      </c>
      <c r="H12" s="123"/>
    </row>
    <row r="13" spans="1:8" ht="15.75" customHeight="1" thickTop="1">
      <c r="A13" s="138"/>
      <c r="B13" s="139"/>
      <c r="C13" s="205"/>
      <c r="D13" s="205"/>
      <c r="E13" s="205"/>
      <c r="F13" s="140"/>
      <c r="G13" s="216"/>
      <c r="H13" s="123"/>
    </row>
    <row r="14" spans="1:8" ht="15">
      <c r="A14" s="19" t="s">
        <v>15</v>
      </c>
      <c r="B14" s="131">
        <f>DATE(2022,7,1)</f>
        <v>44743</v>
      </c>
      <c r="C14" s="204">
        <v>2670326</v>
      </c>
      <c r="D14" s="204">
        <v>637839.5</v>
      </c>
      <c r="E14" s="204">
        <v>753311.5</v>
      </c>
      <c r="F14" s="132">
        <f>(+D14-E14)/E14</f>
        <v>-0.15328585850607618</v>
      </c>
      <c r="G14" s="215">
        <f>D14/C14</f>
        <v>0.23886203407374232</v>
      </c>
      <c r="H14" s="123"/>
    </row>
    <row r="15" spans="1:8" ht="15">
      <c r="A15" s="19"/>
      <c r="B15" s="131">
        <f>DATE(2022,8,1)</f>
        <v>44774</v>
      </c>
      <c r="C15" s="204">
        <v>2364635</v>
      </c>
      <c r="D15" s="204">
        <v>695761.5</v>
      </c>
      <c r="E15" s="204">
        <v>615974.5</v>
      </c>
      <c r="F15" s="132">
        <f>(+D15-E15)/E15</f>
        <v>0.12952971267479416</v>
      </c>
      <c r="G15" s="215">
        <f>D15/C15</f>
        <v>0.2942363197702817</v>
      </c>
      <c r="H15" s="123"/>
    </row>
    <row r="16" spans="1:8" ht="15" thickBot="1">
      <c r="A16" s="133"/>
      <c r="B16" s="131"/>
      <c r="C16" s="204"/>
      <c r="D16" s="204"/>
      <c r="E16" s="204"/>
      <c r="F16" s="132"/>
      <c r="G16" s="215"/>
      <c r="H16" s="123"/>
    </row>
    <row r="17" spans="1:8" ht="16.5" thickBot="1" thickTop="1">
      <c r="A17" s="135" t="s">
        <v>14</v>
      </c>
      <c r="B17" s="136"/>
      <c r="C17" s="201">
        <f>SUM(C14:C16)</f>
        <v>5034961</v>
      </c>
      <c r="D17" s="201">
        <f>SUM(D14:D16)</f>
        <v>1333601</v>
      </c>
      <c r="E17" s="201">
        <f>SUM(E14:E16)</f>
        <v>1369286</v>
      </c>
      <c r="F17" s="137">
        <f>(+D17-E17)/E17</f>
        <v>-0.02606102742597237</v>
      </c>
      <c r="G17" s="212">
        <f>D17/C17</f>
        <v>0.2648681886513123</v>
      </c>
      <c r="H17" s="123"/>
    </row>
    <row r="18" spans="1:8" ht="15.75" customHeight="1" thickTop="1">
      <c r="A18" s="255"/>
      <c r="B18" s="139"/>
      <c r="C18" s="205"/>
      <c r="D18" s="205"/>
      <c r="E18" s="205"/>
      <c r="F18" s="140"/>
      <c r="G18" s="219"/>
      <c r="H18" s="123"/>
    </row>
    <row r="19" spans="1:8" ht="15">
      <c r="A19" s="19" t="s">
        <v>62</v>
      </c>
      <c r="B19" s="131">
        <f>DATE(2022,7,1)</f>
        <v>44743</v>
      </c>
      <c r="C19" s="204">
        <v>1113934</v>
      </c>
      <c r="D19" s="204">
        <v>249087.5</v>
      </c>
      <c r="E19" s="204">
        <v>419659</v>
      </c>
      <c r="F19" s="132">
        <f>(+D19-E19)/E19</f>
        <v>-0.4064526198651762</v>
      </c>
      <c r="G19" s="215">
        <f>D19/C19</f>
        <v>0.2236106447958317</v>
      </c>
      <c r="H19" s="123"/>
    </row>
    <row r="20" spans="1:8" ht="15">
      <c r="A20" s="19"/>
      <c r="B20" s="131">
        <f>DATE(2022,8,1)</f>
        <v>44774</v>
      </c>
      <c r="C20" s="204">
        <v>982269</v>
      </c>
      <c r="D20" s="204">
        <v>272495.5</v>
      </c>
      <c r="E20" s="204">
        <v>283741.5</v>
      </c>
      <c r="F20" s="132">
        <f>(+D20-E20)/E20</f>
        <v>-0.03963466747021497</v>
      </c>
      <c r="G20" s="215">
        <f>D20/C20</f>
        <v>0.2774143335481421</v>
      </c>
      <c r="H20" s="123"/>
    </row>
    <row r="21" spans="1:8" ht="15" thickBot="1">
      <c r="A21" s="133"/>
      <c r="B21" s="131"/>
      <c r="C21" s="204"/>
      <c r="D21" s="204"/>
      <c r="E21" s="204"/>
      <c r="F21" s="132"/>
      <c r="G21" s="215"/>
      <c r="H21" s="123"/>
    </row>
    <row r="22" spans="1:8" ht="16.5" thickBot="1" thickTop="1">
      <c r="A22" s="141" t="s">
        <v>14</v>
      </c>
      <c r="B22" s="142"/>
      <c r="C22" s="206">
        <f>SUM(C19:C21)</f>
        <v>2096203</v>
      </c>
      <c r="D22" s="206">
        <f>SUM(D19:D21)</f>
        <v>521583</v>
      </c>
      <c r="E22" s="206">
        <f>SUM(E19:E21)</f>
        <v>703400.5</v>
      </c>
      <c r="F22" s="143">
        <f>(+D22-E22)/E22</f>
        <v>-0.258483609266698</v>
      </c>
      <c r="G22" s="217">
        <f>D22/C22</f>
        <v>0.24882275237655896</v>
      </c>
      <c r="H22" s="123"/>
    </row>
    <row r="23" spans="1:8" ht="15" thickTop="1">
      <c r="A23" s="133"/>
      <c r="B23" s="134"/>
      <c r="C23" s="204"/>
      <c r="D23" s="204"/>
      <c r="E23" s="204"/>
      <c r="F23" s="132"/>
      <c r="G23" s="218"/>
      <c r="H23" s="123"/>
    </row>
    <row r="24" spans="1:8" ht="15">
      <c r="A24" s="177" t="s">
        <v>58</v>
      </c>
      <c r="B24" s="131">
        <f>DATE(2022,7,1)</f>
        <v>44743</v>
      </c>
      <c r="C24" s="204">
        <v>14706873</v>
      </c>
      <c r="D24" s="204">
        <v>3390213</v>
      </c>
      <c r="E24" s="204">
        <v>2503983</v>
      </c>
      <c r="F24" s="132">
        <f>(+D24-E24)/E24</f>
        <v>0.3539281217164813</v>
      </c>
      <c r="G24" s="215">
        <f>D24/C24</f>
        <v>0.23051895532109376</v>
      </c>
      <c r="H24" s="123"/>
    </row>
    <row r="25" spans="1:8" ht="15">
      <c r="A25" s="177"/>
      <c r="B25" s="131">
        <f>DATE(2022,8,1)</f>
        <v>44774</v>
      </c>
      <c r="C25" s="204">
        <v>13496707</v>
      </c>
      <c r="D25" s="204">
        <v>2096973.67</v>
      </c>
      <c r="E25" s="204">
        <v>2387806</v>
      </c>
      <c r="F25" s="132">
        <f>(+D25-E25)/E25</f>
        <v>-0.12179897780640474</v>
      </c>
      <c r="G25" s="215">
        <f>D25/C25</f>
        <v>0.15536928155882765</v>
      </c>
      <c r="H25" s="123"/>
    </row>
    <row r="26" spans="1:8" ht="15.75" customHeight="1" thickBot="1">
      <c r="A26" s="133"/>
      <c r="B26" s="134"/>
      <c r="C26" s="204"/>
      <c r="D26" s="204"/>
      <c r="E26" s="204"/>
      <c r="F26" s="132"/>
      <c r="G26" s="215"/>
      <c r="H26" s="123"/>
    </row>
    <row r="27" spans="1:8" ht="17.25" customHeight="1" thickBot="1" thickTop="1">
      <c r="A27" s="141" t="s">
        <v>14</v>
      </c>
      <c r="B27" s="142"/>
      <c r="C27" s="206">
        <f>SUM(C24:C26)</f>
        <v>28203580</v>
      </c>
      <c r="D27" s="206">
        <f>SUM(D24:D26)</f>
        <v>5487186.67</v>
      </c>
      <c r="E27" s="206">
        <f>SUM(E24:E26)</f>
        <v>4891789</v>
      </c>
      <c r="F27" s="143">
        <f>(+D27-E27)/E27</f>
        <v>0.12171368593371462</v>
      </c>
      <c r="G27" s="217">
        <f>D27/C27</f>
        <v>0.19455638858612984</v>
      </c>
      <c r="H27" s="123"/>
    </row>
    <row r="28" spans="1:8" ht="15.75" customHeight="1" thickTop="1">
      <c r="A28" s="133"/>
      <c r="B28" s="134"/>
      <c r="C28" s="204"/>
      <c r="D28" s="204"/>
      <c r="E28" s="204"/>
      <c r="F28" s="132"/>
      <c r="G28" s="218"/>
      <c r="H28" s="123"/>
    </row>
    <row r="29" spans="1:8" ht="15" customHeight="1">
      <c r="A29" s="130" t="s">
        <v>60</v>
      </c>
      <c r="B29" s="131">
        <f>DATE(2022,7,1)</f>
        <v>44743</v>
      </c>
      <c r="C29" s="204">
        <v>14151950</v>
      </c>
      <c r="D29" s="204">
        <v>3195572.5</v>
      </c>
      <c r="E29" s="204">
        <v>3475895.5</v>
      </c>
      <c r="F29" s="132">
        <f>(+D29-E29)/E29</f>
        <v>-0.0806477064687359</v>
      </c>
      <c r="G29" s="215">
        <f>D29/C29</f>
        <v>0.2258043944474083</v>
      </c>
      <c r="H29" s="123"/>
    </row>
    <row r="30" spans="1:8" ht="15" customHeight="1">
      <c r="A30" s="130"/>
      <c r="B30" s="131">
        <f>DATE(2022,8,1)</f>
        <v>44774</v>
      </c>
      <c r="C30" s="204">
        <v>12695452</v>
      </c>
      <c r="D30" s="204">
        <v>3909171</v>
      </c>
      <c r="E30" s="204">
        <v>1742952</v>
      </c>
      <c r="F30" s="132">
        <f>(+D30-E30)/E30</f>
        <v>1.2428448976219655</v>
      </c>
      <c r="G30" s="215">
        <f>D30/C30</f>
        <v>0.3079190091065682</v>
      </c>
      <c r="H30" s="123"/>
    </row>
    <row r="31" spans="1:8" ht="15" thickBot="1">
      <c r="A31" s="133"/>
      <c r="B31" s="131"/>
      <c r="C31" s="204"/>
      <c r="D31" s="204"/>
      <c r="E31" s="204"/>
      <c r="F31" s="132"/>
      <c r="G31" s="215"/>
      <c r="H31" s="123"/>
    </row>
    <row r="32" spans="1:8" ht="17.25" customHeight="1" thickBot="1" thickTop="1">
      <c r="A32" s="141" t="s">
        <v>14</v>
      </c>
      <c r="B32" s="142"/>
      <c r="C32" s="207">
        <f>SUM(C29:C31)</f>
        <v>26847402</v>
      </c>
      <c r="D32" s="261">
        <f>SUM(D29:D31)</f>
        <v>7104743.5</v>
      </c>
      <c r="E32" s="206">
        <f>SUM(E29:E31)</f>
        <v>5218847.5</v>
      </c>
      <c r="F32" s="268">
        <f>(+D32-E32)/E32</f>
        <v>0.36136254220879227</v>
      </c>
      <c r="G32" s="267">
        <f>D32/C32</f>
        <v>0.26463430241779073</v>
      </c>
      <c r="H32" s="123"/>
    </row>
    <row r="33" spans="1:8" ht="15.75" customHeight="1" thickTop="1">
      <c r="A33" s="130"/>
      <c r="B33" s="134"/>
      <c r="C33" s="204"/>
      <c r="D33" s="204"/>
      <c r="E33" s="204"/>
      <c r="F33" s="132"/>
      <c r="G33" s="218"/>
      <c r="H33" s="123"/>
    </row>
    <row r="34" spans="1:8" ht="15">
      <c r="A34" s="130" t="s">
        <v>64</v>
      </c>
      <c r="B34" s="131">
        <f>DATE(2022,7,1)</f>
        <v>44743</v>
      </c>
      <c r="C34" s="204">
        <v>3016522</v>
      </c>
      <c r="D34" s="204">
        <v>700930</v>
      </c>
      <c r="E34" s="204">
        <v>729030</v>
      </c>
      <c r="F34" s="132">
        <f>(+D34-E34)/E34</f>
        <v>-0.03854436717281868</v>
      </c>
      <c r="G34" s="215">
        <f>D34/C34</f>
        <v>0.2323636293718395</v>
      </c>
      <c r="H34" s="123"/>
    </row>
    <row r="35" spans="1:8" ht="15">
      <c r="A35" s="130"/>
      <c r="B35" s="131">
        <f>DATE(2022,8,1)</f>
        <v>44774</v>
      </c>
      <c r="C35" s="204">
        <v>2699781</v>
      </c>
      <c r="D35" s="204">
        <v>630145.5</v>
      </c>
      <c r="E35" s="204">
        <v>844084.5</v>
      </c>
      <c r="F35" s="132">
        <f>(+D35-E35)/E35</f>
        <v>-0.25345685177254174</v>
      </c>
      <c r="G35" s="215">
        <f>D35/C35</f>
        <v>0.23340615405471776</v>
      </c>
      <c r="H35" s="123"/>
    </row>
    <row r="36" spans="1:8" ht="15.75" customHeight="1" thickBot="1">
      <c r="A36" s="130"/>
      <c r="B36" s="131"/>
      <c r="C36" s="204"/>
      <c r="D36" s="204"/>
      <c r="E36" s="204"/>
      <c r="F36" s="132"/>
      <c r="G36" s="215"/>
      <c r="H36" s="123"/>
    </row>
    <row r="37" spans="1:8" ht="16.5" thickBot="1" thickTop="1">
      <c r="A37" s="141" t="s">
        <v>14</v>
      </c>
      <c r="B37" s="142"/>
      <c r="C37" s="207">
        <f>SUM(C34:C36)</f>
        <v>5716303</v>
      </c>
      <c r="D37" s="261">
        <f>SUM(D34:D36)</f>
        <v>1331075.5</v>
      </c>
      <c r="E37" s="207">
        <f>SUM(E34:E36)</f>
        <v>1573114.5</v>
      </c>
      <c r="F37" s="268">
        <f>(+D37-E37)/E37</f>
        <v>-0.1538597476534607</v>
      </c>
      <c r="G37" s="267">
        <f>D37/C37</f>
        <v>0.2328560085075966</v>
      </c>
      <c r="H37" s="123"/>
    </row>
    <row r="38" spans="1:8" ht="15.75" customHeight="1" thickTop="1">
      <c r="A38" s="130"/>
      <c r="B38" s="134"/>
      <c r="C38" s="204"/>
      <c r="D38" s="204"/>
      <c r="E38" s="204"/>
      <c r="F38" s="132"/>
      <c r="G38" s="218"/>
      <c r="H38" s="123"/>
    </row>
    <row r="39" spans="1:8" ht="15">
      <c r="A39" s="130" t="s">
        <v>67</v>
      </c>
      <c r="B39" s="131">
        <f>DATE(2022,7,1)</f>
        <v>44743</v>
      </c>
      <c r="C39" s="204">
        <v>6177101</v>
      </c>
      <c r="D39" s="204">
        <v>951854</v>
      </c>
      <c r="E39" s="204">
        <v>1067621</v>
      </c>
      <c r="F39" s="132">
        <f>(+D39-E39)/E39</f>
        <v>-0.10843454746581419</v>
      </c>
      <c r="G39" s="215">
        <f>D39/C39</f>
        <v>0.15409396738049128</v>
      </c>
      <c r="H39" s="123"/>
    </row>
    <row r="40" spans="1:8" ht="15">
      <c r="A40" s="130"/>
      <c r="B40" s="131">
        <f>DATE(2022,8,1)</f>
        <v>44774</v>
      </c>
      <c r="C40" s="204">
        <v>6063193</v>
      </c>
      <c r="D40" s="204">
        <v>1029739</v>
      </c>
      <c r="E40" s="204">
        <v>666603.5</v>
      </c>
      <c r="F40" s="132">
        <f>(+D40-E40)/E40</f>
        <v>0.5447548655235084</v>
      </c>
      <c r="G40" s="215">
        <f>D40/C40</f>
        <v>0.169834442017597</v>
      </c>
      <c r="H40" s="123"/>
    </row>
    <row r="41" spans="1:8" ht="15.75" customHeight="1" thickBot="1">
      <c r="A41" s="130"/>
      <c r="B41" s="131"/>
      <c r="C41" s="204"/>
      <c r="D41" s="204"/>
      <c r="E41" s="204"/>
      <c r="F41" s="132"/>
      <c r="G41" s="215"/>
      <c r="H41" s="123"/>
    </row>
    <row r="42" spans="1:8" ht="16.5" thickBot="1" thickTop="1">
      <c r="A42" s="141" t="s">
        <v>14</v>
      </c>
      <c r="B42" s="142"/>
      <c r="C42" s="207">
        <f>SUM(C39:C41)</f>
        <v>12240294</v>
      </c>
      <c r="D42" s="261">
        <f>SUM(D39:D41)</f>
        <v>1981593</v>
      </c>
      <c r="E42" s="207">
        <f>SUM(E39:E41)</f>
        <v>1734224.5</v>
      </c>
      <c r="F42" s="269">
        <f>(+D42-E42)/E42</f>
        <v>0.14263926037257577</v>
      </c>
      <c r="G42" s="267">
        <f>D42/C42</f>
        <v>0.16189096438369863</v>
      </c>
      <c r="H42" s="123"/>
    </row>
    <row r="43" spans="1:8" ht="15.75" customHeight="1" thickTop="1">
      <c r="A43" s="130"/>
      <c r="B43" s="139"/>
      <c r="C43" s="205"/>
      <c r="D43" s="205"/>
      <c r="E43" s="205"/>
      <c r="F43" s="140"/>
      <c r="G43" s="216"/>
      <c r="H43" s="123"/>
    </row>
    <row r="44" spans="1:8" ht="15">
      <c r="A44" s="130" t="s">
        <v>69</v>
      </c>
      <c r="B44" s="131">
        <f>DATE(2022,7,1)</f>
        <v>44743</v>
      </c>
      <c r="C44" s="204">
        <v>5606930</v>
      </c>
      <c r="D44" s="204">
        <v>1405783</v>
      </c>
      <c r="E44" s="204">
        <v>1287648</v>
      </c>
      <c r="F44" s="132">
        <f>(+D44-E44)/E44</f>
        <v>0.09174479360819106</v>
      </c>
      <c r="G44" s="215">
        <f>D44/C44</f>
        <v>0.2507224095895615</v>
      </c>
      <c r="H44" s="123"/>
    </row>
    <row r="45" spans="1:8" ht="15">
      <c r="A45" s="130"/>
      <c r="B45" s="131">
        <f>DATE(2022,8,1)</f>
        <v>44774</v>
      </c>
      <c r="C45" s="204">
        <v>5378141</v>
      </c>
      <c r="D45" s="204">
        <v>1387184.42</v>
      </c>
      <c r="E45" s="204">
        <v>1323019.5</v>
      </c>
      <c r="F45" s="132">
        <f>(+D45-E45)/E45</f>
        <v>0.04849884676680875</v>
      </c>
      <c r="G45" s="215">
        <f>D45/C45</f>
        <v>0.2579300951760097</v>
      </c>
      <c r="H45" s="123"/>
    </row>
    <row r="46" spans="1:8" ht="15.75" customHeight="1" thickBot="1">
      <c r="A46" s="130"/>
      <c r="B46" s="131"/>
      <c r="C46" s="204"/>
      <c r="D46" s="204"/>
      <c r="E46" s="204"/>
      <c r="F46" s="132"/>
      <c r="G46" s="215"/>
      <c r="H46" s="123"/>
    </row>
    <row r="47" spans="1:8" ht="16.5" thickBot="1" thickTop="1">
      <c r="A47" s="141" t="s">
        <v>14</v>
      </c>
      <c r="B47" s="142"/>
      <c r="C47" s="206">
        <f>SUM(C44:C46)</f>
        <v>10985071</v>
      </c>
      <c r="D47" s="206">
        <f>SUM(D44:D46)</f>
        <v>2792967.42</v>
      </c>
      <c r="E47" s="206">
        <f>SUM(E44:E46)</f>
        <v>2610667.5</v>
      </c>
      <c r="F47" s="143">
        <f>(+D47-E47)/E47</f>
        <v>0.06982885411489588</v>
      </c>
      <c r="G47" s="217">
        <f>D47/C47</f>
        <v>0.2542511941889133</v>
      </c>
      <c r="H47" s="123"/>
    </row>
    <row r="48" spans="1:8" ht="15.75" customHeight="1" thickTop="1">
      <c r="A48" s="138"/>
      <c r="B48" s="139"/>
      <c r="C48" s="205"/>
      <c r="D48" s="205"/>
      <c r="E48" s="205"/>
      <c r="F48" s="140"/>
      <c r="G48" s="216"/>
      <c r="H48" s="123"/>
    </row>
    <row r="49" spans="1:8" ht="15">
      <c r="A49" s="130" t="s">
        <v>16</v>
      </c>
      <c r="B49" s="131">
        <f>DATE(2022,7,1)</f>
        <v>44743</v>
      </c>
      <c r="C49" s="204">
        <v>10366880</v>
      </c>
      <c r="D49" s="204">
        <v>2290229.5</v>
      </c>
      <c r="E49" s="204">
        <v>1960105</v>
      </c>
      <c r="F49" s="132">
        <f>(+D49-E49)/E49</f>
        <v>0.16842184474811298</v>
      </c>
      <c r="G49" s="215">
        <f>D49/C49</f>
        <v>0.22091791358634422</v>
      </c>
      <c r="H49" s="123"/>
    </row>
    <row r="50" spans="1:8" ht="15">
      <c r="A50" s="130"/>
      <c r="B50" s="131">
        <f>DATE(2022,8,1)</f>
        <v>44774</v>
      </c>
      <c r="C50" s="204">
        <v>9734457</v>
      </c>
      <c r="D50" s="204">
        <v>2099615</v>
      </c>
      <c r="E50" s="204">
        <v>2275188.5</v>
      </c>
      <c r="F50" s="132">
        <f>(+D50-E50)/E50</f>
        <v>-0.0771687708512943</v>
      </c>
      <c r="G50" s="215">
        <f>D50/C50</f>
        <v>0.21568896960559794</v>
      </c>
      <c r="H50" s="123"/>
    </row>
    <row r="51" spans="1:8" ht="15.75" customHeight="1" thickBot="1">
      <c r="A51" s="130"/>
      <c r="B51" s="131"/>
      <c r="C51" s="204"/>
      <c r="D51" s="204"/>
      <c r="E51" s="204"/>
      <c r="F51" s="132"/>
      <c r="G51" s="215"/>
      <c r="H51" s="123"/>
    </row>
    <row r="52" spans="1:8" ht="16.5" thickBot="1" thickTop="1">
      <c r="A52" s="141" t="s">
        <v>14</v>
      </c>
      <c r="B52" s="142"/>
      <c r="C52" s="206">
        <f>SUM(C49:C51)</f>
        <v>20101337</v>
      </c>
      <c r="D52" s="206">
        <f>SUM(D49:D51)</f>
        <v>4389844.5</v>
      </c>
      <c r="E52" s="206">
        <f>SUM(E49:E51)</f>
        <v>4235293.5</v>
      </c>
      <c r="F52" s="143">
        <f>(+D52-E52)/E52</f>
        <v>0.03649121365496866</v>
      </c>
      <c r="G52" s="217">
        <f>D52/C52</f>
        <v>0.21838569742898195</v>
      </c>
      <c r="H52" s="123"/>
    </row>
    <row r="53" spans="1:8" ht="15.75" customHeight="1" thickTop="1">
      <c r="A53" s="138"/>
      <c r="B53" s="139"/>
      <c r="C53" s="205"/>
      <c r="D53" s="205"/>
      <c r="E53" s="205"/>
      <c r="F53" s="140"/>
      <c r="G53" s="216"/>
      <c r="H53" s="123"/>
    </row>
    <row r="54" spans="1:8" ht="15">
      <c r="A54" s="130" t="s">
        <v>53</v>
      </c>
      <c r="B54" s="131">
        <f>DATE(2022,7,1)</f>
        <v>44743</v>
      </c>
      <c r="C54" s="204">
        <v>14277956</v>
      </c>
      <c r="D54" s="204">
        <v>2740415.54</v>
      </c>
      <c r="E54" s="204">
        <v>2503594.66</v>
      </c>
      <c r="F54" s="132">
        <f>(+D54-E54)/E54</f>
        <v>0.09459234107808805</v>
      </c>
      <c r="G54" s="215">
        <f>D54/C54</f>
        <v>0.19193332294902715</v>
      </c>
      <c r="H54" s="123"/>
    </row>
    <row r="55" spans="1:8" ht="15">
      <c r="A55" s="130"/>
      <c r="B55" s="131">
        <f>DATE(2022,8,1)</f>
        <v>44774</v>
      </c>
      <c r="C55" s="204">
        <v>14131755</v>
      </c>
      <c r="D55" s="204">
        <v>2943976.84</v>
      </c>
      <c r="E55" s="204">
        <v>2041955.48</v>
      </c>
      <c r="F55" s="132">
        <f>(+D55-E55)/E55</f>
        <v>0.4417438914975756</v>
      </c>
      <c r="G55" s="215">
        <f>D55/C55</f>
        <v>0.208323512543205</v>
      </c>
      <c r="H55" s="123"/>
    </row>
    <row r="56" spans="1:8" ht="15" thickBot="1">
      <c r="A56" s="133"/>
      <c r="B56" s="131"/>
      <c r="C56" s="204"/>
      <c r="D56" s="204"/>
      <c r="E56" s="204"/>
      <c r="F56" s="132"/>
      <c r="G56" s="215"/>
      <c r="H56" s="123"/>
    </row>
    <row r="57" spans="1:8" ht="16.5" thickBot="1" thickTop="1">
      <c r="A57" s="141" t="s">
        <v>14</v>
      </c>
      <c r="B57" s="142"/>
      <c r="C57" s="207">
        <f>SUM(C54:C56)</f>
        <v>28409711</v>
      </c>
      <c r="D57" s="207">
        <f>SUM(D54:D56)</f>
        <v>5684392.38</v>
      </c>
      <c r="E57" s="207">
        <f>SUM(E54:E56)</f>
        <v>4545550.140000001</v>
      </c>
      <c r="F57" s="143">
        <f>(+D57-E57)/E57</f>
        <v>0.2505400237428685</v>
      </c>
      <c r="G57" s="267">
        <f>D57/C57</f>
        <v>0.20008624445352505</v>
      </c>
      <c r="H57" s="123"/>
    </row>
    <row r="58" spans="1:8" ht="15.75" customHeight="1" thickTop="1">
      <c r="A58" s="138"/>
      <c r="B58" s="139"/>
      <c r="C58" s="205"/>
      <c r="D58" s="205"/>
      <c r="E58" s="205"/>
      <c r="F58" s="140"/>
      <c r="G58" s="219"/>
      <c r="H58" s="123"/>
    </row>
    <row r="59" spans="1:8" ht="15">
      <c r="A59" s="130" t="s">
        <v>54</v>
      </c>
      <c r="B59" s="131">
        <f>DATE(2022,7,1)</f>
        <v>44743</v>
      </c>
      <c r="C59" s="204">
        <v>138495</v>
      </c>
      <c r="D59" s="204">
        <v>33672.5</v>
      </c>
      <c r="E59" s="204">
        <v>95940.5</v>
      </c>
      <c r="F59" s="132">
        <f>(+D59-E59)/E59</f>
        <v>-0.6490272616882339</v>
      </c>
      <c r="G59" s="215">
        <f>D59/C59</f>
        <v>0.2431315209935377</v>
      </c>
      <c r="H59" s="123"/>
    </row>
    <row r="60" spans="1:8" ht="15">
      <c r="A60" s="130"/>
      <c r="B60" s="131">
        <f>DATE(2022,8,1)</f>
        <v>44774</v>
      </c>
      <c r="C60" s="204">
        <v>107572</v>
      </c>
      <c r="D60" s="204">
        <v>43554</v>
      </c>
      <c r="E60" s="204">
        <v>109429</v>
      </c>
      <c r="F60" s="132">
        <f>(+D60-E60)/E60</f>
        <v>-0.6019885039614727</v>
      </c>
      <c r="G60" s="215">
        <f>D60/C60</f>
        <v>0.40488231138214403</v>
      </c>
      <c r="H60" s="123"/>
    </row>
    <row r="61" spans="1:8" ht="15" thickBot="1">
      <c r="A61" s="133"/>
      <c r="B61" s="134"/>
      <c r="C61" s="204"/>
      <c r="D61" s="204"/>
      <c r="E61" s="204"/>
      <c r="F61" s="132"/>
      <c r="G61" s="215"/>
      <c r="H61" s="123"/>
    </row>
    <row r="62" spans="1:8" ht="16.5" thickBot="1" thickTop="1">
      <c r="A62" s="144" t="s">
        <v>14</v>
      </c>
      <c r="B62" s="145"/>
      <c r="C62" s="207">
        <f>SUM(C59:C61)</f>
        <v>246067</v>
      </c>
      <c r="D62" s="207">
        <f>SUM(D59:D61)</f>
        <v>77226.5</v>
      </c>
      <c r="E62" s="207">
        <f>SUM(E59:E61)</f>
        <v>205369.5</v>
      </c>
      <c r="F62" s="143">
        <f>(+D62-E62)/E62</f>
        <v>-0.6239631493478828</v>
      </c>
      <c r="G62" s="217">
        <f>D62/C62</f>
        <v>0.31384338411895946</v>
      </c>
      <c r="H62" s="123"/>
    </row>
    <row r="63" spans="1:8" ht="15.75" customHeight="1" thickTop="1">
      <c r="A63" s="130"/>
      <c r="B63" s="134"/>
      <c r="C63" s="204"/>
      <c r="D63" s="204"/>
      <c r="E63" s="204"/>
      <c r="F63" s="132"/>
      <c r="G63" s="218"/>
      <c r="H63" s="123"/>
    </row>
    <row r="64" spans="1:8" ht="15">
      <c r="A64" s="130" t="s">
        <v>37</v>
      </c>
      <c r="B64" s="131">
        <f>DATE(2022,7,1)</f>
        <v>44743</v>
      </c>
      <c r="C64" s="204">
        <v>23474853</v>
      </c>
      <c r="D64" s="204">
        <v>4747644.93</v>
      </c>
      <c r="E64" s="204">
        <v>4828759.44</v>
      </c>
      <c r="F64" s="132">
        <f>(+D64-E64)/E64</f>
        <v>-0.01679820894121839</v>
      </c>
      <c r="G64" s="215">
        <f>D64/C64</f>
        <v>0.20224386197434335</v>
      </c>
      <c r="H64" s="123"/>
    </row>
    <row r="65" spans="1:8" ht="15">
      <c r="A65" s="130"/>
      <c r="B65" s="131">
        <f>DATE(2022,8,1)</f>
        <v>44774</v>
      </c>
      <c r="C65" s="204">
        <v>21618581</v>
      </c>
      <c r="D65" s="204">
        <v>5944421.23</v>
      </c>
      <c r="E65" s="204">
        <v>4617763.22</v>
      </c>
      <c r="F65" s="132">
        <f>(+D65-E65)/E65</f>
        <v>0.28729450749101004</v>
      </c>
      <c r="G65" s="215">
        <f>D65/C65</f>
        <v>0.2749681503147686</v>
      </c>
      <c r="H65" s="123"/>
    </row>
    <row r="66" spans="1:8" ht="15" thickBot="1">
      <c r="A66" s="133"/>
      <c r="B66" s="134"/>
      <c r="C66" s="204"/>
      <c r="D66" s="204"/>
      <c r="E66" s="204"/>
      <c r="F66" s="132"/>
      <c r="G66" s="215"/>
      <c r="H66" s="123"/>
    </row>
    <row r="67" spans="1:8" ht="16.5" thickBot="1" thickTop="1">
      <c r="A67" s="141" t="s">
        <v>14</v>
      </c>
      <c r="B67" s="142"/>
      <c r="C67" s="206">
        <f>SUM(C64:C66)</f>
        <v>45093434</v>
      </c>
      <c r="D67" s="207">
        <f>SUM(D64:D66)</f>
        <v>10692066.16</v>
      </c>
      <c r="E67" s="206">
        <f>SUM(E64:E66)</f>
        <v>9446522.66</v>
      </c>
      <c r="F67" s="143">
        <f>(+D67-E67)/E67</f>
        <v>0.13185206290501822</v>
      </c>
      <c r="G67" s="217">
        <f>D67/C67</f>
        <v>0.2371091578432461</v>
      </c>
      <c r="H67" s="123"/>
    </row>
    <row r="68" spans="1:8" ht="15.75" customHeight="1" thickTop="1">
      <c r="A68" s="130"/>
      <c r="B68" s="134"/>
      <c r="C68" s="204"/>
      <c r="D68" s="204"/>
      <c r="E68" s="204"/>
      <c r="F68" s="132"/>
      <c r="G68" s="218"/>
      <c r="H68" s="123"/>
    </row>
    <row r="69" spans="1:8" ht="15">
      <c r="A69" s="130" t="s">
        <v>57</v>
      </c>
      <c r="B69" s="131">
        <f>DATE(2022,7,1)</f>
        <v>44743</v>
      </c>
      <c r="C69" s="204">
        <v>726679</v>
      </c>
      <c r="D69" s="204">
        <v>196833</v>
      </c>
      <c r="E69" s="204">
        <v>127439.5</v>
      </c>
      <c r="F69" s="132">
        <f>(+D69-E69)/E69</f>
        <v>0.5445211257106313</v>
      </c>
      <c r="G69" s="215">
        <f>D69/C69</f>
        <v>0.27086650364191067</v>
      </c>
      <c r="H69" s="123"/>
    </row>
    <row r="70" spans="1:8" ht="15">
      <c r="A70" s="130"/>
      <c r="B70" s="131">
        <f>DATE(2022,8,1)</f>
        <v>44774</v>
      </c>
      <c r="C70" s="204">
        <v>607303</v>
      </c>
      <c r="D70" s="204">
        <v>151280.5</v>
      </c>
      <c r="E70" s="204">
        <v>132624</v>
      </c>
      <c r="F70" s="132">
        <f>(+D70-E70)/E70</f>
        <v>0.14067212570877066</v>
      </c>
      <c r="G70" s="215">
        <f>D70/C70</f>
        <v>0.24910217799022893</v>
      </c>
      <c r="H70" s="123"/>
    </row>
    <row r="71" spans="1:8" ht="15" thickBot="1">
      <c r="A71" s="133"/>
      <c r="B71" s="134"/>
      <c r="C71" s="204"/>
      <c r="D71" s="204"/>
      <c r="E71" s="204"/>
      <c r="F71" s="132"/>
      <c r="G71" s="215"/>
      <c r="H71" s="123"/>
    </row>
    <row r="72" spans="1:8" ht="16.5" thickBot="1" thickTop="1">
      <c r="A72" s="135" t="s">
        <v>14</v>
      </c>
      <c r="B72" s="136"/>
      <c r="C72" s="201">
        <f>SUM(C69:C71)</f>
        <v>1333982</v>
      </c>
      <c r="D72" s="207">
        <f>SUM(D69:D71)</f>
        <v>348113.5</v>
      </c>
      <c r="E72" s="207">
        <f>SUM(E69:E71)</f>
        <v>260063.5</v>
      </c>
      <c r="F72" s="143">
        <f>(+D72-E72)/E72</f>
        <v>0.3385711566598158</v>
      </c>
      <c r="G72" s="217">
        <f>D72/C72</f>
        <v>0.26095816885085404</v>
      </c>
      <c r="H72" s="123"/>
    </row>
    <row r="73" spans="1:8" ht="15.75" thickBot="1" thickTop="1">
      <c r="A73" s="146"/>
      <c r="B73" s="139"/>
      <c r="C73" s="205"/>
      <c r="D73" s="205"/>
      <c r="E73" s="205"/>
      <c r="F73" s="140"/>
      <c r="G73" s="216"/>
      <c r="H73" s="123"/>
    </row>
    <row r="74" spans="1:8" ht="16.5" thickBot="1" thickTop="1">
      <c r="A74" s="147" t="s">
        <v>38</v>
      </c>
      <c r="B74" s="121"/>
      <c r="C74" s="201">
        <f>C72+C67+C52+C42+C32+C22+C12+C27+C62+C17+C47+C57+C37</f>
        <v>217121962.25</v>
      </c>
      <c r="D74" s="201">
        <f>D72+D67+D52+D42+D32+D22+D12+D27+D62+D17+D47+D57+D37</f>
        <v>48000384.980000004</v>
      </c>
      <c r="E74" s="201">
        <f>E72+E67+E52+E42+E32+E22+E12+E27+E62+E17+E47+E57+E37</f>
        <v>41700586.36</v>
      </c>
      <c r="F74" s="137">
        <f>(+D74-E74)/E74</f>
        <v>0.15107218314903342</v>
      </c>
      <c r="G74" s="212">
        <f>D74/C74</f>
        <v>0.22107567784750898</v>
      </c>
      <c r="H74" s="123"/>
    </row>
    <row r="75" spans="1:8" ht="16.5" thickBot="1" thickTop="1">
      <c r="A75" s="147"/>
      <c r="B75" s="121"/>
      <c r="C75" s="201"/>
      <c r="D75" s="201"/>
      <c r="E75" s="201"/>
      <c r="F75" s="137"/>
      <c r="G75" s="212"/>
      <c r="H75" s="123"/>
    </row>
    <row r="76" spans="1:8" ht="16.5" thickBot="1" thickTop="1">
      <c r="A76" s="265" t="s">
        <v>39</v>
      </c>
      <c r="B76" s="266"/>
      <c r="C76" s="206">
        <f>+C10+C15+C20+C25+C30+C35+C40+C45+C50+C55+C60+C65+C70</f>
        <v>105090863.25</v>
      </c>
      <c r="D76" s="206">
        <f>+D10+D15+D20+D25+D30+D35+D40+D45+D50+D55+D60+D65+D70</f>
        <v>24442000.01</v>
      </c>
      <c r="E76" s="206">
        <f>+E10+E15+E20+E25+E30+E35+E40+E45+E50+E55+E60+E65+E70</f>
        <v>19545743.2</v>
      </c>
      <c r="F76" s="268">
        <f>(+D76-E76)/E76</f>
        <v>0.25050246285851147</v>
      </c>
      <c r="G76" s="217">
        <f>D76/C76</f>
        <v>0.23257968632206474</v>
      </c>
      <c r="H76" s="123"/>
    </row>
    <row r="77" spans="1:8" ht="15.75" thickTop="1">
      <c r="A77" s="256"/>
      <c r="B77" s="258"/>
      <c r="C77" s="259"/>
      <c r="D77" s="259"/>
      <c r="E77" s="259"/>
      <c r="F77" s="260"/>
      <c r="G77" s="257"/>
      <c r="H77" s="257"/>
    </row>
    <row r="78" spans="1:7" ht="17.25">
      <c r="A78" s="263" t="s">
        <v>40</v>
      </c>
      <c r="B78" s="117"/>
      <c r="C78" s="208"/>
      <c r="D78" s="208"/>
      <c r="E78" s="208"/>
      <c r="F78" s="148"/>
      <c r="G78" s="220"/>
    </row>
    <row r="79" ht="15">
      <c r="A79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5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27.6640625" style="0" customWidth="1"/>
    <col min="2" max="2" width="9.6640625" style="0" customWidth="1"/>
    <col min="3" max="3" width="18.3359375" style="0" customWidth="1"/>
    <col min="4" max="4" width="15.77734375" style="0" customWidth="1"/>
    <col min="5" max="5" width="15.6640625" style="0" customWidth="1"/>
    <col min="6" max="6" width="8.6640625" style="0" customWidth="1"/>
    <col min="7" max="7" width="9.6640625" style="0" customWidth="1"/>
    <col min="8" max="8" width="10.6640625" style="0" customWidth="1"/>
  </cols>
  <sheetData>
    <row r="1" spans="1:8" ht="17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7.25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7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7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ht="15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5.75" thickBot="1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5.75" thickTop="1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5.75" thickBot="1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5.75" thickTop="1">
      <c r="A9" s="161"/>
      <c r="B9" s="162"/>
      <c r="C9" s="225"/>
      <c r="D9" s="225"/>
      <c r="E9" s="225"/>
      <c r="F9" s="163"/>
      <c r="G9" s="239"/>
      <c r="H9" s="240"/>
    </row>
    <row r="10" spans="1:8" ht="15">
      <c r="A10" s="164" t="s">
        <v>36</v>
      </c>
      <c r="B10" s="165">
        <f>DATE(22,7,1)</f>
        <v>8218</v>
      </c>
      <c r="C10" s="226">
        <v>2413177.53</v>
      </c>
      <c r="D10" s="226">
        <v>120141.72</v>
      </c>
      <c r="E10" s="226">
        <v>0</v>
      </c>
      <c r="F10" s="166">
        <v>1</v>
      </c>
      <c r="G10" s="241">
        <f>+D10/C10</f>
        <v>0.04978569479718303</v>
      </c>
      <c r="H10" s="289">
        <f>1-G10</f>
        <v>0.9502143052028169</v>
      </c>
    </row>
    <row r="11" spans="1:8" ht="15">
      <c r="A11" s="164"/>
      <c r="B11" s="165">
        <f>DATE(22,8,1)</f>
        <v>8249</v>
      </c>
      <c r="C11" s="226">
        <v>2066898.51</v>
      </c>
      <c r="D11" s="226">
        <v>119034.53</v>
      </c>
      <c r="E11" s="226">
        <v>0</v>
      </c>
      <c r="F11" s="166">
        <v>1</v>
      </c>
      <c r="G11" s="241">
        <f>+D11/C11</f>
        <v>0.05759089254943631</v>
      </c>
      <c r="H11" s="289">
        <f>1-G11</f>
        <v>0.9424091074505637</v>
      </c>
    </row>
    <row r="12" spans="1:8" ht="15" thickBot="1">
      <c r="A12" s="167"/>
      <c r="B12" s="168"/>
      <c r="C12" s="226"/>
      <c r="D12" s="226"/>
      <c r="E12" s="226"/>
      <c r="F12" s="166"/>
      <c r="G12" s="241"/>
      <c r="H12" s="242"/>
    </row>
    <row r="13" spans="1:8" ht="16.5" thickBot="1" thickTop="1">
      <c r="A13" s="169" t="s">
        <v>14</v>
      </c>
      <c r="B13" s="155"/>
      <c r="C13" s="223">
        <f>SUM(C10:C12)</f>
        <v>4480076.04</v>
      </c>
      <c r="D13" s="223">
        <f>SUM(D10:D12)</f>
        <v>239176.25</v>
      </c>
      <c r="E13" s="223">
        <f>SUM(E10:E12)</f>
        <v>0</v>
      </c>
      <c r="F13" s="170">
        <v>1</v>
      </c>
      <c r="G13" s="245">
        <f>+D13/C13</f>
        <v>0.053386649660526746</v>
      </c>
      <c r="H13" s="246">
        <f>1-G13</f>
        <v>0.9466133503394732</v>
      </c>
    </row>
    <row r="14" spans="1:8" ht="15" thickTop="1">
      <c r="A14" s="171"/>
      <c r="B14" s="172"/>
      <c r="C14" s="227"/>
      <c r="D14" s="227"/>
      <c r="E14" s="227"/>
      <c r="F14" s="173"/>
      <c r="G14" s="243"/>
      <c r="H14" s="244"/>
    </row>
    <row r="15" spans="1:8" ht="15">
      <c r="A15" s="19" t="s">
        <v>48</v>
      </c>
      <c r="B15" s="165">
        <f>DATE(22,7,1)</f>
        <v>8218</v>
      </c>
      <c r="C15" s="226">
        <v>0</v>
      </c>
      <c r="D15" s="226">
        <v>0</v>
      </c>
      <c r="E15" s="226">
        <v>0</v>
      </c>
      <c r="F15" s="166">
        <v>0</v>
      </c>
      <c r="G15" s="241">
        <v>0</v>
      </c>
      <c r="H15" s="242">
        <v>0</v>
      </c>
    </row>
    <row r="16" spans="1:8" ht="15">
      <c r="A16" s="19"/>
      <c r="B16" s="165">
        <f>DATE(22,8,1)</f>
        <v>8249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" thickBot="1">
      <c r="A17" s="167"/>
      <c r="B17" s="165"/>
      <c r="C17" s="226"/>
      <c r="D17" s="226"/>
      <c r="E17" s="226"/>
      <c r="F17" s="166"/>
      <c r="G17" s="241"/>
      <c r="H17" s="242"/>
    </row>
    <row r="18" spans="1:8" ht="16.5" thickBot="1" thickTop="1">
      <c r="A18" s="169" t="s">
        <v>14</v>
      </c>
      <c r="B18" s="155"/>
      <c r="C18" s="223">
        <f>SUM(C15:C17)</f>
        <v>0</v>
      </c>
      <c r="D18" s="223">
        <f>SUM(D15:D17)</f>
        <v>0</v>
      </c>
      <c r="E18" s="223">
        <f>SUM(E15:E17)</f>
        <v>0</v>
      </c>
      <c r="F18" s="170">
        <v>0</v>
      </c>
      <c r="G18" s="236">
        <v>0</v>
      </c>
      <c r="H18" s="237">
        <v>0</v>
      </c>
    </row>
    <row r="19" spans="1:8" ht="15" thickTop="1">
      <c r="A19" s="171"/>
      <c r="B19" s="172"/>
      <c r="C19" s="227"/>
      <c r="D19" s="227"/>
      <c r="E19" s="227"/>
      <c r="F19" s="173"/>
      <c r="G19" s="243"/>
      <c r="H19" s="244"/>
    </row>
    <row r="20" spans="1:8" ht="15">
      <c r="A20" s="19" t="s">
        <v>62</v>
      </c>
      <c r="B20" s="165">
        <f>DATE(22,7,1)</f>
        <v>8218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">
      <c r="A21" s="19"/>
      <c r="B21" s="165">
        <f>DATE(22,8,1)</f>
        <v>8249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" thickBot="1">
      <c r="A22" s="167"/>
      <c r="B22" s="165"/>
      <c r="C22" s="226"/>
      <c r="D22" s="226"/>
      <c r="E22" s="226"/>
      <c r="F22" s="166"/>
      <c r="G22" s="241"/>
      <c r="H22" s="242"/>
    </row>
    <row r="23" spans="1:8" ht="16.5" thickBot="1" thickTop="1">
      <c r="A23" s="174" t="s">
        <v>14</v>
      </c>
      <c r="B23" s="175"/>
      <c r="C23" s="228">
        <f>SUM(C20:C22)</f>
        <v>0</v>
      </c>
      <c r="D23" s="228">
        <f>SUM(D20:D22)</f>
        <v>0</v>
      </c>
      <c r="E23" s="228">
        <f>SUM(E20:E22)</f>
        <v>0</v>
      </c>
      <c r="F23" s="176">
        <v>0</v>
      </c>
      <c r="G23" s="245">
        <v>0</v>
      </c>
      <c r="H23" s="246">
        <v>0</v>
      </c>
    </row>
    <row r="24" spans="1:8" ht="15" thickTop="1">
      <c r="A24" s="167"/>
      <c r="B24" s="168"/>
      <c r="C24" s="226"/>
      <c r="D24" s="226"/>
      <c r="E24" s="226"/>
      <c r="F24" s="166"/>
      <c r="G24" s="241"/>
      <c r="H24" s="242"/>
    </row>
    <row r="25" spans="1:8" ht="15">
      <c r="A25" s="177" t="s">
        <v>58</v>
      </c>
      <c r="B25" s="165">
        <f>DATE(22,7,1)</f>
        <v>8218</v>
      </c>
      <c r="C25" s="226">
        <v>3178065.75</v>
      </c>
      <c r="D25" s="226">
        <v>133554.04</v>
      </c>
      <c r="E25" s="226">
        <v>0</v>
      </c>
      <c r="F25" s="166">
        <v>1</v>
      </c>
      <c r="G25" s="241">
        <f>+D25/C25</f>
        <v>0.042023686891940484</v>
      </c>
      <c r="H25" s="289">
        <f>1-G25</f>
        <v>0.9579763131080595</v>
      </c>
    </row>
    <row r="26" spans="1:8" ht="15">
      <c r="A26" s="177"/>
      <c r="B26" s="165">
        <f>DATE(22,8,1)</f>
        <v>8249</v>
      </c>
      <c r="C26" s="226">
        <v>3240013.32</v>
      </c>
      <c r="D26" s="226">
        <v>183775.77</v>
      </c>
      <c r="E26" s="226">
        <v>0</v>
      </c>
      <c r="F26" s="166">
        <v>1</v>
      </c>
      <c r="G26" s="241">
        <f>+D26/C26</f>
        <v>0.05672068348163457</v>
      </c>
      <c r="H26" s="289">
        <f>1-G26</f>
        <v>0.9432793165183654</v>
      </c>
    </row>
    <row r="27" spans="1:8" ht="15" thickBot="1">
      <c r="A27" s="167"/>
      <c r="B27" s="168"/>
      <c r="C27" s="226"/>
      <c r="D27" s="226"/>
      <c r="E27" s="226"/>
      <c r="F27" s="166"/>
      <c r="G27" s="241"/>
      <c r="H27" s="242"/>
    </row>
    <row r="28" spans="1:8" ht="16.5" thickBot="1" thickTop="1">
      <c r="A28" s="174" t="s">
        <v>14</v>
      </c>
      <c r="B28" s="178"/>
      <c r="C28" s="228">
        <f>SUM(C25:C27)</f>
        <v>6418079.07</v>
      </c>
      <c r="D28" s="228">
        <f>SUM(D25:D27)</f>
        <v>317329.81</v>
      </c>
      <c r="E28" s="228">
        <f>SUM(E25:E27)</f>
        <v>0</v>
      </c>
      <c r="F28" s="176">
        <v>1</v>
      </c>
      <c r="G28" s="245">
        <f>+D28/C28</f>
        <v>0.04944311320240559</v>
      </c>
      <c r="H28" s="246">
        <f>1-G28</f>
        <v>0.9505568867975944</v>
      </c>
    </row>
    <row r="29" spans="1:8" ht="15" thickTop="1">
      <c r="A29" s="167"/>
      <c r="B29" s="168"/>
      <c r="C29" s="226"/>
      <c r="D29" s="226"/>
      <c r="E29" s="226"/>
      <c r="F29" s="166"/>
      <c r="G29" s="241"/>
      <c r="H29" s="242"/>
    </row>
    <row r="30" spans="1:8" ht="15">
      <c r="A30" s="164" t="s">
        <v>60</v>
      </c>
      <c r="B30" s="165">
        <f>DATE(22,7,1)</f>
        <v>8218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">
      <c r="A31" s="164"/>
      <c r="B31" s="165">
        <f>DATE(22,8,1)</f>
        <v>8249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" thickBot="1">
      <c r="A32" s="167"/>
      <c r="B32" s="165"/>
      <c r="C32" s="226"/>
      <c r="D32" s="226"/>
      <c r="E32" s="226"/>
      <c r="F32" s="166"/>
      <c r="G32" s="241"/>
      <c r="H32" s="242"/>
    </row>
    <row r="33" spans="1:8" ht="16.5" thickBot="1" thickTop="1">
      <c r="A33" s="174" t="s">
        <v>14</v>
      </c>
      <c r="B33" s="175"/>
      <c r="C33" s="228">
        <f>SUM(C30:C32)</f>
        <v>0</v>
      </c>
      <c r="D33" s="230">
        <f>SUM(D30:D32)</f>
        <v>0</v>
      </c>
      <c r="E33" s="271">
        <f>SUM(E30:E32)</f>
        <v>0</v>
      </c>
      <c r="F33" s="176">
        <v>0</v>
      </c>
      <c r="G33" s="245">
        <v>0</v>
      </c>
      <c r="H33" s="246">
        <v>0</v>
      </c>
    </row>
    <row r="34" spans="1:8" ht="15" thickTop="1">
      <c r="A34" s="167"/>
      <c r="B34" s="168"/>
      <c r="C34" s="226"/>
      <c r="D34" s="226"/>
      <c r="E34" s="226"/>
      <c r="F34" s="166"/>
      <c r="G34" s="241"/>
      <c r="H34" s="242"/>
    </row>
    <row r="35" spans="1:8" ht="15">
      <c r="A35" s="164" t="s">
        <v>64</v>
      </c>
      <c r="B35" s="165">
        <f>DATE(22,7,1)</f>
        <v>8218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">
      <c r="A36" s="164"/>
      <c r="B36" s="165">
        <f>DATE(22,8,1)</f>
        <v>8249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" thickBot="1">
      <c r="A37" s="167"/>
      <c r="B37" s="165"/>
      <c r="C37" s="226"/>
      <c r="D37" s="226"/>
      <c r="E37" s="226"/>
      <c r="F37" s="166"/>
      <c r="G37" s="241"/>
      <c r="H37" s="242"/>
    </row>
    <row r="38" spans="1:8" ht="16.5" thickBot="1" thickTop="1">
      <c r="A38" s="174" t="s">
        <v>14</v>
      </c>
      <c r="B38" s="175"/>
      <c r="C38" s="228">
        <f>SUM(C35:C37)</f>
        <v>0</v>
      </c>
      <c r="D38" s="230">
        <f>SUM(D35:D37)</f>
        <v>0</v>
      </c>
      <c r="E38" s="271">
        <f>SUM(E35:E37)</f>
        <v>0</v>
      </c>
      <c r="F38" s="176">
        <v>0</v>
      </c>
      <c r="G38" s="245">
        <v>0</v>
      </c>
      <c r="H38" s="246">
        <v>0</v>
      </c>
    </row>
    <row r="39" spans="1:8" ht="15" thickTop="1">
      <c r="A39" s="167"/>
      <c r="B39" s="168"/>
      <c r="C39" s="226"/>
      <c r="D39" s="226"/>
      <c r="E39" s="226"/>
      <c r="F39" s="166"/>
      <c r="G39" s="241"/>
      <c r="H39" s="242"/>
    </row>
    <row r="40" spans="1:8" ht="15">
      <c r="A40" s="164" t="s">
        <v>67</v>
      </c>
      <c r="B40" s="165">
        <f>DATE(22,7,1)</f>
        <v>8218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">
      <c r="A41" s="164"/>
      <c r="B41" s="165">
        <f>DATE(22,8,1)</f>
        <v>8249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" thickBot="1">
      <c r="A42" s="167"/>
      <c r="B42" s="165"/>
      <c r="C42" s="226"/>
      <c r="D42" s="226"/>
      <c r="E42" s="226"/>
      <c r="F42" s="166"/>
      <c r="G42" s="241"/>
      <c r="H42" s="242"/>
    </row>
    <row r="43" spans="1:8" ht="16.5" thickBot="1" thickTop="1">
      <c r="A43" s="174" t="s">
        <v>14</v>
      </c>
      <c r="B43" s="175"/>
      <c r="C43" s="228">
        <f>SUM(C40:C42)</f>
        <v>0</v>
      </c>
      <c r="D43" s="230">
        <f>SUM(D40:D42)</f>
        <v>0</v>
      </c>
      <c r="E43" s="271">
        <f>SUM(E40:E42)</f>
        <v>0</v>
      </c>
      <c r="F43" s="176">
        <v>0</v>
      </c>
      <c r="G43" s="245">
        <v>0</v>
      </c>
      <c r="H43" s="246">
        <v>0</v>
      </c>
    </row>
    <row r="44" spans="1:8" ht="15" thickTop="1">
      <c r="A44" s="167"/>
      <c r="B44" s="168"/>
      <c r="C44" s="226"/>
      <c r="D44" s="226"/>
      <c r="E44" s="226"/>
      <c r="F44" s="166"/>
      <c r="G44" s="241"/>
      <c r="H44" s="242"/>
    </row>
    <row r="45" spans="1:8" ht="15">
      <c r="A45" s="164" t="s">
        <v>69</v>
      </c>
      <c r="B45" s="165">
        <f>DATE(22,7,1)</f>
        <v>8218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">
      <c r="A46" s="164"/>
      <c r="B46" s="165">
        <f>DATE(22,8,1)</f>
        <v>8249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" thickBot="1">
      <c r="A47" s="167"/>
      <c r="B47" s="165"/>
      <c r="C47" s="226"/>
      <c r="D47" s="226"/>
      <c r="E47" s="226"/>
      <c r="F47" s="166"/>
      <c r="G47" s="241"/>
      <c r="H47" s="242"/>
    </row>
    <row r="48" spans="1:8" ht="16.5" thickBot="1" thickTop="1">
      <c r="A48" s="174" t="s">
        <v>14</v>
      </c>
      <c r="B48" s="175"/>
      <c r="C48" s="228">
        <f>SUM(C45:C47)</f>
        <v>0</v>
      </c>
      <c r="D48" s="230">
        <f>SUM(D45:D47)</f>
        <v>0</v>
      </c>
      <c r="E48" s="271">
        <f>SUM(E45:E47)</f>
        <v>0</v>
      </c>
      <c r="F48" s="176">
        <v>0</v>
      </c>
      <c r="G48" s="249">
        <v>0</v>
      </c>
      <c r="H48" s="270">
        <v>0</v>
      </c>
    </row>
    <row r="49" spans="1:8" ht="15" thickTop="1">
      <c r="A49" s="167"/>
      <c r="B49" s="179"/>
      <c r="C49" s="229"/>
      <c r="D49" s="229"/>
      <c r="E49" s="229"/>
      <c r="F49" s="180"/>
      <c r="G49" s="247"/>
      <c r="H49" s="248"/>
    </row>
    <row r="50" spans="1:8" ht="15">
      <c r="A50" s="164" t="s">
        <v>16</v>
      </c>
      <c r="B50" s="165">
        <f>DATE(22,7,1)</f>
        <v>8218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">
      <c r="A51" s="164"/>
      <c r="B51" s="165">
        <f>DATE(22,8,1)</f>
        <v>8249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.75" thickBot="1">
      <c r="A52" s="164"/>
      <c r="B52" s="165"/>
      <c r="C52" s="226"/>
      <c r="D52" s="226"/>
      <c r="E52" s="226"/>
      <c r="F52" s="166"/>
      <c r="G52" s="241"/>
      <c r="H52" s="242"/>
    </row>
    <row r="53" spans="1:8" ht="16.5" thickBot="1" thickTop="1">
      <c r="A53" s="174" t="s">
        <v>14</v>
      </c>
      <c r="B53" s="181"/>
      <c r="C53" s="228">
        <f>SUM(C50:C52)</f>
        <v>0</v>
      </c>
      <c r="D53" s="228">
        <f>SUM(D50:D52)</f>
        <v>0</v>
      </c>
      <c r="E53" s="228">
        <f>SUM(E50:E52)</f>
        <v>0</v>
      </c>
      <c r="F53" s="176">
        <v>0</v>
      </c>
      <c r="G53" s="245">
        <v>0</v>
      </c>
      <c r="H53" s="246">
        <v>0</v>
      </c>
    </row>
    <row r="54" spans="1:8" ht="15" thickTop="1">
      <c r="A54" s="171"/>
      <c r="B54" s="172"/>
      <c r="C54" s="227"/>
      <c r="D54" s="227"/>
      <c r="E54" s="227"/>
      <c r="F54" s="173"/>
      <c r="G54" s="243"/>
      <c r="H54" s="244"/>
    </row>
    <row r="55" spans="1:8" ht="15">
      <c r="A55" s="164" t="s">
        <v>53</v>
      </c>
      <c r="B55" s="165">
        <f>DATE(22,7,1)</f>
        <v>8218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">
      <c r="A56" s="164"/>
      <c r="B56" s="165">
        <f>DATE(22,8,1)</f>
        <v>8249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" thickBot="1">
      <c r="A57" s="167"/>
      <c r="B57" s="168"/>
      <c r="C57" s="226"/>
      <c r="D57" s="226"/>
      <c r="E57" s="226"/>
      <c r="F57" s="166"/>
      <c r="G57" s="241"/>
      <c r="H57" s="242"/>
    </row>
    <row r="58" spans="1:8" ht="16.5" thickBot="1" thickTop="1">
      <c r="A58" s="174" t="s">
        <v>14</v>
      </c>
      <c r="B58" s="175"/>
      <c r="C58" s="228">
        <f>SUM(C55:C57)</f>
        <v>0</v>
      </c>
      <c r="D58" s="228">
        <f>SUM(D55:D57)</f>
        <v>0</v>
      </c>
      <c r="E58" s="228">
        <f>SUM(E55:E57)</f>
        <v>0</v>
      </c>
      <c r="F58" s="176">
        <v>0</v>
      </c>
      <c r="G58" s="245">
        <v>0</v>
      </c>
      <c r="H58" s="246">
        <v>0</v>
      </c>
    </row>
    <row r="59" spans="1:8" ht="15" thickTop="1">
      <c r="A59" s="167"/>
      <c r="B59" s="168"/>
      <c r="C59" s="226"/>
      <c r="D59" s="226"/>
      <c r="E59" s="226"/>
      <c r="F59" s="166"/>
      <c r="G59" s="241"/>
      <c r="H59" s="242"/>
    </row>
    <row r="60" spans="1:8" ht="15">
      <c r="A60" s="164" t="s">
        <v>54</v>
      </c>
      <c r="B60" s="165">
        <f>DATE(22,7,1)</f>
        <v>8218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">
      <c r="A61" s="164"/>
      <c r="B61" s="165">
        <f>DATE(22,8,1)</f>
        <v>8249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" thickBot="1">
      <c r="A62" s="167"/>
      <c r="B62" s="168"/>
      <c r="C62" s="226"/>
      <c r="D62" s="226"/>
      <c r="E62" s="226"/>
      <c r="F62" s="166"/>
      <c r="G62" s="241"/>
      <c r="H62" s="242"/>
    </row>
    <row r="63" spans="1:8" ht="16.5" thickBot="1" thickTop="1">
      <c r="A63" s="182" t="s">
        <v>14</v>
      </c>
      <c r="B63" s="183"/>
      <c r="C63" s="230">
        <f>SUM(C60:C62)</f>
        <v>0</v>
      </c>
      <c r="D63" s="230">
        <f>SUM(D60:D62)</f>
        <v>0</v>
      </c>
      <c r="E63" s="230">
        <f>SUM(E60:E62)</f>
        <v>0</v>
      </c>
      <c r="F63" s="176">
        <v>0</v>
      </c>
      <c r="G63" s="245">
        <v>0</v>
      </c>
      <c r="H63" s="246">
        <v>0</v>
      </c>
    </row>
    <row r="64" spans="1:8" ht="15" thickTop="1">
      <c r="A64" s="167"/>
      <c r="B64" s="168"/>
      <c r="C64" s="226"/>
      <c r="D64" s="226"/>
      <c r="E64" s="226"/>
      <c r="F64" s="166"/>
      <c r="G64" s="241"/>
      <c r="H64" s="242"/>
    </row>
    <row r="65" spans="1:8" ht="15">
      <c r="A65" s="164" t="s">
        <v>37</v>
      </c>
      <c r="B65" s="165">
        <f>DATE(22,7,1)</f>
        <v>8218</v>
      </c>
      <c r="C65" s="226">
        <v>5095922.64</v>
      </c>
      <c r="D65" s="226">
        <v>215844.68</v>
      </c>
      <c r="E65" s="226">
        <v>209181.95</v>
      </c>
      <c r="F65" s="166">
        <f>+(D65-E65)/E65</f>
        <v>0.03185136193634289</v>
      </c>
      <c r="G65" s="241">
        <f>+D65/C65</f>
        <v>0.042356349428412834</v>
      </c>
      <c r="H65" s="289">
        <f>1-G65</f>
        <v>0.9576436505715872</v>
      </c>
    </row>
    <row r="66" spans="1:8" ht="15">
      <c r="A66" s="164"/>
      <c r="B66" s="165">
        <f>DATE(22,8,1)</f>
        <v>8249</v>
      </c>
      <c r="C66" s="226">
        <v>4684772.5</v>
      </c>
      <c r="D66" s="226">
        <v>222475.66</v>
      </c>
      <c r="E66" s="226">
        <v>126701.54</v>
      </c>
      <c r="F66" s="166">
        <f>+(D66-E66)/E66</f>
        <v>0.7559033615534587</v>
      </c>
      <c r="G66" s="241">
        <f>+D66/C66</f>
        <v>0.047489106461413015</v>
      </c>
      <c r="H66" s="289">
        <f>1-G66</f>
        <v>0.952510893538587</v>
      </c>
    </row>
    <row r="67" spans="1:8" ht="15" thickBot="1">
      <c r="A67" s="167"/>
      <c r="B67" s="168"/>
      <c r="C67" s="226"/>
      <c r="D67" s="226"/>
      <c r="E67" s="226"/>
      <c r="F67" s="166"/>
      <c r="G67" s="241"/>
      <c r="H67" s="242"/>
    </row>
    <row r="68" spans="1:8" ht="16.5" thickBot="1" thickTop="1">
      <c r="A68" s="174" t="s">
        <v>14</v>
      </c>
      <c r="B68" s="175"/>
      <c r="C68" s="228">
        <f>SUM(C65:C67)</f>
        <v>9780695.14</v>
      </c>
      <c r="D68" s="228">
        <f>SUM(D65:D67)</f>
        <v>438320.33999999997</v>
      </c>
      <c r="E68" s="228">
        <f>SUM(E65:E67)</f>
        <v>335883.49</v>
      </c>
      <c r="F68" s="176">
        <v>1</v>
      </c>
      <c r="G68" s="245">
        <f>+D68/C68</f>
        <v>0.044814845338283386</v>
      </c>
      <c r="H68" s="246">
        <f>1-G68</f>
        <v>0.9551851546617166</v>
      </c>
    </row>
    <row r="69" spans="1:8" ht="15" thickTop="1">
      <c r="A69" s="167"/>
      <c r="B69" s="168"/>
      <c r="C69" s="226"/>
      <c r="D69" s="226"/>
      <c r="E69" s="226"/>
      <c r="F69" s="166"/>
      <c r="G69" s="241"/>
      <c r="H69" s="242"/>
    </row>
    <row r="70" spans="1:8" ht="15">
      <c r="A70" s="164" t="s">
        <v>57</v>
      </c>
      <c r="B70" s="165">
        <f>DATE(22,7,1)</f>
        <v>8218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">
      <c r="A71" s="164"/>
      <c r="B71" s="165">
        <f>DATE(22,8,1)</f>
        <v>8249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" thickBot="1">
      <c r="A72" s="167"/>
      <c r="B72" s="168"/>
      <c r="C72" s="226"/>
      <c r="D72" s="226"/>
      <c r="E72" s="226"/>
      <c r="F72" s="166"/>
      <c r="G72" s="241"/>
      <c r="H72" s="242"/>
    </row>
    <row r="73" spans="1:8" ht="16.5" thickBot="1" thickTop="1">
      <c r="A73" s="169" t="s">
        <v>14</v>
      </c>
      <c r="B73" s="155"/>
      <c r="C73" s="223">
        <f>SUM(C70:C72)</f>
        <v>0</v>
      </c>
      <c r="D73" s="223">
        <f>SUM(D70:D72)</f>
        <v>0</v>
      </c>
      <c r="E73" s="223">
        <f>SUM(E70:E72)</f>
        <v>0</v>
      </c>
      <c r="F73" s="176">
        <v>0</v>
      </c>
      <c r="G73" s="245">
        <v>0</v>
      </c>
      <c r="H73" s="246">
        <v>0</v>
      </c>
    </row>
    <row r="74" spans="1:8" ht="15.75" thickBot="1" thickTop="1">
      <c r="A74" s="171"/>
      <c r="B74" s="172"/>
      <c r="C74" s="227"/>
      <c r="D74" s="227"/>
      <c r="E74" s="227"/>
      <c r="F74" s="173"/>
      <c r="G74" s="243"/>
      <c r="H74" s="244"/>
    </row>
    <row r="75" spans="1:8" ht="16.5" thickBot="1" thickTop="1">
      <c r="A75" s="184" t="s">
        <v>38</v>
      </c>
      <c r="B75" s="155"/>
      <c r="C75" s="223">
        <f>C73+C68+C53+C43+C33+C23+C13+C28+C63+C18+C48+C58+C38</f>
        <v>20678850.25</v>
      </c>
      <c r="D75" s="223">
        <f>D73+D68+D53+D43+D33+D23+D13+D28+D63+D18+D48+D58+D38</f>
        <v>994826.3999999999</v>
      </c>
      <c r="E75" s="223">
        <f>E73+E68+E53+E43+E33+E23+E13+E28+E63+E18+E48+E58+E38</f>
        <v>335883.49</v>
      </c>
      <c r="F75" s="176">
        <f>+(D75-E75)/E75</f>
        <v>1.9618198858181446</v>
      </c>
      <c r="G75" s="236">
        <f>D75/C75</f>
        <v>0.048108400030606145</v>
      </c>
      <c r="H75" s="237">
        <f>1-G75</f>
        <v>0.9518915999693939</v>
      </c>
    </row>
    <row r="76" spans="1:8" ht="16.5" thickBot="1" thickTop="1">
      <c r="A76" s="184"/>
      <c r="B76" s="155"/>
      <c r="C76" s="223"/>
      <c r="D76" s="223"/>
      <c r="E76" s="223"/>
      <c r="F76" s="170"/>
      <c r="G76" s="236"/>
      <c r="H76" s="237"/>
    </row>
    <row r="77" spans="1:8" ht="16.5" thickBot="1" thickTop="1">
      <c r="A77" s="184" t="s">
        <v>39</v>
      </c>
      <c r="B77" s="155"/>
      <c r="C77" s="223">
        <f>+C11+C16+C21+C26+C31+C36+C41+C46+C51+C56+C61+C66+C71</f>
        <v>9991684.33</v>
      </c>
      <c r="D77" s="223">
        <f>+D11+D16+D21+D26+D31+D36+D41+D46+D51+D56+D61+D66+D71</f>
        <v>525285.96</v>
      </c>
      <c r="E77" s="223">
        <f>+E11+E16+E21+E26+E31+E36+E41+E46+E51+E56+E61+E66+E71</f>
        <v>126701.54</v>
      </c>
      <c r="F77" s="176">
        <f>+(D77-E77)/E77</f>
        <v>3.1458530022602726</v>
      </c>
      <c r="G77" s="236">
        <f>D77/C77</f>
        <v>0.052572313400937876</v>
      </c>
      <c r="H77" s="246">
        <f>1-G77</f>
        <v>0.9474276865990621</v>
      </c>
    </row>
    <row r="78" spans="1:8" ht="15.75" thickTop="1">
      <c r="A78" s="185"/>
      <c r="B78" s="186"/>
      <c r="C78" s="231"/>
      <c r="D78" s="231"/>
      <c r="E78" s="231"/>
      <c r="F78" s="187"/>
      <c r="G78" s="250"/>
      <c r="H78" s="250"/>
    </row>
    <row r="79" spans="1:8" ht="17.25">
      <c r="A79" s="188" t="s">
        <v>49</v>
      </c>
      <c r="B79" s="189"/>
      <c r="C79" s="232"/>
      <c r="D79" s="232"/>
      <c r="E79" s="232"/>
      <c r="F79" s="190"/>
      <c r="G79" s="251"/>
      <c r="H79" s="251"/>
    </row>
    <row r="80" spans="1:8" ht="15">
      <c r="A80" s="191"/>
      <c r="B80" s="189"/>
      <c r="C80" s="232"/>
      <c r="D80" s="232"/>
      <c r="E80" s="232"/>
      <c r="F80" s="190"/>
      <c r="G80" s="257"/>
      <c r="H80" s="257"/>
    </row>
  </sheetData>
  <sheetProtection/>
  <printOptions horizontalCentered="1"/>
  <pageMargins left="0.7" right="0.45" top="0.25" bottom="0.25" header="0.3" footer="0.3"/>
  <pageSetup horizontalDpi="600" verticalDpi="600" orientation="landscape" scale="65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7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7.25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7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7.25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5.75" thickBot="1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5.75" thickTop="1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5.75" thickBot="1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">
      <c r="A10" s="164" t="s">
        <v>36</v>
      </c>
      <c r="B10" s="165">
        <f>DATE(22,7,1)</f>
        <v>8218</v>
      </c>
      <c r="C10" s="226">
        <v>134715868.37</v>
      </c>
      <c r="D10" s="226">
        <v>12857023.68</v>
      </c>
      <c r="E10" s="226">
        <v>13537622.55</v>
      </c>
      <c r="F10" s="166">
        <f>(+D10-E10)/E10</f>
        <v>-0.050274622998703784</v>
      </c>
      <c r="G10" s="241">
        <f>D10/C10</f>
        <v>0.09543807894024711</v>
      </c>
      <c r="H10" s="242">
        <f>1-G10</f>
        <v>0.9045619210597529</v>
      </c>
      <c r="I10" s="157"/>
    </row>
    <row r="11" spans="1:9" ht="15">
      <c r="A11" s="164"/>
      <c r="B11" s="165">
        <f>DATE(22,8,1)</f>
        <v>8249</v>
      </c>
      <c r="C11" s="226">
        <v>124862515.53</v>
      </c>
      <c r="D11" s="226">
        <v>11831590.09</v>
      </c>
      <c r="E11" s="226">
        <v>12571995.62</v>
      </c>
      <c r="F11" s="166">
        <f>(+D11-E11)/E11</f>
        <v>-0.05889323798539467</v>
      </c>
      <c r="G11" s="241">
        <f>D11/C11</f>
        <v>0.09475694158313903</v>
      </c>
      <c r="H11" s="242">
        <f>1-G11</f>
        <v>0.9052430584168609</v>
      </c>
      <c r="I11" s="157"/>
    </row>
    <row r="12" spans="1:9" ht="15" thickBot="1">
      <c r="A12" s="167"/>
      <c r="B12" s="168"/>
      <c r="C12" s="226"/>
      <c r="D12" s="226"/>
      <c r="E12" s="226"/>
      <c r="F12" s="166"/>
      <c r="G12" s="241"/>
      <c r="H12" s="242"/>
      <c r="I12" s="157"/>
    </row>
    <row r="13" spans="1:9" ht="16.5" thickBot="1" thickTop="1">
      <c r="A13" s="169" t="s">
        <v>14</v>
      </c>
      <c r="B13" s="155"/>
      <c r="C13" s="223">
        <f>SUM(C10:C12)</f>
        <v>259578383.9</v>
      </c>
      <c r="D13" s="223">
        <f>SUM(D10:D12)</f>
        <v>24688613.77</v>
      </c>
      <c r="E13" s="223">
        <f>SUM(E10:E12)</f>
        <v>26109618.17</v>
      </c>
      <c r="F13" s="170">
        <f>(+D13-E13)/E13</f>
        <v>-0.05442455691032429</v>
      </c>
      <c r="G13" s="236">
        <f>D13/C13</f>
        <v>0.09511043793042122</v>
      </c>
      <c r="H13" s="237">
        <f>1-G13</f>
        <v>0.9048895620695788</v>
      </c>
      <c r="I13" s="157"/>
    </row>
    <row r="14" spans="1:9" ht="15" thickTop="1">
      <c r="A14" s="171"/>
      <c r="B14" s="172"/>
      <c r="C14" s="227"/>
      <c r="D14" s="227"/>
      <c r="E14" s="227"/>
      <c r="F14" s="173"/>
      <c r="G14" s="243"/>
      <c r="H14" s="244"/>
      <c r="I14" s="157"/>
    </row>
    <row r="15" spans="1:9" ht="15">
      <c r="A15" s="19" t="s">
        <v>48</v>
      </c>
      <c r="B15" s="165">
        <f>DATE(22,7,1)</f>
        <v>8218</v>
      </c>
      <c r="C15" s="226">
        <v>76496067.98</v>
      </c>
      <c r="D15" s="226">
        <v>7757914.71</v>
      </c>
      <c r="E15" s="226">
        <v>7305624.15</v>
      </c>
      <c r="F15" s="166">
        <f>(+D15-E15)/E15</f>
        <v>0.06190991361087191</v>
      </c>
      <c r="G15" s="241">
        <f>D15/C15</f>
        <v>0.10141586247319688</v>
      </c>
      <c r="H15" s="242">
        <f>1-G15</f>
        <v>0.8985841375268031</v>
      </c>
      <c r="I15" s="157"/>
    </row>
    <row r="16" spans="1:9" ht="15">
      <c r="A16" s="19"/>
      <c r="B16" s="165">
        <f>DATE(22,8,1)</f>
        <v>8249</v>
      </c>
      <c r="C16" s="226">
        <v>71699704.19</v>
      </c>
      <c r="D16" s="226">
        <v>6870200.03</v>
      </c>
      <c r="E16" s="226">
        <v>6574172.11</v>
      </c>
      <c r="F16" s="166">
        <f>(+D16-E16)/E16</f>
        <v>0.04502892760439153</v>
      </c>
      <c r="G16" s="241">
        <f>D16/C16</f>
        <v>0.09581908471748188</v>
      </c>
      <c r="H16" s="242">
        <f>1-G16</f>
        <v>0.9041809152825181</v>
      </c>
      <c r="I16" s="157"/>
    </row>
    <row r="17" spans="1:9" ht="15" thickBot="1">
      <c r="A17" s="167"/>
      <c r="B17" s="165"/>
      <c r="C17" s="226"/>
      <c r="D17" s="226"/>
      <c r="E17" s="226"/>
      <c r="F17" s="166"/>
      <c r="G17" s="241"/>
      <c r="H17" s="242"/>
      <c r="I17" s="157"/>
    </row>
    <row r="18" spans="1:9" ht="16.5" thickBot="1" thickTop="1">
      <c r="A18" s="169" t="s">
        <v>14</v>
      </c>
      <c r="B18" s="155"/>
      <c r="C18" s="223">
        <f>SUM(C15:C17)</f>
        <v>148195772.17000002</v>
      </c>
      <c r="D18" s="223">
        <f>SUM(D15:D17)</f>
        <v>14628114.74</v>
      </c>
      <c r="E18" s="223">
        <f>SUM(E15:E17)</f>
        <v>13879796.260000002</v>
      </c>
      <c r="F18" s="170">
        <f>(+D18-E18)/E18</f>
        <v>0.05391422654787575</v>
      </c>
      <c r="G18" s="236">
        <f>D18/C18</f>
        <v>0.09870804359533031</v>
      </c>
      <c r="H18" s="237">
        <f>1-G18</f>
        <v>0.9012919564046697</v>
      </c>
      <c r="I18" s="157"/>
    </row>
    <row r="19" spans="1:9" ht="15" thickTop="1">
      <c r="A19" s="171"/>
      <c r="B19" s="172"/>
      <c r="C19" s="227"/>
      <c r="D19" s="227"/>
      <c r="E19" s="227"/>
      <c r="F19" s="173"/>
      <c r="G19" s="243"/>
      <c r="H19" s="244"/>
      <c r="I19" s="157"/>
    </row>
    <row r="20" spans="1:9" ht="15">
      <c r="A20" s="19" t="s">
        <v>62</v>
      </c>
      <c r="B20" s="165">
        <f>DATE(22,7,1)</f>
        <v>8218</v>
      </c>
      <c r="C20" s="226">
        <v>35430502.56</v>
      </c>
      <c r="D20" s="226">
        <v>3537425.2</v>
      </c>
      <c r="E20" s="226">
        <v>4179858.95</v>
      </c>
      <c r="F20" s="166">
        <f>(+D20-E20)/E20</f>
        <v>-0.1536974710594002</v>
      </c>
      <c r="G20" s="241">
        <f>D20/C20</f>
        <v>0.09984123691188194</v>
      </c>
      <c r="H20" s="242">
        <f>1-G20</f>
        <v>0.900158763088118</v>
      </c>
      <c r="I20" s="157"/>
    </row>
    <row r="21" spans="1:9" ht="15">
      <c r="A21" s="19"/>
      <c r="B21" s="165">
        <f>DATE(22,8,1)</f>
        <v>8249</v>
      </c>
      <c r="C21" s="226">
        <v>31830509.12</v>
      </c>
      <c r="D21" s="226">
        <v>3224518.01</v>
      </c>
      <c r="E21" s="226">
        <v>3554355.99</v>
      </c>
      <c r="F21" s="166">
        <f>(+D21-E21)/E21</f>
        <v>-0.09279823994219567</v>
      </c>
      <c r="G21" s="241">
        <f>D21/C21</f>
        <v>0.1013027469288559</v>
      </c>
      <c r="H21" s="242">
        <f>1-G21</f>
        <v>0.8986972530711441</v>
      </c>
      <c r="I21" s="157"/>
    </row>
    <row r="22" spans="1:9" ht="15" thickBot="1">
      <c r="A22" s="167"/>
      <c r="B22" s="165"/>
      <c r="C22" s="226"/>
      <c r="D22" s="226"/>
      <c r="E22" s="226"/>
      <c r="F22" s="166"/>
      <c r="G22" s="241"/>
      <c r="H22" s="242"/>
      <c r="I22" s="157"/>
    </row>
    <row r="23" spans="1:9" ht="16.5" thickBot="1" thickTop="1">
      <c r="A23" s="174" t="s">
        <v>14</v>
      </c>
      <c r="B23" s="175"/>
      <c r="C23" s="228">
        <f>SUM(C20:C22)</f>
        <v>67261011.68</v>
      </c>
      <c r="D23" s="228">
        <f>SUM(D20:D22)</f>
        <v>6761943.21</v>
      </c>
      <c r="E23" s="228">
        <f>SUM(E20:E22)</f>
        <v>7734214.94</v>
      </c>
      <c r="F23" s="176">
        <f>(+D23-E23)/E23</f>
        <v>-0.12571046157142363</v>
      </c>
      <c r="G23" s="245">
        <f>D23/C23</f>
        <v>0.10053287991222197</v>
      </c>
      <c r="H23" s="246">
        <f>1-G23</f>
        <v>0.8994671200877781</v>
      </c>
      <c r="I23" s="157"/>
    </row>
    <row r="24" spans="1:9" ht="15" thickTop="1">
      <c r="A24" s="167"/>
      <c r="B24" s="168"/>
      <c r="C24" s="226"/>
      <c r="D24" s="226"/>
      <c r="E24" s="226"/>
      <c r="F24" s="166"/>
      <c r="G24" s="241"/>
      <c r="H24" s="242"/>
      <c r="I24" s="157"/>
    </row>
    <row r="25" spans="1:9" ht="15">
      <c r="A25" s="177" t="s">
        <v>58</v>
      </c>
      <c r="B25" s="165">
        <f>DATE(22,7,1)</f>
        <v>8218</v>
      </c>
      <c r="C25" s="226">
        <v>201538093.35</v>
      </c>
      <c r="D25" s="226">
        <v>17880290.2</v>
      </c>
      <c r="E25" s="226">
        <v>16788708.57</v>
      </c>
      <c r="F25" s="166">
        <f>(+D25-E25)/E25</f>
        <v>0.06501879673762179</v>
      </c>
      <c r="G25" s="241">
        <f>D25/C25</f>
        <v>0.08871915925565642</v>
      </c>
      <c r="H25" s="242">
        <f>1-G25</f>
        <v>0.9112808407443436</v>
      </c>
      <c r="I25" s="157"/>
    </row>
    <row r="26" spans="1:9" ht="15">
      <c r="A26" s="177"/>
      <c r="B26" s="165">
        <f>DATE(22,8,1)</f>
        <v>8249</v>
      </c>
      <c r="C26" s="226">
        <v>184867734.87</v>
      </c>
      <c r="D26" s="226">
        <v>17060867.38</v>
      </c>
      <c r="E26" s="226">
        <v>15228470.93</v>
      </c>
      <c r="F26" s="166">
        <f>(+D26-E26)/E26</f>
        <v>0.12032701499860954</v>
      </c>
      <c r="G26" s="241">
        <f>D26/C26</f>
        <v>0.09228688495587017</v>
      </c>
      <c r="H26" s="242">
        <f>1-G26</f>
        <v>0.9077131150441298</v>
      </c>
      <c r="I26" s="157"/>
    </row>
    <row r="27" spans="1:9" ht="15" thickBot="1">
      <c r="A27" s="167"/>
      <c r="B27" s="168"/>
      <c r="C27" s="226"/>
      <c r="D27" s="226"/>
      <c r="E27" s="226"/>
      <c r="F27" s="166"/>
      <c r="G27" s="241"/>
      <c r="H27" s="242"/>
      <c r="I27" s="157"/>
    </row>
    <row r="28" spans="1:9" ht="16.5" thickBot="1" thickTop="1">
      <c r="A28" s="174" t="s">
        <v>14</v>
      </c>
      <c r="B28" s="178"/>
      <c r="C28" s="228">
        <f>SUM(C25:C27)</f>
        <v>386405828.22</v>
      </c>
      <c r="D28" s="228">
        <f>SUM(D25:D27)</f>
        <v>34941157.58</v>
      </c>
      <c r="E28" s="228">
        <f>SUM(E25:E27)</f>
        <v>32017179.5</v>
      </c>
      <c r="F28" s="176">
        <f>(+D28-E28)/E28</f>
        <v>0.09132528616394828</v>
      </c>
      <c r="G28" s="245">
        <f>D28/C28</f>
        <v>0.09042606251815193</v>
      </c>
      <c r="H28" s="246">
        <f>1-G28</f>
        <v>0.9095739374818481</v>
      </c>
      <c r="I28" s="157"/>
    </row>
    <row r="29" spans="1:9" ht="15" thickTop="1">
      <c r="A29" s="167"/>
      <c r="B29" s="168"/>
      <c r="C29" s="226"/>
      <c r="D29" s="226"/>
      <c r="E29" s="226"/>
      <c r="F29" s="166"/>
      <c r="G29" s="241"/>
      <c r="H29" s="242"/>
      <c r="I29" s="157"/>
    </row>
    <row r="30" spans="1:9" ht="15">
      <c r="A30" s="164" t="s">
        <v>60</v>
      </c>
      <c r="B30" s="165">
        <f>DATE(22,7,1)</f>
        <v>8218</v>
      </c>
      <c r="C30" s="226">
        <v>121501837.18</v>
      </c>
      <c r="D30" s="226">
        <v>11877741.56</v>
      </c>
      <c r="E30" s="226">
        <v>12735420.67</v>
      </c>
      <c r="F30" s="166">
        <f>(+D30-E30)/E30</f>
        <v>-0.0673459583490931</v>
      </c>
      <c r="G30" s="241">
        <f>D30/C30</f>
        <v>0.09775771161718001</v>
      </c>
      <c r="H30" s="242">
        <f>1-G30</f>
        <v>0.90224228838282</v>
      </c>
      <c r="I30" s="157"/>
    </row>
    <row r="31" spans="1:9" ht="15">
      <c r="A31" s="164"/>
      <c r="B31" s="165">
        <f>DATE(22,8,1)</f>
        <v>8249</v>
      </c>
      <c r="C31" s="226">
        <v>118750548.99</v>
      </c>
      <c r="D31" s="226">
        <v>11399779.33</v>
      </c>
      <c r="E31" s="226">
        <v>11645905.55</v>
      </c>
      <c r="F31" s="166">
        <f>(+D31-E31)/E31</f>
        <v>-0.02113414186155757</v>
      </c>
      <c r="G31" s="241">
        <f>D31/C31</f>
        <v>0.09599769792188478</v>
      </c>
      <c r="H31" s="242">
        <f>1-G31</f>
        <v>0.9040023020781152</v>
      </c>
      <c r="I31" s="157"/>
    </row>
    <row r="32" spans="1:9" ht="15" thickBot="1">
      <c r="A32" s="167"/>
      <c r="B32" s="165"/>
      <c r="C32" s="226"/>
      <c r="D32" s="226"/>
      <c r="E32" s="226"/>
      <c r="F32" s="166"/>
      <c r="G32" s="241"/>
      <c r="H32" s="242"/>
      <c r="I32" s="157"/>
    </row>
    <row r="33" spans="1:9" ht="16.5" thickBot="1" thickTop="1">
      <c r="A33" s="174" t="s">
        <v>14</v>
      </c>
      <c r="B33" s="175"/>
      <c r="C33" s="228">
        <f>SUM(C30:C32)</f>
        <v>240252386.17000002</v>
      </c>
      <c r="D33" s="230">
        <f>SUM(D30:D32)</f>
        <v>23277520.89</v>
      </c>
      <c r="E33" s="271">
        <f>SUM(E30:E32)</f>
        <v>24381326.22</v>
      </c>
      <c r="F33" s="272">
        <f>(+D33-E33)/E33</f>
        <v>-0.045272571312980785</v>
      </c>
      <c r="G33" s="249">
        <f>D33/C33</f>
        <v>0.09688778230709882</v>
      </c>
      <c r="H33" s="270">
        <f>1-G33</f>
        <v>0.9031122176929012</v>
      </c>
      <c r="I33" s="157"/>
    </row>
    <row r="34" spans="1:9" ht="15" thickTop="1">
      <c r="A34" s="167"/>
      <c r="B34" s="168"/>
      <c r="C34" s="226"/>
      <c r="D34" s="226"/>
      <c r="E34" s="226"/>
      <c r="F34" s="166"/>
      <c r="G34" s="241"/>
      <c r="H34" s="242"/>
      <c r="I34" s="157"/>
    </row>
    <row r="35" spans="1:9" ht="15">
      <c r="A35" s="164" t="s">
        <v>64</v>
      </c>
      <c r="B35" s="165">
        <f>DATE(22,7,1)</f>
        <v>8218</v>
      </c>
      <c r="C35" s="226">
        <v>53641198.85</v>
      </c>
      <c r="D35" s="226">
        <v>5559220.1</v>
      </c>
      <c r="E35" s="226">
        <v>5744094.34</v>
      </c>
      <c r="F35" s="166">
        <f>(+D35-E35)/E35</f>
        <v>-0.03218509812984726</v>
      </c>
      <c r="G35" s="241">
        <f>D35/C35</f>
        <v>0.10363713375507452</v>
      </c>
      <c r="H35" s="242">
        <f>1-G35</f>
        <v>0.8963628662449254</v>
      </c>
      <c r="I35" s="157"/>
    </row>
    <row r="36" spans="1:9" ht="15">
      <c r="A36" s="164"/>
      <c r="B36" s="165">
        <f>DATE(22,8,1)</f>
        <v>8249</v>
      </c>
      <c r="C36" s="226">
        <v>47590579.29</v>
      </c>
      <c r="D36" s="226">
        <v>4834999.09</v>
      </c>
      <c r="E36" s="226">
        <v>5022432.17</v>
      </c>
      <c r="F36" s="166">
        <f>(+D36-E36)/E36</f>
        <v>-0.03731918593536726</v>
      </c>
      <c r="G36" s="241">
        <f>D36/C36</f>
        <v>0.10159571835714043</v>
      </c>
      <c r="H36" s="242">
        <f>1-G36</f>
        <v>0.8984042816428596</v>
      </c>
      <c r="I36" s="157"/>
    </row>
    <row r="37" spans="1:9" ht="15" thickBot="1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6.5" thickBot="1" thickTop="1">
      <c r="A38" s="174" t="s">
        <v>14</v>
      </c>
      <c r="B38" s="175"/>
      <c r="C38" s="228">
        <f>SUM(C35:C37)</f>
        <v>101231778.14</v>
      </c>
      <c r="D38" s="230">
        <f>SUM(D35:D37)</f>
        <v>10394219.19</v>
      </c>
      <c r="E38" s="271">
        <f>SUM(E35:E37)</f>
        <v>10766526.51</v>
      </c>
      <c r="F38" s="272">
        <f>(+D38-E38)/E38</f>
        <v>-0.03458007739582488</v>
      </c>
      <c r="G38" s="249">
        <f>D38/C38</f>
        <v>0.10267743371676391</v>
      </c>
      <c r="H38" s="270">
        <f>1-G38</f>
        <v>0.897322566283236</v>
      </c>
      <c r="I38" s="157"/>
    </row>
    <row r="39" spans="1:9" ht="15" thickTop="1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">
      <c r="A40" s="290" t="s">
        <v>67</v>
      </c>
      <c r="B40" s="165">
        <f>DATE(22,7,1)</f>
        <v>8218</v>
      </c>
      <c r="C40" s="226">
        <v>85581160.4</v>
      </c>
      <c r="D40" s="226">
        <v>9654928.82</v>
      </c>
      <c r="E40" s="226">
        <v>8446672.57</v>
      </c>
      <c r="F40" s="166">
        <f>(+D40-E40)/E40</f>
        <v>0.14304523349127524</v>
      </c>
      <c r="G40" s="241">
        <f>D40/C40</f>
        <v>0.11281605408098673</v>
      </c>
      <c r="H40" s="242">
        <f>1-G40</f>
        <v>0.8871839459190133</v>
      </c>
      <c r="I40" s="157"/>
    </row>
    <row r="41" spans="1:9" ht="15">
      <c r="A41" s="290"/>
      <c r="B41" s="165">
        <f>DATE(22,8,1)</f>
        <v>8249</v>
      </c>
      <c r="C41" s="226">
        <v>82456263.29</v>
      </c>
      <c r="D41" s="226">
        <v>9270730.97</v>
      </c>
      <c r="E41" s="226">
        <v>8803736.44</v>
      </c>
      <c r="F41" s="166">
        <f>(+D41-E41)/E41</f>
        <v>0.05304503754544488</v>
      </c>
      <c r="G41" s="241">
        <f>D41/C41</f>
        <v>0.11243210157844154</v>
      </c>
      <c r="H41" s="242">
        <f>1-G41</f>
        <v>0.8875678984215585</v>
      </c>
      <c r="I41" s="157"/>
    </row>
    <row r="42" spans="1:9" ht="15" thickBot="1">
      <c r="A42" s="167"/>
      <c r="B42" s="165"/>
      <c r="C42" s="226"/>
      <c r="D42" s="226"/>
      <c r="E42" s="226"/>
      <c r="F42" s="166"/>
      <c r="G42" s="241"/>
      <c r="H42" s="242"/>
      <c r="I42" s="157"/>
    </row>
    <row r="43" spans="1:9" ht="16.5" thickBot="1" thickTop="1">
      <c r="A43" s="174" t="s">
        <v>14</v>
      </c>
      <c r="B43" s="175"/>
      <c r="C43" s="228">
        <f>SUM(C40:C42)</f>
        <v>168037423.69</v>
      </c>
      <c r="D43" s="230">
        <f>SUM(D40:D42)</f>
        <v>18925659.79</v>
      </c>
      <c r="E43" s="271">
        <f>SUM(E40:E42)</f>
        <v>17250409.009999998</v>
      </c>
      <c r="F43" s="272">
        <f>(+D43-E43)/E43</f>
        <v>0.09711368461054254</v>
      </c>
      <c r="G43" s="249">
        <f>D43/C43</f>
        <v>0.11262764790368704</v>
      </c>
      <c r="H43" s="270">
        <f>1-G43</f>
        <v>0.8873723520963129</v>
      </c>
      <c r="I43" s="157"/>
    </row>
    <row r="44" spans="1:9" ht="15" thickTop="1">
      <c r="A44" s="167"/>
      <c r="B44" s="168"/>
      <c r="C44" s="226"/>
      <c r="D44" s="226"/>
      <c r="E44" s="226"/>
      <c r="F44" s="166"/>
      <c r="G44" s="241"/>
      <c r="H44" s="242"/>
      <c r="I44" s="157"/>
    </row>
    <row r="45" spans="1:9" ht="15">
      <c r="A45" s="164" t="s">
        <v>69</v>
      </c>
      <c r="B45" s="165">
        <f>DATE(22,7,1)</f>
        <v>8218</v>
      </c>
      <c r="C45" s="226">
        <v>115913733.48</v>
      </c>
      <c r="D45" s="226">
        <v>11762621.74</v>
      </c>
      <c r="E45" s="226">
        <v>13534455.82</v>
      </c>
      <c r="F45" s="166">
        <f>(+D45-E45)/E45</f>
        <v>-0.1309128422719252</v>
      </c>
      <c r="G45" s="241">
        <f>D45/C45</f>
        <v>0.10147737793321572</v>
      </c>
      <c r="H45" s="242">
        <f>1-G45</f>
        <v>0.8985226220667842</v>
      </c>
      <c r="I45" s="157"/>
    </row>
    <row r="46" spans="1:9" ht="15">
      <c r="A46" s="164"/>
      <c r="B46" s="165">
        <f>DATE(22,8,1)</f>
        <v>8249</v>
      </c>
      <c r="C46" s="226">
        <v>120866905.96</v>
      </c>
      <c r="D46" s="226">
        <v>12540537.03</v>
      </c>
      <c r="E46" s="226">
        <v>11799607.16</v>
      </c>
      <c r="F46" s="166">
        <f>(+D46-E46)/E46</f>
        <v>0.0627927574158324</v>
      </c>
      <c r="G46" s="241">
        <f>D46/C46</f>
        <v>0.10375492721018438</v>
      </c>
      <c r="H46" s="242">
        <f>1-G46</f>
        <v>0.8962450727898156</v>
      </c>
      <c r="I46" s="157"/>
    </row>
    <row r="47" spans="1:9" ht="15" thickBot="1">
      <c r="A47" s="167"/>
      <c r="B47" s="165"/>
      <c r="C47" s="226"/>
      <c r="D47" s="226"/>
      <c r="E47" s="226"/>
      <c r="F47" s="166"/>
      <c r="G47" s="241"/>
      <c r="H47" s="242"/>
      <c r="I47" s="157"/>
    </row>
    <row r="48" spans="1:9" ht="16.5" thickBot="1" thickTop="1">
      <c r="A48" s="174" t="s">
        <v>14</v>
      </c>
      <c r="B48" s="175"/>
      <c r="C48" s="228">
        <f>SUM(C45:C47)</f>
        <v>236780639.44</v>
      </c>
      <c r="D48" s="230">
        <f>SUM(D45:D47)</f>
        <v>24303158.77</v>
      </c>
      <c r="E48" s="271">
        <f>SUM(E45:E47)</f>
        <v>25334062.98</v>
      </c>
      <c r="F48" s="176">
        <f>(+D48-E48)/E48</f>
        <v>-0.04069241522032408</v>
      </c>
      <c r="G48" s="249">
        <f>D48/C48</f>
        <v>0.1026399743977311</v>
      </c>
      <c r="H48" s="270">
        <f>1-G48</f>
        <v>0.8973600256022689</v>
      </c>
      <c r="I48" s="157"/>
    </row>
    <row r="49" spans="1:9" ht="15" thickTop="1">
      <c r="A49" s="167"/>
      <c r="B49" s="179"/>
      <c r="C49" s="229"/>
      <c r="D49" s="229"/>
      <c r="E49" s="229"/>
      <c r="F49" s="180"/>
      <c r="G49" s="247"/>
      <c r="H49" s="248"/>
      <c r="I49" s="157"/>
    </row>
    <row r="50" spans="1:9" ht="15">
      <c r="A50" s="164" t="s">
        <v>16</v>
      </c>
      <c r="B50" s="165">
        <f>DATE(22,7,1)</f>
        <v>8218</v>
      </c>
      <c r="C50" s="226">
        <v>164331221.16</v>
      </c>
      <c r="D50" s="226">
        <v>15914314.48</v>
      </c>
      <c r="E50" s="226">
        <v>16148799.36</v>
      </c>
      <c r="F50" s="166">
        <f>(+D50-E50)/E50</f>
        <v>-0.014520267096810284</v>
      </c>
      <c r="G50" s="241">
        <f>D50/C50</f>
        <v>0.09684291498391005</v>
      </c>
      <c r="H50" s="242">
        <f>1-G50</f>
        <v>0.9031570850160899</v>
      </c>
      <c r="I50" s="157"/>
    </row>
    <row r="51" spans="1:9" ht="15">
      <c r="A51" s="164"/>
      <c r="B51" s="165">
        <f>DATE(22,8,1)</f>
        <v>8249</v>
      </c>
      <c r="C51" s="226">
        <v>151296993.62</v>
      </c>
      <c r="D51" s="226">
        <v>14340389.18</v>
      </c>
      <c r="E51" s="226">
        <v>14007269.2</v>
      </c>
      <c r="F51" s="166">
        <f>(+D51-E51)/E51</f>
        <v>0.02378193602504623</v>
      </c>
      <c r="G51" s="241">
        <f>D51/C51</f>
        <v>0.09478304120184672</v>
      </c>
      <c r="H51" s="242">
        <f>1-G51</f>
        <v>0.9052169587981533</v>
      </c>
      <c r="I51" s="157"/>
    </row>
    <row r="52" spans="1:9" ht="15.75" customHeight="1" thickBot="1">
      <c r="A52" s="164"/>
      <c r="B52" s="165"/>
      <c r="C52" s="226"/>
      <c r="D52" s="226"/>
      <c r="E52" s="226"/>
      <c r="F52" s="166"/>
      <c r="G52" s="241"/>
      <c r="H52" s="242"/>
      <c r="I52" s="157"/>
    </row>
    <row r="53" spans="1:9" ht="16.5" thickBot="1" thickTop="1">
      <c r="A53" s="174" t="s">
        <v>14</v>
      </c>
      <c r="B53" s="181"/>
      <c r="C53" s="228">
        <f>SUM(C50:C52)</f>
        <v>315628214.78</v>
      </c>
      <c r="D53" s="228">
        <f>SUM(D50:D52)</f>
        <v>30254703.66</v>
      </c>
      <c r="E53" s="228">
        <f>SUM(E50:E52)</f>
        <v>30156068.56</v>
      </c>
      <c r="F53" s="176">
        <f>(+D53-E53)/E53</f>
        <v>0.0032708209229512872</v>
      </c>
      <c r="G53" s="245">
        <f>D53/C53</f>
        <v>0.09585551051286152</v>
      </c>
      <c r="H53" s="246">
        <f>1-G53</f>
        <v>0.9041444894871384</v>
      </c>
      <c r="I53" s="157"/>
    </row>
    <row r="54" spans="1:9" ht="15" thickTop="1">
      <c r="A54" s="171"/>
      <c r="B54" s="172"/>
      <c r="C54" s="227"/>
      <c r="D54" s="227"/>
      <c r="E54" s="227"/>
      <c r="F54" s="173"/>
      <c r="G54" s="243"/>
      <c r="H54" s="244"/>
      <c r="I54" s="157"/>
    </row>
    <row r="55" spans="1:9" ht="15">
      <c r="A55" s="164" t="s">
        <v>53</v>
      </c>
      <c r="B55" s="165">
        <f>DATE(22,7,1)</f>
        <v>8218</v>
      </c>
      <c r="C55" s="226">
        <v>217334773.96</v>
      </c>
      <c r="D55" s="226">
        <v>19656587.45</v>
      </c>
      <c r="E55" s="226">
        <v>17635283.72</v>
      </c>
      <c r="F55" s="166">
        <f>(+D55-E55)/E55</f>
        <v>0.1146170235814046</v>
      </c>
      <c r="G55" s="241">
        <f>D55/C55</f>
        <v>0.09044382126174504</v>
      </c>
      <c r="H55" s="242">
        <f>1-G55</f>
        <v>0.909556178738255</v>
      </c>
      <c r="I55" s="157"/>
    </row>
    <row r="56" spans="1:9" ht="15">
      <c r="A56" s="164"/>
      <c r="B56" s="165">
        <f>DATE(22,8,1)</f>
        <v>8249</v>
      </c>
      <c r="C56" s="226">
        <v>200475281.67</v>
      </c>
      <c r="D56" s="226">
        <v>17776767.91</v>
      </c>
      <c r="E56" s="226">
        <v>17152915.09</v>
      </c>
      <c r="F56" s="166">
        <f>(+D56-E56)/E56</f>
        <v>0.03637007568257019</v>
      </c>
      <c r="G56" s="241">
        <f>D56/C56</f>
        <v>0.08867311601667746</v>
      </c>
      <c r="H56" s="242">
        <f>1-G56</f>
        <v>0.9113268839833225</v>
      </c>
      <c r="I56" s="157"/>
    </row>
    <row r="57" spans="1:9" ht="15" thickBot="1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6.5" thickBot="1" thickTop="1">
      <c r="A58" s="174" t="s">
        <v>14</v>
      </c>
      <c r="B58" s="175"/>
      <c r="C58" s="228">
        <f>SUM(C55:C57)</f>
        <v>417810055.63</v>
      </c>
      <c r="D58" s="228">
        <f>SUM(D55:D57)</f>
        <v>37433355.36</v>
      </c>
      <c r="E58" s="228">
        <f>SUM(E55:E57)</f>
        <v>34788198.81</v>
      </c>
      <c r="F58" s="176">
        <f>(+D58-E58)/E58</f>
        <v>0.07603603062196013</v>
      </c>
      <c r="G58" s="249">
        <f>D58/C58</f>
        <v>0.08959419443257692</v>
      </c>
      <c r="H58" s="270">
        <f>1-G58</f>
        <v>0.9104058055674231</v>
      </c>
      <c r="I58" s="157"/>
    </row>
    <row r="59" spans="1:9" ht="15" thickTop="1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5">
      <c r="A60" s="164" t="s">
        <v>54</v>
      </c>
      <c r="B60" s="165">
        <f>DATE(22,7,1)</f>
        <v>8218</v>
      </c>
      <c r="C60" s="226">
        <v>29253159.1</v>
      </c>
      <c r="D60" s="226">
        <v>3220140.18</v>
      </c>
      <c r="E60" s="226">
        <v>3540868.12</v>
      </c>
      <c r="F60" s="166">
        <f>(+D60-E60)/E60</f>
        <v>-0.09057890018225247</v>
      </c>
      <c r="G60" s="241">
        <f>D60/C60</f>
        <v>0.11007837372340412</v>
      </c>
      <c r="H60" s="242">
        <f>1-G60</f>
        <v>0.8899216262765959</v>
      </c>
      <c r="I60" s="157"/>
    </row>
    <row r="61" spans="1:9" ht="15">
      <c r="A61" s="164"/>
      <c r="B61" s="165">
        <f>DATE(22,8,1)</f>
        <v>8249</v>
      </c>
      <c r="C61" s="226">
        <v>25837783.38</v>
      </c>
      <c r="D61" s="226">
        <v>2910388.06</v>
      </c>
      <c r="E61" s="226">
        <v>3115295.59</v>
      </c>
      <c r="F61" s="166">
        <f>(+D61-E61)/E61</f>
        <v>-0.06577466698753931</v>
      </c>
      <c r="G61" s="241">
        <f>D61/C61</f>
        <v>0.11264077948160274</v>
      </c>
      <c r="H61" s="242">
        <f>1-G61</f>
        <v>0.8873592205183972</v>
      </c>
      <c r="I61" s="157"/>
    </row>
    <row r="62" spans="1:9" ht="15" thickBot="1">
      <c r="A62" s="167"/>
      <c r="B62" s="168"/>
      <c r="C62" s="226"/>
      <c r="D62" s="226"/>
      <c r="E62" s="226"/>
      <c r="F62" s="166"/>
      <c r="G62" s="241"/>
      <c r="H62" s="242"/>
      <c r="I62" s="157"/>
    </row>
    <row r="63" spans="1:9" ht="16.5" thickBot="1" thickTop="1">
      <c r="A63" s="182" t="s">
        <v>14</v>
      </c>
      <c r="B63" s="183"/>
      <c r="C63" s="230">
        <f>SUM(C60:C62)</f>
        <v>55090942.480000004</v>
      </c>
      <c r="D63" s="230">
        <f>SUM(D60:D62)</f>
        <v>6130528.24</v>
      </c>
      <c r="E63" s="230">
        <f>SUM(E60:E62)</f>
        <v>6656163.71</v>
      </c>
      <c r="F63" s="176">
        <f>(+D63-E63)/E63</f>
        <v>-0.07896973285231888</v>
      </c>
      <c r="G63" s="249">
        <f>D63/C63</f>
        <v>0.11128014813370823</v>
      </c>
      <c r="H63" s="246">
        <f>1-G63</f>
        <v>0.8887198518662918</v>
      </c>
      <c r="I63" s="157"/>
    </row>
    <row r="64" spans="1:9" ht="15" thickTop="1">
      <c r="A64" s="167"/>
      <c r="B64" s="168"/>
      <c r="C64" s="226"/>
      <c r="D64" s="226"/>
      <c r="E64" s="226"/>
      <c r="F64" s="166"/>
      <c r="G64" s="241"/>
      <c r="H64" s="242"/>
      <c r="I64" s="157"/>
    </row>
    <row r="65" spans="1:9" ht="15">
      <c r="A65" s="164" t="s">
        <v>37</v>
      </c>
      <c r="B65" s="165">
        <f>DATE(22,7,1)</f>
        <v>8218</v>
      </c>
      <c r="C65" s="226">
        <v>239506696.32</v>
      </c>
      <c r="D65" s="226">
        <v>21735779.22</v>
      </c>
      <c r="E65" s="226">
        <v>21441670.74</v>
      </c>
      <c r="F65" s="166">
        <f>(+D65-E65)/E65</f>
        <v>0.013716677378658435</v>
      </c>
      <c r="G65" s="241">
        <f>D65/C65</f>
        <v>0.09075228189427852</v>
      </c>
      <c r="H65" s="242">
        <f>1-G65</f>
        <v>0.9092477181057215</v>
      </c>
      <c r="I65" s="157"/>
    </row>
    <row r="66" spans="1:9" ht="15">
      <c r="A66" s="164"/>
      <c r="B66" s="165">
        <f>DATE(22,8,1)</f>
        <v>8249</v>
      </c>
      <c r="C66" s="226">
        <v>220146005.59</v>
      </c>
      <c r="D66" s="226">
        <v>20453352.67</v>
      </c>
      <c r="E66" s="226">
        <v>19679228.6</v>
      </c>
      <c r="F66" s="166">
        <f>(+D66-E66)/E66</f>
        <v>0.03933711456555773</v>
      </c>
      <c r="G66" s="241">
        <f>D66/C66</f>
        <v>0.09290812529250397</v>
      </c>
      <c r="H66" s="242">
        <f>1-G66</f>
        <v>0.9070918747074961</v>
      </c>
      <c r="I66" s="157"/>
    </row>
    <row r="67" spans="1:9" ht="15" thickBot="1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6.5" thickBot="1" thickTop="1">
      <c r="A68" s="174" t="s">
        <v>14</v>
      </c>
      <c r="B68" s="175"/>
      <c r="C68" s="228">
        <f>SUM(C65:C67)</f>
        <v>459652701.90999997</v>
      </c>
      <c r="D68" s="228">
        <f>SUM(D65:D67)</f>
        <v>42189131.89</v>
      </c>
      <c r="E68" s="228">
        <f>SUM(E65:E67)</f>
        <v>41120899.34</v>
      </c>
      <c r="F68" s="176">
        <f>(+D68-E68)/E68</f>
        <v>0.025977849880362003</v>
      </c>
      <c r="G68" s="245">
        <f>D68/C68</f>
        <v>0.09178480125253487</v>
      </c>
      <c r="H68" s="246">
        <f>1-G68</f>
        <v>0.9082151987474651</v>
      </c>
      <c r="I68" s="157"/>
    </row>
    <row r="69" spans="1:9" ht="1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">
      <c r="A70" s="164" t="s">
        <v>57</v>
      </c>
      <c r="B70" s="165">
        <f>DATE(22,7,1)</f>
        <v>8218</v>
      </c>
      <c r="C70" s="226">
        <v>35319959.49</v>
      </c>
      <c r="D70" s="226">
        <v>3941098.7</v>
      </c>
      <c r="E70" s="226">
        <v>3963905.07</v>
      </c>
      <c r="F70" s="166">
        <f>(+D70-E70)/E70</f>
        <v>-0.005753510640959837</v>
      </c>
      <c r="G70" s="241">
        <f>D70/C70</f>
        <v>0.11158276387932516</v>
      </c>
      <c r="H70" s="242">
        <f>1-G70</f>
        <v>0.8884172361206748</v>
      </c>
      <c r="I70" s="157"/>
    </row>
    <row r="71" spans="1:9" ht="15">
      <c r="A71" s="164"/>
      <c r="B71" s="165">
        <f>DATE(22,8,1)</f>
        <v>8249</v>
      </c>
      <c r="C71" s="226">
        <v>32131032.47</v>
      </c>
      <c r="D71" s="226">
        <v>3508347.49</v>
      </c>
      <c r="E71" s="226">
        <v>3797696.16</v>
      </c>
      <c r="F71" s="166">
        <f>(+D71-E71)/E71</f>
        <v>-0.07619057918525002</v>
      </c>
      <c r="G71" s="241">
        <f>D71/C71</f>
        <v>0.10918875679689606</v>
      </c>
      <c r="H71" s="242">
        <f>1-G71</f>
        <v>0.8908112432031039</v>
      </c>
      <c r="I71" s="157"/>
    </row>
    <row r="72" spans="1:9" ht="15" thickBot="1">
      <c r="A72" s="167"/>
      <c r="B72" s="168"/>
      <c r="C72" s="226"/>
      <c r="D72" s="226"/>
      <c r="E72" s="226"/>
      <c r="F72" s="166"/>
      <c r="G72" s="241"/>
      <c r="H72" s="242"/>
      <c r="I72" s="157"/>
    </row>
    <row r="73" spans="1:9" ht="16.5" thickBot="1" thickTop="1">
      <c r="A73" s="169" t="s">
        <v>14</v>
      </c>
      <c r="B73" s="155"/>
      <c r="C73" s="223">
        <f>SUM(C70:C72)</f>
        <v>67450991.96000001</v>
      </c>
      <c r="D73" s="223">
        <f>SUM(D70:D72)</f>
        <v>7449446.19</v>
      </c>
      <c r="E73" s="223">
        <f>SUM(E70:E72)</f>
        <v>7761601.23</v>
      </c>
      <c r="F73" s="176">
        <f>(+D73-E73)/E73</f>
        <v>-0.040217866230161894</v>
      </c>
      <c r="G73" s="245">
        <f>D73/C73</f>
        <v>0.11044235189925292</v>
      </c>
      <c r="H73" s="246">
        <f>1-G73</f>
        <v>0.8895576481007471</v>
      </c>
      <c r="I73" s="157"/>
    </row>
    <row r="74" spans="1:9" ht="15.75" thickBot="1" thickTop="1">
      <c r="A74" s="171"/>
      <c r="B74" s="172"/>
      <c r="C74" s="227"/>
      <c r="D74" s="227"/>
      <c r="E74" s="227"/>
      <c r="F74" s="173"/>
      <c r="G74" s="243"/>
      <c r="H74" s="244"/>
      <c r="I74" s="157"/>
    </row>
    <row r="75" spans="1:9" ht="16.5" thickBot="1" thickTop="1">
      <c r="A75" s="184" t="s">
        <v>38</v>
      </c>
      <c r="B75" s="155"/>
      <c r="C75" s="223">
        <f>C73+C68+C53+C43+C33+C23+C13+C28+C63+C18+C48+C58+C38</f>
        <v>2923376130.17</v>
      </c>
      <c r="D75" s="223">
        <f>D73+D68+D53+D43+D33+D23+D13+D28+D63+D18+D48+D58+D38</f>
        <v>281377553.28000003</v>
      </c>
      <c r="E75" s="223">
        <f>E73+E68+E53+E43+E33+E23+E13+E28+E63+E18+E48+E58+E38</f>
        <v>277956065.24</v>
      </c>
      <c r="F75" s="170">
        <f>(+D75-E75)/E75</f>
        <v>0.01230945630578614</v>
      </c>
      <c r="G75" s="236">
        <f>D75/C75</f>
        <v>0.09625088963958851</v>
      </c>
      <c r="H75" s="237">
        <f>1-G75</f>
        <v>0.9037491103604115</v>
      </c>
      <c r="I75" s="157"/>
    </row>
    <row r="76" spans="1:9" ht="16.5" thickBot="1" thickTop="1">
      <c r="A76" s="184"/>
      <c r="B76" s="155"/>
      <c r="C76" s="223"/>
      <c r="D76" s="223"/>
      <c r="E76" s="223"/>
      <c r="F76" s="170"/>
      <c r="G76" s="236"/>
      <c r="H76" s="237"/>
      <c r="I76" s="157"/>
    </row>
    <row r="77" spans="1:9" ht="16.5" thickBot="1" thickTop="1">
      <c r="A77" s="184" t="s">
        <v>39</v>
      </c>
      <c r="B77" s="155"/>
      <c r="C77" s="223">
        <f>+C11+C16+C21+C26+C31+C36+C41+C46+C51+C56+C61+C66+C71</f>
        <v>1412811857.97</v>
      </c>
      <c r="D77" s="223">
        <f>+D11+D16+D21+D26+D31+D36+D41+D46+D51+D56+D61+D66+D71</f>
        <v>136022467.24</v>
      </c>
      <c r="E77" s="223">
        <f>+E11+E16+E21+E26+E31+E36+E41+E46+E51+E56+E61+E66+E71</f>
        <v>132953080.61000001</v>
      </c>
      <c r="F77" s="170">
        <f>(+D77-E77)/E77</f>
        <v>0.02308623926514067</v>
      </c>
      <c r="G77" s="236">
        <f>D77/C77</f>
        <v>0.09627783520690718</v>
      </c>
      <c r="H77" s="246">
        <f>1-G77</f>
        <v>0.9037221647930929</v>
      </c>
      <c r="I77" s="157"/>
    </row>
    <row r="78" spans="1:9" ht="15.75" thickTop="1">
      <c r="A78" s="185"/>
      <c r="B78" s="186"/>
      <c r="C78" s="231"/>
      <c r="D78" s="231"/>
      <c r="E78" s="231"/>
      <c r="F78" s="187"/>
      <c r="G78" s="250"/>
      <c r="H78" s="250"/>
      <c r="I78" s="151"/>
    </row>
    <row r="79" spans="1:9" ht="16.5" customHeight="1">
      <c r="A79" s="188" t="s">
        <v>49</v>
      </c>
      <c r="B79" s="189"/>
      <c r="C79" s="232"/>
      <c r="D79" s="232"/>
      <c r="E79" s="232"/>
      <c r="F79" s="190"/>
      <c r="G79" s="251"/>
      <c r="H79" s="251"/>
      <c r="I79" s="151"/>
    </row>
    <row r="80" spans="1:9" ht="15">
      <c r="A80" s="191"/>
      <c r="B80" s="189"/>
      <c r="C80" s="232"/>
      <c r="D80" s="232"/>
      <c r="E80" s="232"/>
      <c r="F80" s="190"/>
      <c r="G80" s="257"/>
      <c r="H80" s="257"/>
      <c r="I80" s="151"/>
    </row>
    <row r="81" spans="1:9" ht="15">
      <c r="A81" s="72"/>
      <c r="I81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Jennifer Bruns</cp:lastModifiedBy>
  <cp:lastPrinted>2022-09-09T16:22:06Z</cp:lastPrinted>
  <dcterms:created xsi:type="dcterms:W3CDTF">2003-09-09T14:41:43Z</dcterms:created>
  <dcterms:modified xsi:type="dcterms:W3CDTF">2022-09-09T16:25:26Z</dcterms:modified>
  <cp:category/>
  <cp:version/>
  <cp:contentType/>
  <cp:contentStatus/>
</cp:coreProperties>
</file>