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TEMP_FOLDER_WEBPOSTING_DELETE_AFTER_DONE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STATS'!$A$1:$M$130</definedName>
    <definedName name="_xlnm.Print_Area" localSheetId="4">'SLOT STATS'!$A$1:$I$131</definedName>
    <definedName name="_xlnm.Print_Area" localSheetId="2">'TABLE STATS'!$A$1:$H$130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29" i="4" l="1"/>
  <c r="D129" i="4"/>
  <c r="C129" i="4"/>
  <c r="F123" i="4"/>
  <c r="G123" i="4"/>
  <c r="H123" i="4"/>
  <c r="F114" i="4"/>
  <c r="G114" i="4"/>
  <c r="H114" i="4" s="1"/>
  <c r="F105" i="4"/>
  <c r="G105" i="4"/>
  <c r="H105" i="4" s="1"/>
  <c r="F96" i="4"/>
  <c r="G96" i="4"/>
  <c r="H96" i="4" s="1"/>
  <c r="F87" i="4"/>
  <c r="G87" i="4"/>
  <c r="H87" i="4"/>
  <c r="F78" i="4"/>
  <c r="G78" i="4"/>
  <c r="H78" i="4" s="1"/>
  <c r="F69" i="4"/>
  <c r="G69" i="4"/>
  <c r="H69" i="4" s="1"/>
  <c r="F60" i="4"/>
  <c r="G60" i="4"/>
  <c r="H60" i="4" s="1"/>
  <c r="F51" i="4"/>
  <c r="G51" i="4"/>
  <c r="H51" i="4"/>
  <c r="F42" i="4"/>
  <c r="G42" i="4"/>
  <c r="H42" i="4" s="1"/>
  <c r="F33" i="4"/>
  <c r="G33" i="4"/>
  <c r="H33" i="4" s="1"/>
  <c r="F24" i="4"/>
  <c r="G24" i="4"/>
  <c r="H24" i="4" s="1"/>
  <c r="F15" i="4"/>
  <c r="G15" i="4"/>
  <c r="H15" i="4"/>
  <c r="B123" i="4"/>
  <c r="B114" i="4"/>
  <c r="B105" i="4"/>
  <c r="B96" i="4"/>
  <c r="B87" i="4"/>
  <c r="B78" i="4"/>
  <c r="B69" i="4"/>
  <c r="B60" i="4"/>
  <c r="B51" i="4"/>
  <c r="B42" i="4"/>
  <c r="B33" i="4"/>
  <c r="B24" i="4"/>
  <c r="B15" i="4"/>
  <c r="E129" i="5"/>
  <c r="D129" i="5"/>
  <c r="F129" i="5" s="1"/>
  <c r="C129" i="5"/>
  <c r="G114" i="5"/>
  <c r="H114" i="5" s="1"/>
  <c r="G15" i="5"/>
  <c r="H15" i="5" s="1"/>
  <c r="B123" i="5"/>
  <c r="B114" i="5"/>
  <c r="B105" i="5"/>
  <c r="B96" i="5"/>
  <c r="B87" i="5"/>
  <c r="B78" i="5"/>
  <c r="B69" i="5"/>
  <c r="B60" i="5"/>
  <c r="B51" i="5"/>
  <c r="B42" i="5"/>
  <c r="B33" i="5"/>
  <c r="B24" i="5"/>
  <c r="B15" i="5"/>
  <c r="E128" i="3"/>
  <c r="D128" i="3"/>
  <c r="F128" i="3" s="1"/>
  <c r="C128" i="3"/>
  <c r="F122" i="3"/>
  <c r="G122" i="3"/>
  <c r="F113" i="3"/>
  <c r="G113" i="3"/>
  <c r="F104" i="3"/>
  <c r="G104" i="3"/>
  <c r="F95" i="3"/>
  <c r="G95" i="3"/>
  <c r="F86" i="3"/>
  <c r="G86" i="3"/>
  <c r="F77" i="3"/>
  <c r="G77" i="3"/>
  <c r="F68" i="3"/>
  <c r="G68" i="3"/>
  <c r="F59" i="3"/>
  <c r="G59" i="3"/>
  <c r="F50" i="3"/>
  <c r="G50" i="3"/>
  <c r="F41" i="3"/>
  <c r="G41" i="3"/>
  <c r="F32" i="3"/>
  <c r="G32" i="3"/>
  <c r="F23" i="3"/>
  <c r="G23" i="3"/>
  <c r="F14" i="3"/>
  <c r="G14" i="3"/>
  <c r="B122" i="3"/>
  <c r="B113" i="3"/>
  <c r="B104" i="3"/>
  <c r="B95" i="3"/>
  <c r="B86" i="3"/>
  <c r="B77" i="3"/>
  <c r="B68" i="3"/>
  <c r="B59" i="3"/>
  <c r="B50" i="3"/>
  <c r="B41" i="3"/>
  <c r="B32" i="3"/>
  <c r="B23" i="3"/>
  <c r="B14" i="3"/>
  <c r="N36" i="2"/>
  <c r="M36" i="2"/>
  <c r="L36" i="2"/>
  <c r="K36" i="2"/>
  <c r="J36" i="2"/>
  <c r="I36" i="2"/>
  <c r="H36" i="2"/>
  <c r="G36" i="2"/>
  <c r="F36" i="2"/>
  <c r="E36" i="2"/>
  <c r="O36" i="2" s="1"/>
  <c r="D36" i="2"/>
  <c r="C36" i="2"/>
  <c r="B36" i="2"/>
  <c r="N15" i="2"/>
  <c r="M15" i="2"/>
  <c r="L15" i="2"/>
  <c r="K15" i="2"/>
  <c r="J15" i="2"/>
  <c r="I15" i="2"/>
  <c r="H15" i="2"/>
  <c r="G15" i="2"/>
  <c r="F15" i="2"/>
  <c r="O15" i="2" s="1"/>
  <c r="E15" i="2"/>
  <c r="D15" i="2"/>
  <c r="C15" i="2"/>
  <c r="B15" i="2"/>
  <c r="A36" i="2"/>
  <c r="A15" i="2"/>
  <c r="F67" i="1"/>
  <c r="F110" i="1"/>
  <c r="L128" i="1"/>
  <c r="K128" i="1"/>
  <c r="F128" i="1"/>
  <c r="D128" i="1"/>
  <c r="C128" i="1"/>
  <c r="H122" i="1"/>
  <c r="M122" i="1"/>
  <c r="I122" i="1"/>
  <c r="G122" i="1"/>
  <c r="F122" i="1"/>
  <c r="J122" i="1" s="1"/>
  <c r="E122" i="1"/>
  <c r="M104" i="1"/>
  <c r="I104" i="1"/>
  <c r="J104" i="1"/>
  <c r="G104" i="1"/>
  <c r="F104" i="1"/>
  <c r="H104" i="1" s="1"/>
  <c r="E104" i="1"/>
  <c r="M113" i="1"/>
  <c r="I113" i="1"/>
  <c r="G113" i="1"/>
  <c r="F113" i="1"/>
  <c r="H113" i="1" s="1"/>
  <c r="E113" i="1"/>
  <c r="H95" i="1"/>
  <c r="M95" i="1"/>
  <c r="I95" i="1"/>
  <c r="J95" i="1"/>
  <c r="G95" i="1"/>
  <c r="F95" i="1"/>
  <c r="E95" i="1"/>
  <c r="H86" i="1"/>
  <c r="M86" i="1"/>
  <c r="I86" i="1"/>
  <c r="J86" i="1"/>
  <c r="G86" i="1"/>
  <c r="F86" i="1"/>
  <c r="E86" i="1"/>
  <c r="M77" i="1"/>
  <c r="I77" i="1"/>
  <c r="G77" i="1"/>
  <c r="F77" i="1"/>
  <c r="H77" i="1" s="1"/>
  <c r="E77" i="1"/>
  <c r="H68" i="1"/>
  <c r="M68" i="1"/>
  <c r="I68" i="1"/>
  <c r="G68" i="1"/>
  <c r="F68" i="1"/>
  <c r="J68" i="1" s="1"/>
  <c r="E68" i="1"/>
  <c r="M59" i="1"/>
  <c r="I59" i="1"/>
  <c r="G59" i="1"/>
  <c r="F59" i="1"/>
  <c r="H59" i="1" s="1"/>
  <c r="E59" i="1"/>
  <c r="H50" i="1"/>
  <c r="M50" i="1"/>
  <c r="I50" i="1"/>
  <c r="J50" i="1"/>
  <c r="G50" i="1"/>
  <c r="F50" i="1"/>
  <c r="E50" i="1"/>
  <c r="H41" i="1"/>
  <c r="M41" i="1"/>
  <c r="I41" i="1"/>
  <c r="J41" i="1"/>
  <c r="G41" i="1"/>
  <c r="F41" i="1"/>
  <c r="E41" i="1"/>
  <c r="M32" i="1"/>
  <c r="I32" i="1"/>
  <c r="G32" i="1"/>
  <c r="F32" i="1"/>
  <c r="J32" i="1" s="1"/>
  <c r="E32" i="1"/>
  <c r="M23" i="1"/>
  <c r="I23" i="1"/>
  <c r="G23" i="1"/>
  <c r="H23" i="1" s="1"/>
  <c r="F23" i="1"/>
  <c r="J23" i="1" s="1"/>
  <c r="E23" i="1"/>
  <c r="M14" i="1"/>
  <c r="I14" i="1"/>
  <c r="J14" i="1"/>
  <c r="G14" i="1"/>
  <c r="G128" i="1" s="1"/>
  <c r="F14" i="1"/>
  <c r="H14" i="1" s="1"/>
  <c r="E14" i="1"/>
  <c r="B122" i="1"/>
  <c r="B113" i="1"/>
  <c r="B104" i="1"/>
  <c r="B95" i="1"/>
  <c r="B86" i="1"/>
  <c r="B77" i="1"/>
  <c r="B68" i="1"/>
  <c r="B59" i="1"/>
  <c r="B50" i="1"/>
  <c r="B41" i="1"/>
  <c r="B32" i="1"/>
  <c r="B23" i="1"/>
  <c r="B14" i="1"/>
  <c r="F122" i="4"/>
  <c r="G122" i="4"/>
  <c r="H122" i="4" s="1"/>
  <c r="F113" i="4"/>
  <c r="G113" i="4"/>
  <c r="H113" i="4" s="1"/>
  <c r="F104" i="4"/>
  <c r="G104" i="4"/>
  <c r="H104" i="4" s="1"/>
  <c r="F95" i="4"/>
  <c r="G95" i="4"/>
  <c r="H95" i="4" s="1"/>
  <c r="F86" i="4"/>
  <c r="G86" i="4"/>
  <c r="H86" i="4" s="1"/>
  <c r="F77" i="4"/>
  <c r="G77" i="4"/>
  <c r="H77" i="4" s="1"/>
  <c r="F68" i="4"/>
  <c r="G68" i="4"/>
  <c r="H68" i="4" s="1"/>
  <c r="F59" i="4"/>
  <c r="G59" i="4"/>
  <c r="H59" i="4" s="1"/>
  <c r="F50" i="4"/>
  <c r="G50" i="4"/>
  <c r="H50" i="4" s="1"/>
  <c r="F41" i="4"/>
  <c r="G41" i="4"/>
  <c r="H41" i="4" s="1"/>
  <c r="F32" i="4"/>
  <c r="G32" i="4"/>
  <c r="H32" i="4" s="1"/>
  <c r="F23" i="4"/>
  <c r="G23" i="4"/>
  <c r="H23" i="4" s="1"/>
  <c r="F14" i="4"/>
  <c r="G14" i="4"/>
  <c r="H14" i="4" s="1"/>
  <c r="B122" i="4"/>
  <c r="B113" i="4"/>
  <c r="B104" i="4"/>
  <c r="B95" i="4"/>
  <c r="B86" i="4"/>
  <c r="B77" i="4"/>
  <c r="B68" i="4"/>
  <c r="B59" i="4"/>
  <c r="B50" i="4"/>
  <c r="B41" i="4"/>
  <c r="B32" i="4"/>
  <c r="B23" i="4"/>
  <c r="B14" i="4"/>
  <c r="G14" i="5"/>
  <c r="H14" i="5" s="1"/>
  <c r="G113" i="5"/>
  <c r="H113" i="5" s="1"/>
  <c r="B122" i="5"/>
  <c r="B113" i="5"/>
  <c r="B104" i="5"/>
  <c r="B95" i="5"/>
  <c r="B86" i="5"/>
  <c r="B77" i="5"/>
  <c r="B68" i="5"/>
  <c r="B59" i="5"/>
  <c r="B50" i="5"/>
  <c r="B41" i="5"/>
  <c r="B32" i="5"/>
  <c r="B23" i="5"/>
  <c r="B14" i="5"/>
  <c r="F121" i="3"/>
  <c r="G121" i="3"/>
  <c r="F112" i="3"/>
  <c r="G112" i="3"/>
  <c r="F103" i="3"/>
  <c r="G103" i="3"/>
  <c r="F94" i="3"/>
  <c r="G94" i="3"/>
  <c r="F85" i="3"/>
  <c r="G85" i="3"/>
  <c r="F76" i="3"/>
  <c r="G76" i="3"/>
  <c r="F67" i="3"/>
  <c r="G67" i="3"/>
  <c r="F58" i="3"/>
  <c r="G58" i="3"/>
  <c r="F49" i="3"/>
  <c r="G49" i="3"/>
  <c r="F40" i="3"/>
  <c r="G40" i="3"/>
  <c r="F31" i="3"/>
  <c r="G31" i="3"/>
  <c r="F22" i="3"/>
  <c r="G22" i="3"/>
  <c r="F13" i="3"/>
  <c r="G13" i="3"/>
  <c r="B121" i="3"/>
  <c r="B112" i="3"/>
  <c r="B103" i="3"/>
  <c r="B94" i="3"/>
  <c r="B85" i="3"/>
  <c r="B76" i="3"/>
  <c r="B67" i="3"/>
  <c r="B58" i="3"/>
  <c r="B49" i="3"/>
  <c r="B40" i="3"/>
  <c r="B31" i="3"/>
  <c r="B22" i="3"/>
  <c r="B13" i="3"/>
  <c r="N35" i="2"/>
  <c r="M35" i="2"/>
  <c r="L35" i="2"/>
  <c r="K35" i="2"/>
  <c r="K44" i="2" s="1"/>
  <c r="J35" i="2"/>
  <c r="I35" i="2"/>
  <c r="H35" i="2"/>
  <c r="G35" i="2"/>
  <c r="F35" i="2"/>
  <c r="E35" i="2"/>
  <c r="D35" i="2"/>
  <c r="C35" i="2"/>
  <c r="B35" i="2"/>
  <c r="N14" i="2"/>
  <c r="M14" i="2"/>
  <c r="L14" i="2"/>
  <c r="L23" i="2" s="1"/>
  <c r="K14" i="2"/>
  <c r="J14" i="2"/>
  <c r="I14" i="2"/>
  <c r="H14" i="2"/>
  <c r="G14" i="2"/>
  <c r="F14" i="2"/>
  <c r="E14" i="2"/>
  <c r="D14" i="2"/>
  <c r="C14" i="2"/>
  <c r="B14" i="2"/>
  <c r="A35" i="2"/>
  <c r="A14" i="2"/>
  <c r="E128" i="1"/>
  <c r="M121" i="1"/>
  <c r="I121" i="1"/>
  <c r="G121" i="1"/>
  <c r="F121" i="1"/>
  <c r="H121" i="1" s="1"/>
  <c r="E121" i="1"/>
  <c r="M112" i="1"/>
  <c r="I112" i="1"/>
  <c r="J112" i="1"/>
  <c r="G112" i="1"/>
  <c r="F112" i="1"/>
  <c r="H112" i="1" s="1"/>
  <c r="E112" i="1"/>
  <c r="H103" i="1"/>
  <c r="M103" i="1"/>
  <c r="I103" i="1"/>
  <c r="J103" i="1"/>
  <c r="G103" i="1"/>
  <c r="F103" i="1"/>
  <c r="E103" i="1"/>
  <c r="M94" i="1"/>
  <c r="I94" i="1"/>
  <c r="G94" i="1"/>
  <c r="F94" i="1"/>
  <c r="J94" i="1" s="1"/>
  <c r="E94" i="1"/>
  <c r="M85" i="1"/>
  <c r="I85" i="1"/>
  <c r="G85" i="1"/>
  <c r="F85" i="1"/>
  <c r="H85" i="1" s="1"/>
  <c r="E85" i="1"/>
  <c r="M76" i="1"/>
  <c r="I76" i="1"/>
  <c r="G76" i="1"/>
  <c r="F76" i="1"/>
  <c r="H76" i="1" s="1"/>
  <c r="E76" i="1"/>
  <c r="M67" i="1"/>
  <c r="I67" i="1"/>
  <c r="G67" i="1"/>
  <c r="H67" i="1" s="1"/>
  <c r="E67" i="1"/>
  <c r="H58" i="1"/>
  <c r="M58" i="1"/>
  <c r="I58" i="1"/>
  <c r="G58" i="1"/>
  <c r="F58" i="1"/>
  <c r="J58" i="1" s="1"/>
  <c r="E58" i="1"/>
  <c r="M49" i="1"/>
  <c r="I49" i="1"/>
  <c r="G49" i="1"/>
  <c r="F49" i="1"/>
  <c r="J49" i="1" s="1"/>
  <c r="E49" i="1"/>
  <c r="M40" i="1"/>
  <c r="I40" i="1"/>
  <c r="G40" i="1"/>
  <c r="F40" i="1"/>
  <c r="H40" i="1" s="1"/>
  <c r="E40" i="1"/>
  <c r="M31" i="1"/>
  <c r="I31" i="1"/>
  <c r="J31" i="1"/>
  <c r="G31" i="1"/>
  <c r="F31" i="1"/>
  <c r="H31" i="1" s="1"/>
  <c r="E31" i="1"/>
  <c r="M22" i="1"/>
  <c r="I22" i="1"/>
  <c r="G22" i="1"/>
  <c r="F22" i="1"/>
  <c r="H22" i="1" s="1"/>
  <c r="E22" i="1"/>
  <c r="H13" i="1"/>
  <c r="M13" i="1"/>
  <c r="I13" i="1"/>
  <c r="G13" i="1"/>
  <c r="F13" i="1"/>
  <c r="J13" i="1" s="1"/>
  <c r="E13" i="1"/>
  <c r="B121" i="1"/>
  <c r="B112" i="1"/>
  <c r="B103" i="1"/>
  <c r="B94" i="1"/>
  <c r="B85" i="1"/>
  <c r="B76" i="1"/>
  <c r="B67" i="1"/>
  <c r="B58" i="1"/>
  <c r="B49" i="1"/>
  <c r="B40" i="1"/>
  <c r="B31" i="1"/>
  <c r="B22" i="1"/>
  <c r="B13" i="1"/>
  <c r="F121" i="4"/>
  <c r="G121" i="4"/>
  <c r="H121" i="4" s="1"/>
  <c r="F112" i="4"/>
  <c r="G112" i="4"/>
  <c r="H112" i="4"/>
  <c r="F103" i="4"/>
  <c r="G103" i="4"/>
  <c r="H103" i="4"/>
  <c r="F94" i="4"/>
  <c r="G94" i="4"/>
  <c r="H94" i="4" s="1"/>
  <c r="F85" i="4"/>
  <c r="G85" i="4"/>
  <c r="H85" i="4" s="1"/>
  <c r="F76" i="4"/>
  <c r="G76" i="4"/>
  <c r="H76" i="4"/>
  <c r="F67" i="4"/>
  <c r="G67" i="4"/>
  <c r="H67" i="4"/>
  <c r="F58" i="4"/>
  <c r="G58" i="4"/>
  <c r="H58" i="4" s="1"/>
  <c r="F49" i="4"/>
  <c r="G49" i="4"/>
  <c r="H49" i="4" s="1"/>
  <c r="F40" i="4"/>
  <c r="G40" i="4"/>
  <c r="H40" i="4"/>
  <c r="F31" i="4"/>
  <c r="G31" i="4"/>
  <c r="H31" i="4"/>
  <c r="F22" i="4"/>
  <c r="G22" i="4"/>
  <c r="H22" i="4" s="1"/>
  <c r="G13" i="4"/>
  <c r="H13" i="4"/>
  <c r="F13" i="4"/>
  <c r="B121" i="4"/>
  <c r="B112" i="4"/>
  <c r="B103" i="4"/>
  <c r="B94" i="4"/>
  <c r="B85" i="4"/>
  <c r="B76" i="4"/>
  <c r="B67" i="4"/>
  <c r="B58" i="4"/>
  <c r="B49" i="4"/>
  <c r="B40" i="4"/>
  <c r="B31" i="4"/>
  <c r="B22" i="4"/>
  <c r="B13" i="4"/>
  <c r="G112" i="5"/>
  <c r="H112" i="5"/>
  <c r="B121" i="5"/>
  <c r="B112" i="5"/>
  <c r="B103" i="5"/>
  <c r="B94" i="5"/>
  <c r="B85" i="5"/>
  <c r="B76" i="5"/>
  <c r="B67" i="5"/>
  <c r="B58" i="5"/>
  <c r="B49" i="5"/>
  <c r="B40" i="5"/>
  <c r="B31" i="5"/>
  <c r="B22" i="5"/>
  <c r="B13" i="5"/>
  <c r="F120" i="3"/>
  <c r="G120" i="3"/>
  <c r="F111" i="3"/>
  <c r="G111" i="3"/>
  <c r="F102" i="3"/>
  <c r="G102" i="3"/>
  <c r="F93" i="3"/>
  <c r="G93" i="3"/>
  <c r="F84" i="3"/>
  <c r="G84" i="3"/>
  <c r="G75" i="3"/>
  <c r="F75" i="3"/>
  <c r="F66" i="3"/>
  <c r="G66" i="3"/>
  <c r="F57" i="3"/>
  <c r="G57" i="3"/>
  <c r="F48" i="3"/>
  <c r="G48" i="3"/>
  <c r="F39" i="3"/>
  <c r="G39" i="3"/>
  <c r="F30" i="3"/>
  <c r="G30" i="3"/>
  <c r="F21" i="3"/>
  <c r="G21" i="3"/>
  <c r="G12" i="3"/>
  <c r="F12" i="3"/>
  <c r="B120" i="3"/>
  <c r="B111" i="3"/>
  <c r="B102" i="3"/>
  <c r="B93" i="3"/>
  <c r="B84" i="3"/>
  <c r="B75" i="3"/>
  <c r="B66" i="3"/>
  <c r="B57" i="3"/>
  <c r="B48" i="3"/>
  <c r="B39" i="3"/>
  <c r="B30" i="3"/>
  <c r="B21" i="3"/>
  <c r="B12" i="3"/>
  <c r="N34" i="2"/>
  <c r="N44" i="2" s="1"/>
  <c r="M34" i="2"/>
  <c r="L34" i="2"/>
  <c r="K34" i="2"/>
  <c r="J34" i="2"/>
  <c r="I34" i="2"/>
  <c r="H34" i="2"/>
  <c r="G34" i="2"/>
  <c r="F34" i="2"/>
  <c r="E34" i="2"/>
  <c r="D34" i="2"/>
  <c r="C34" i="2"/>
  <c r="B34" i="2"/>
  <c r="B44" i="2" s="1"/>
  <c r="A34" i="2"/>
  <c r="N13" i="2"/>
  <c r="M13" i="2"/>
  <c r="L13" i="2"/>
  <c r="K13" i="2"/>
  <c r="J13" i="2"/>
  <c r="I13" i="2"/>
  <c r="H13" i="2"/>
  <c r="G13" i="2"/>
  <c r="F13" i="2"/>
  <c r="E13" i="2"/>
  <c r="D13" i="2"/>
  <c r="D23" i="2" s="1"/>
  <c r="C13" i="2"/>
  <c r="B13" i="2"/>
  <c r="A13" i="2"/>
  <c r="F10" i="1"/>
  <c r="F20" i="1"/>
  <c r="H20" i="1" s="1"/>
  <c r="J110" i="1"/>
  <c r="F109" i="1"/>
  <c r="J109" i="1"/>
  <c r="M128" i="1"/>
  <c r="H120" i="1"/>
  <c r="M120" i="1"/>
  <c r="I120" i="1"/>
  <c r="G120" i="1"/>
  <c r="F120" i="1"/>
  <c r="J120" i="1" s="1"/>
  <c r="E120" i="1"/>
  <c r="H111" i="1"/>
  <c r="M111" i="1"/>
  <c r="I111" i="1"/>
  <c r="J111" i="1"/>
  <c r="G111" i="1"/>
  <c r="G115" i="1"/>
  <c r="F111" i="1"/>
  <c r="E111" i="1"/>
  <c r="H102" i="1"/>
  <c r="M102" i="1"/>
  <c r="I102" i="1"/>
  <c r="G102" i="1"/>
  <c r="F102" i="1"/>
  <c r="J102" i="1" s="1"/>
  <c r="E102" i="1"/>
  <c r="M93" i="1"/>
  <c r="I93" i="1"/>
  <c r="G93" i="1"/>
  <c r="F93" i="1"/>
  <c r="H93" i="1" s="1"/>
  <c r="E93" i="1"/>
  <c r="H84" i="1"/>
  <c r="M84" i="1"/>
  <c r="I84" i="1"/>
  <c r="G84" i="1"/>
  <c r="F84" i="1"/>
  <c r="J84" i="1" s="1"/>
  <c r="E84" i="1"/>
  <c r="M75" i="1"/>
  <c r="I75" i="1"/>
  <c r="J75" i="1"/>
  <c r="G75" i="1"/>
  <c r="F75" i="1"/>
  <c r="H75" i="1" s="1"/>
  <c r="E75" i="1"/>
  <c r="M66" i="1"/>
  <c r="I66" i="1"/>
  <c r="J66" i="1"/>
  <c r="G66" i="1"/>
  <c r="F66" i="1"/>
  <c r="H66" i="1" s="1"/>
  <c r="E66" i="1"/>
  <c r="H57" i="1"/>
  <c r="M57" i="1"/>
  <c r="I57" i="1"/>
  <c r="J57" i="1"/>
  <c r="G57" i="1"/>
  <c r="F57" i="1"/>
  <c r="E57" i="1"/>
  <c r="M48" i="1"/>
  <c r="I48" i="1"/>
  <c r="G48" i="1"/>
  <c r="F48" i="1"/>
  <c r="J48" i="1" s="1"/>
  <c r="E48" i="1"/>
  <c r="M39" i="1"/>
  <c r="I39" i="1"/>
  <c r="G39" i="1"/>
  <c r="F39" i="1"/>
  <c r="F43" i="1" s="1"/>
  <c r="E39" i="1"/>
  <c r="M30" i="1"/>
  <c r="I30" i="1"/>
  <c r="J30" i="1"/>
  <c r="G30" i="1"/>
  <c r="F30" i="1"/>
  <c r="H30" i="1" s="1"/>
  <c r="E30" i="1"/>
  <c r="M21" i="1"/>
  <c r="I21" i="1"/>
  <c r="J21" i="1"/>
  <c r="G21" i="1"/>
  <c r="F21" i="1"/>
  <c r="H21" i="1" s="1"/>
  <c r="E21" i="1"/>
  <c r="M12" i="1"/>
  <c r="J12" i="1"/>
  <c r="I12" i="1"/>
  <c r="H12" i="1"/>
  <c r="E12" i="1"/>
  <c r="G12" i="1"/>
  <c r="F12" i="1"/>
  <c r="B120" i="1"/>
  <c r="B111" i="1"/>
  <c r="B102" i="1"/>
  <c r="B93" i="1"/>
  <c r="B84" i="1"/>
  <c r="B75" i="1"/>
  <c r="B66" i="1"/>
  <c r="B57" i="1"/>
  <c r="B48" i="1"/>
  <c r="B39" i="1"/>
  <c r="B30" i="1"/>
  <c r="B21" i="1"/>
  <c r="B12" i="1"/>
  <c r="G119" i="1"/>
  <c r="F119" i="1"/>
  <c r="J119" i="1"/>
  <c r="G110" i="1"/>
  <c r="H110" i="1" s="1"/>
  <c r="G101" i="1"/>
  <c r="H101" i="1" s="1"/>
  <c r="F101" i="1"/>
  <c r="G92" i="1"/>
  <c r="F92" i="1"/>
  <c r="H92" i="1" s="1"/>
  <c r="G83" i="1"/>
  <c r="F83" i="1"/>
  <c r="J83" i="1" s="1"/>
  <c r="G74" i="1"/>
  <c r="F74" i="1"/>
  <c r="G65" i="1"/>
  <c r="F65" i="1"/>
  <c r="J65" i="1"/>
  <c r="G56" i="1"/>
  <c r="F56" i="1"/>
  <c r="J56" i="1"/>
  <c r="G47" i="1"/>
  <c r="F47" i="1"/>
  <c r="H47" i="1" s="1"/>
  <c r="G38" i="1"/>
  <c r="F38" i="1"/>
  <c r="J38" i="1" s="1"/>
  <c r="G29" i="1"/>
  <c r="H29" i="1" s="1"/>
  <c r="F29" i="1"/>
  <c r="G20" i="1"/>
  <c r="G11" i="1"/>
  <c r="F11" i="1"/>
  <c r="H11" i="1" s="1"/>
  <c r="G84" i="4"/>
  <c r="H84" i="4" s="1"/>
  <c r="F84" i="4"/>
  <c r="G75" i="4"/>
  <c r="H75" i="4" s="1"/>
  <c r="F75" i="4"/>
  <c r="G66" i="4"/>
  <c r="H66" i="4"/>
  <c r="F66" i="4"/>
  <c r="G57" i="4"/>
  <c r="H57" i="4"/>
  <c r="F57" i="4"/>
  <c r="H48" i="4"/>
  <c r="G48" i="4"/>
  <c r="F48" i="4"/>
  <c r="G39" i="4"/>
  <c r="H39" i="4" s="1"/>
  <c r="F39" i="4"/>
  <c r="G30" i="4"/>
  <c r="H30" i="4"/>
  <c r="F30" i="4"/>
  <c r="G21" i="4"/>
  <c r="H21" i="4"/>
  <c r="F21" i="4"/>
  <c r="G12" i="4"/>
  <c r="H12" i="4" s="1"/>
  <c r="F12" i="4"/>
  <c r="G93" i="4"/>
  <c r="H93" i="4" s="1"/>
  <c r="F93" i="4"/>
  <c r="G102" i="4"/>
  <c r="H102" i="4"/>
  <c r="F102" i="4"/>
  <c r="G111" i="4"/>
  <c r="H111" i="4"/>
  <c r="F111" i="4"/>
  <c r="G120" i="4"/>
  <c r="H120" i="4" s="1"/>
  <c r="F120" i="4"/>
  <c r="B120" i="4"/>
  <c r="B111" i="4"/>
  <c r="B102" i="4"/>
  <c r="B93" i="4"/>
  <c r="B84" i="4"/>
  <c r="B75" i="4"/>
  <c r="B66" i="4"/>
  <c r="B57" i="4"/>
  <c r="B48" i="4"/>
  <c r="B39" i="4"/>
  <c r="B30" i="4"/>
  <c r="B21" i="4"/>
  <c r="B12" i="4"/>
  <c r="G111" i="5"/>
  <c r="H111" i="5"/>
  <c r="B120" i="5"/>
  <c r="B111" i="5"/>
  <c r="B102" i="5"/>
  <c r="B93" i="5"/>
  <c r="B84" i="5"/>
  <c r="B75" i="5"/>
  <c r="B66" i="5"/>
  <c r="B57" i="5"/>
  <c r="B48" i="5"/>
  <c r="B39" i="5"/>
  <c r="B30" i="5"/>
  <c r="B21" i="5"/>
  <c r="B12" i="5"/>
  <c r="M119" i="1"/>
  <c r="I119" i="1"/>
  <c r="H119" i="1"/>
  <c r="E119" i="1"/>
  <c r="M110" i="1"/>
  <c r="I110" i="1"/>
  <c r="E110" i="1"/>
  <c r="M101" i="1"/>
  <c r="J101" i="1"/>
  <c r="I101" i="1"/>
  <c r="E101" i="1"/>
  <c r="M92" i="1"/>
  <c r="J92" i="1"/>
  <c r="I92" i="1"/>
  <c r="E92" i="1"/>
  <c r="M83" i="1"/>
  <c r="I83" i="1"/>
  <c r="E83" i="1"/>
  <c r="M74" i="1"/>
  <c r="I74" i="1"/>
  <c r="H74" i="1"/>
  <c r="E74" i="1"/>
  <c r="M65" i="1"/>
  <c r="I65" i="1"/>
  <c r="E65" i="1"/>
  <c r="M56" i="1"/>
  <c r="I56" i="1"/>
  <c r="H56" i="1"/>
  <c r="E56" i="1"/>
  <c r="M47" i="1"/>
  <c r="I47" i="1"/>
  <c r="E47" i="1"/>
  <c r="M38" i="1"/>
  <c r="I38" i="1"/>
  <c r="E38" i="1"/>
  <c r="M29" i="1"/>
  <c r="J29" i="1"/>
  <c r="I29" i="1"/>
  <c r="E29" i="1"/>
  <c r="M20" i="1"/>
  <c r="J20" i="1"/>
  <c r="I20" i="1"/>
  <c r="E20" i="1"/>
  <c r="J11" i="1"/>
  <c r="I11" i="1"/>
  <c r="M11" i="1"/>
  <c r="E11" i="1"/>
  <c r="G110" i="3"/>
  <c r="F110" i="3"/>
  <c r="G101" i="3"/>
  <c r="F101" i="3"/>
  <c r="G92" i="3"/>
  <c r="F92" i="3"/>
  <c r="G83" i="3"/>
  <c r="F83" i="3"/>
  <c r="G74" i="3"/>
  <c r="F74" i="3"/>
  <c r="G65" i="3"/>
  <c r="F65" i="3"/>
  <c r="G56" i="3"/>
  <c r="F56" i="3"/>
  <c r="G47" i="3"/>
  <c r="F47" i="3"/>
  <c r="G38" i="3"/>
  <c r="F38" i="3"/>
  <c r="G29" i="3"/>
  <c r="F29" i="3"/>
  <c r="G20" i="3"/>
  <c r="F20" i="3"/>
  <c r="G11" i="3"/>
  <c r="F11" i="3"/>
  <c r="G119" i="3"/>
  <c r="F119" i="3"/>
  <c r="B101" i="3"/>
  <c r="B119" i="3"/>
  <c r="B110" i="3"/>
  <c r="B92" i="3"/>
  <c r="B83" i="3"/>
  <c r="B74" i="3"/>
  <c r="B65" i="3"/>
  <c r="B56" i="3"/>
  <c r="B47" i="3"/>
  <c r="B38" i="3"/>
  <c r="B29" i="3"/>
  <c r="B20" i="3"/>
  <c r="B11" i="3"/>
  <c r="N33" i="2"/>
  <c r="M33" i="2"/>
  <c r="L33" i="2"/>
  <c r="L44" i="2" s="1"/>
  <c r="K33" i="2"/>
  <c r="J33" i="2"/>
  <c r="I33" i="2"/>
  <c r="H33" i="2"/>
  <c r="G33" i="2"/>
  <c r="F33" i="2"/>
  <c r="E33" i="2"/>
  <c r="D33" i="2"/>
  <c r="C33" i="2"/>
  <c r="B33" i="2"/>
  <c r="N12" i="2"/>
  <c r="M12" i="2"/>
  <c r="M23" i="2" s="1"/>
  <c r="L12" i="2"/>
  <c r="K12" i="2"/>
  <c r="J12" i="2"/>
  <c r="I12" i="2"/>
  <c r="H12" i="2"/>
  <c r="G12" i="2"/>
  <c r="F12" i="2"/>
  <c r="E12" i="2"/>
  <c r="D12" i="2"/>
  <c r="C12" i="2"/>
  <c r="B12" i="2"/>
  <c r="A33" i="2"/>
  <c r="A12" i="2"/>
  <c r="B119" i="1"/>
  <c r="B110" i="1"/>
  <c r="B101" i="1"/>
  <c r="B92" i="1"/>
  <c r="B83" i="1"/>
  <c r="B74" i="1"/>
  <c r="B65" i="1"/>
  <c r="B56" i="1"/>
  <c r="B47" i="1"/>
  <c r="B38" i="1"/>
  <c r="B29" i="1"/>
  <c r="B20" i="1"/>
  <c r="B11" i="1"/>
  <c r="H119" i="4"/>
  <c r="G119" i="4"/>
  <c r="F119" i="4"/>
  <c r="G110" i="4"/>
  <c r="H110" i="4"/>
  <c r="F110" i="4"/>
  <c r="G101" i="4"/>
  <c r="H101" i="4" s="1"/>
  <c r="F101" i="4"/>
  <c r="G92" i="4"/>
  <c r="H92" i="4" s="1"/>
  <c r="F92" i="4"/>
  <c r="G83" i="4"/>
  <c r="H83" i="4" s="1"/>
  <c r="F83" i="4"/>
  <c r="G74" i="4"/>
  <c r="H74" i="4"/>
  <c r="F74" i="4"/>
  <c r="G65" i="4"/>
  <c r="H65" i="4" s="1"/>
  <c r="F65" i="4"/>
  <c r="G56" i="4"/>
  <c r="H56" i="4" s="1"/>
  <c r="F56" i="4"/>
  <c r="H47" i="4"/>
  <c r="G47" i="4"/>
  <c r="F47" i="4"/>
  <c r="G38" i="4"/>
  <c r="H38" i="4"/>
  <c r="F38" i="4"/>
  <c r="G29" i="4"/>
  <c r="H29" i="4"/>
  <c r="F29" i="4"/>
  <c r="H20" i="4"/>
  <c r="G20" i="4"/>
  <c r="F20" i="4"/>
  <c r="G11" i="4"/>
  <c r="H11" i="4" s="1"/>
  <c r="F11" i="4"/>
  <c r="B119" i="4"/>
  <c r="B110" i="4"/>
  <c r="B101" i="4"/>
  <c r="B92" i="4"/>
  <c r="B83" i="4"/>
  <c r="B74" i="4"/>
  <c r="B65" i="4"/>
  <c r="B56" i="4"/>
  <c r="B47" i="4"/>
  <c r="B38" i="4"/>
  <c r="B29" i="4"/>
  <c r="B20" i="4"/>
  <c r="B11" i="4"/>
  <c r="G110" i="5"/>
  <c r="H110" i="5" s="1"/>
  <c r="G109" i="5"/>
  <c r="H109" i="5" s="1"/>
  <c r="B119" i="5"/>
  <c r="B110" i="5"/>
  <c r="B101" i="5"/>
  <c r="B92" i="5"/>
  <c r="B83" i="5"/>
  <c r="B74" i="5"/>
  <c r="B65" i="5"/>
  <c r="B56" i="5"/>
  <c r="B47" i="5"/>
  <c r="B38" i="5"/>
  <c r="B29" i="5"/>
  <c r="B20" i="5"/>
  <c r="B11" i="5"/>
  <c r="G118" i="3"/>
  <c r="F118" i="3"/>
  <c r="G109" i="3"/>
  <c r="F109" i="3"/>
  <c r="G100" i="3"/>
  <c r="F100" i="3"/>
  <c r="G91" i="3"/>
  <c r="F91" i="3"/>
  <c r="G82" i="3"/>
  <c r="F82" i="3"/>
  <c r="G73" i="3"/>
  <c r="F73" i="3"/>
  <c r="G64" i="3"/>
  <c r="F64" i="3"/>
  <c r="G55" i="3"/>
  <c r="F55" i="3"/>
  <c r="G46" i="3"/>
  <c r="F46" i="3"/>
  <c r="G37" i="3"/>
  <c r="F37" i="3"/>
  <c r="G28" i="3"/>
  <c r="F28" i="3"/>
  <c r="G19" i="3"/>
  <c r="F19" i="3"/>
  <c r="G10" i="3"/>
  <c r="F10" i="3"/>
  <c r="B118" i="3"/>
  <c r="B109" i="3"/>
  <c r="B100" i="3"/>
  <c r="B91" i="3"/>
  <c r="B82" i="3"/>
  <c r="B73" i="3"/>
  <c r="B64" i="3"/>
  <c r="B55" i="3"/>
  <c r="B46" i="3"/>
  <c r="B37" i="3"/>
  <c r="B28" i="3"/>
  <c r="B19" i="3"/>
  <c r="B10" i="3"/>
  <c r="N32" i="2"/>
  <c r="M32" i="2"/>
  <c r="L32" i="2"/>
  <c r="K32" i="2"/>
  <c r="J32" i="2"/>
  <c r="I32" i="2"/>
  <c r="H32" i="2"/>
  <c r="G32" i="2"/>
  <c r="F32" i="2"/>
  <c r="E32" i="2"/>
  <c r="O32" i="2" s="1"/>
  <c r="D32" i="2"/>
  <c r="C32" i="2"/>
  <c r="B32" i="2"/>
  <c r="N11" i="2"/>
  <c r="M11" i="2"/>
  <c r="L11" i="2"/>
  <c r="K11" i="2"/>
  <c r="J11" i="2"/>
  <c r="I11" i="2"/>
  <c r="H11" i="2"/>
  <c r="G11" i="2"/>
  <c r="F11" i="2"/>
  <c r="F23" i="2" s="1"/>
  <c r="E11" i="2"/>
  <c r="D11" i="2"/>
  <c r="C11" i="2"/>
  <c r="B11" i="2"/>
  <c r="B10" i="2"/>
  <c r="A32" i="2"/>
  <c r="A11" i="2"/>
  <c r="M118" i="1"/>
  <c r="I118" i="1"/>
  <c r="H118" i="1"/>
  <c r="E118" i="1"/>
  <c r="G118" i="1"/>
  <c r="F118" i="1"/>
  <c r="J118" i="1" s="1"/>
  <c r="M109" i="1"/>
  <c r="I109" i="1"/>
  <c r="E109" i="1"/>
  <c r="G109" i="1"/>
  <c r="M100" i="1"/>
  <c r="I100" i="1"/>
  <c r="E100" i="1"/>
  <c r="G100" i="1"/>
  <c r="H100" i="1" s="1"/>
  <c r="F100" i="1"/>
  <c r="J100" i="1" s="1"/>
  <c r="M91" i="1"/>
  <c r="J91" i="1"/>
  <c r="I91" i="1"/>
  <c r="H91" i="1"/>
  <c r="E91" i="1"/>
  <c r="G91" i="1"/>
  <c r="F91" i="1"/>
  <c r="M82" i="1"/>
  <c r="I82" i="1"/>
  <c r="H82" i="1"/>
  <c r="E82" i="1"/>
  <c r="G82" i="1"/>
  <c r="F82" i="1"/>
  <c r="J82" i="1" s="1"/>
  <c r="M73" i="1"/>
  <c r="J73" i="1"/>
  <c r="I73" i="1"/>
  <c r="H73" i="1"/>
  <c r="E73" i="1"/>
  <c r="G73" i="1"/>
  <c r="F73" i="1"/>
  <c r="M64" i="1"/>
  <c r="J64" i="1"/>
  <c r="I64" i="1"/>
  <c r="E64" i="1"/>
  <c r="G64" i="1"/>
  <c r="H64" i="1" s="1"/>
  <c r="F64" i="1"/>
  <c r="M55" i="1"/>
  <c r="I55" i="1"/>
  <c r="E55" i="1"/>
  <c r="G55" i="1"/>
  <c r="H55" i="1" s="1"/>
  <c r="F55" i="1"/>
  <c r="J55" i="1" s="1"/>
  <c r="M46" i="1"/>
  <c r="J46" i="1"/>
  <c r="I46" i="1"/>
  <c r="H46" i="1"/>
  <c r="E46" i="1"/>
  <c r="G46" i="1"/>
  <c r="F46" i="1"/>
  <c r="M37" i="1"/>
  <c r="I37" i="1"/>
  <c r="H37" i="1"/>
  <c r="E37" i="1"/>
  <c r="G37" i="1"/>
  <c r="F37" i="1"/>
  <c r="J37" i="1" s="1"/>
  <c r="M28" i="1"/>
  <c r="I28" i="1"/>
  <c r="E28" i="1"/>
  <c r="G28" i="1"/>
  <c r="F28" i="1"/>
  <c r="J28" i="1" s="1"/>
  <c r="M19" i="1"/>
  <c r="J19" i="1"/>
  <c r="I19" i="1"/>
  <c r="E19" i="1"/>
  <c r="G19" i="1"/>
  <c r="F19" i="1"/>
  <c r="H19" i="1" s="1"/>
  <c r="M10" i="1"/>
  <c r="J10" i="1"/>
  <c r="I10" i="1"/>
  <c r="E10" i="1"/>
  <c r="G10" i="1"/>
  <c r="H10" i="1" s="1"/>
  <c r="B118" i="1"/>
  <c r="B109" i="1"/>
  <c r="B100" i="1"/>
  <c r="B91" i="1"/>
  <c r="B82" i="1"/>
  <c r="B73" i="1"/>
  <c r="B64" i="1"/>
  <c r="B55" i="1"/>
  <c r="B46" i="1"/>
  <c r="B37" i="1"/>
  <c r="B28" i="1"/>
  <c r="B19" i="1"/>
  <c r="B10" i="1"/>
  <c r="A31" i="2"/>
  <c r="A10" i="2"/>
  <c r="B118" i="4"/>
  <c r="B109" i="4"/>
  <c r="B100" i="4"/>
  <c r="B91" i="4"/>
  <c r="B82" i="4"/>
  <c r="B73" i="4"/>
  <c r="B64" i="4"/>
  <c r="B55" i="4"/>
  <c r="B46" i="4"/>
  <c r="B37" i="4"/>
  <c r="B28" i="4"/>
  <c r="B19" i="4"/>
  <c r="B10" i="4"/>
  <c r="B118" i="5"/>
  <c r="B109" i="5"/>
  <c r="B100" i="5"/>
  <c r="B91" i="5"/>
  <c r="B82" i="5"/>
  <c r="B73" i="5"/>
  <c r="B64" i="5"/>
  <c r="B55" i="5"/>
  <c r="B46" i="5"/>
  <c r="B37" i="5"/>
  <c r="B28" i="5"/>
  <c r="B19" i="5"/>
  <c r="B10" i="5"/>
  <c r="B117" i="3"/>
  <c r="B108" i="3"/>
  <c r="B99" i="3"/>
  <c r="B90" i="3"/>
  <c r="B81" i="3"/>
  <c r="B72" i="3"/>
  <c r="B63" i="3"/>
  <c r="B54" i="3"/>
  <c r="B45" i="3"/>
  <c r="B36" i="3"/>
  <c r="B27" i="3"/>
  <c r="B18" i="3"/>
  <c r="B9" i="3"/>
  <c r="G117" i="1"/>
  <c r="F117" i="1"/>
  <c r="J117" i="1" s="1"/>
  <c r="G108" i="1"/>
  <c r="F108" i="1"/>
  <c r="F115" i="1" s="1"/>
  <c r="G99" i="1"/>
  <c r="G106" i="1" s="1"/>
  <c r="F99" i="1"/>
  <c r="J99" i="1" s="1"/>
  <c r="G90" i="1"/>
  <c r="G97" i="1" s="1"/>
  <c r="F90" i="1"/>
  <c r="F97" i="1" s="1"/>
  <c r="G81" i="1"/>
  <c r="G88" i="1" s="1"/>
  <c r="F81" i="1"/>
  <c r="F88" i="1" s="1"/>
  <c r="G72" i="1"/>
  <c r="G79" i="1" s="1"/>
  <c r="F72" i="1"/>
  <c r="F79" i="1" s="1"/>
  <c r="G63" i="1"/>
  <c r="G70" i="1" s="1"/>
  <c r="F63" i="1"/>
  <c r="J63" i="1" s="1"/>
  <c r="G54" i="1"/>
  <c r="G61" i="1" s="1"/>
  <c r="F54" i="1"/>
  <c r="F61" i="1" s="1"/>
  <c r="G45" i="1"/>
  <c r="G52" i="1" s="1"/>
  <c r="F45" i="1"/>
  <c r="F52" i="1" s="1"/>
  <c r="G36" i="1"/>
  <c r="G43" i="1" s="1"/>
  <c r="F36" i="1"/>
  <c r="G27" i="1"/>
  <c r="G34" i="1" s="1"/>
  <c r="H34" i="1" s="1"/>
  <c r="F27" i="1"/>
  <c r="G18" i="1"/>
  <c r="F18" i="1"/>
  <c r="G9" i="1"/>
  <c r="G16" i="1" s="1"/>
  <c r="F9" i="1"/>
  <c r="F16" i="1" s="1"/>
  <c r="B117" i="1"/>
  <c r="B108" i="1"/>
  <c r="B99" i="1"/>
  <c r="B90" i="1"/>
  <c r="B81" i="1"/>
  <c r="B72" i="1"/>
  <c r="B63" i="1"/>
  <c r="B54" i="1"/>
  <c r="B45" i="1"/>
  <c r="B36" i="1"/>
  <c r="B27" i="1"/>
  <c r="B18" i="1"/>
  <c r="B9" i="1"/>
  <c r="J72" i="1"/>
  <c r="J90" i="1"/>
  <c r="J27" i="1"/>
  <c r="J18" i="1"/>
  <c r="E125" i="5"/>
  <c r="D125" i="5"/>
  <c r="C125" i="5"/>
  <c r="E116" i="5"/>
  <c r="D116" i="5"/>
  <c r="C116" i="5"/>
  <c r="E107" i="5"/>
  <c r="D107" i="5"/>
  <c r="C107" i="5"/>
  <c r="E98" i="5"/>
  <c r="D98" i="5"/>
  <c r="C98" i="5"/>
  <c r="E89" i="5"/>
  <c r="D89" i="5"/>
  <c r="C89" i="5"/>
  <c r="E80" i="5"/>
  <c r="D80" i="5"/>
  <c r="C80" i="5"/>
  <c r="E71" i="5"/>
  <c r="D71" i="5"/>
  <c r="C71" i="5"/>
  <c r="E62" i="5"/>
  <c r="D62" i="5"/>
  <c r="C62" i="5"/>
  <c r="E53" i="5"/>
  <c r="D53" i="5"/>
  <c r="C53" i="5"/>
  <c r="E44" i="5"/>
  <c r="D44" i="5"/>
  <c r="C44" i="5"/>
  <c r="E35" i="5"/>
  <c r="D35" i="5"/>
  <c r="C35" i="5"/>
  <c r="E26" i="5"/>
  <c r="D26" i="5"/>
  <c r="C26" i="5"/>
  <c r="E17" i="5"/>
  <c r="D17" i="5"/>
  <c r="C17" i="5"/>
  <c r="L43" i="1"/>
  <c r="F55" i="4"/>
  <c r="F54" i="3"/>
  <c r="M54" i="1"/>
  <c r="E54" i="1"/>
  <c r="F118" i="4"/>
  <c r="F117" i="3"/>
  <c r="G31" i="2"/>
  <c r="G10" i="2"/>
  <c r="M117" i="1"/>
  <c r="E117" i="1"/>
  <c r="E62" i="4"/>
  <c r="D62" i="4"/>
  <c r="F62" i="4" s="1"/>
  <c r="C62" i="4"/>
  <c r="G55" i="4"/>
  <c r="H55" i="4" s="1"/>
  <c r="E61" i="3"/>
  <c r="D61" i="3"/>
  <c r="F61" i="3" s="1"/>
  <c r="C61" i="3"/>
  <c r="G54" i="3"/>
  <c r="L61" i="1"/>
  <c r="D61" i="1"/>
  <c r="C61" i="1"/>
  <c r="I54" i="1"/>
  <c r="G118" i="4"/>
  <c r="H118" i="4" s="1"/>
  <c r="G117" i="3"/>
  <c r="I117" i="1"/>
  <c r="D16" i="1"/>
  <c r="D25" i="1"/>
  <c r="D34" i="1"/>
  <c r="D43" i="1"/>
  <c r="D52" i="1"/>
  <c r="D70" i="1"/>
  <c r="D79" i="1"/>
  <c r="D88" i="1"/>
  <c r="D126" i="1" s="1"/>
  <c r="D97" i="1"/>
  <c r="D106" i="1"/>
  <c r="D115" i="1"/>
  <c r="D124" i="1"/>
  <c r="C124" i="1"/>
  <c r="C125" i="4"/>
  <c r="D125" i="4"/>
  <c r="C124" i="3"/>
  <c r="D124" i="3"/>
  <c r="F124" i="3" s="1"/>
  <c r="E17" i="4"/>
  <c r="F17" i="4" s="1"/>
  <c r="E26" i="4"/>
  <c r="E35" i="4"/>
  <c r="E44" i="4"/>
  <c r="E53" i="4"/>
  <c r="E71" i="4"/>
  <c r="F71" i="4" s="1"/>
  <c r="E80" i="4"/>
  <c r="E89" i="4"/>
  <c r="E98" i="4"/>
  <c r="E107" i="4"/>
  <c r="E116" i="4"/>
  <c r="E125" i="4"/>
  <c r="F125" i="4" s="1"/>
  <c r="D17" i="4"/>
  <c r="D26" i="4"/>
  <c r="F26" i="4"/>
  <c r="D35" i="4"/>
  <c r="D44" i="4"/>
  <c r="F44" i="4" s="1"/>
  <c r="D53" i="4"/>
  <c r="F53" i="4" s="1"/>
  <c r="D71" i="4"/>
  <c r="D80" i="4"/>
  <c r="F80" i="4" s="1"/>
  <c r="D89" i="4"/>
  <c r="G89" i="4" s="1"/>
  <c r="H89" i="4" s="1"/>
  <c r="D98" i="4"/>
  <c r="F98" i="4" s="1"/>
  <c r="D107" i="4"/>
  <c r="D116" i="4"/>
  <c r="G116" i="4"/>
  <c r="H116" i="4" s="1"/>
  <c r="C17" i="4"/>
  <c r="G17" i="4" s="1"/>
  <c r="H17" i="4" s="1"/>
  <c r="C26" i="4"/>
  <c r="C35" i="4"/>
  <c r="C44" i="4"/>
  <c r="C127" i="4" s="1"/>
  <c r="C53" i="4"/>
  <c r="C71" i="4"/>
  <c r="G71" i="4"/>
  <c r="H71" i="4" s="1"/>
  <c r="C80" i="4"/>
  <c r="C89" i="4"/>
  <c r="C98" i="4"/>
  <c r="C107" i="4"/>
  <c r="C116" i="4"/>
  <c r="F91" i="4"/>
  <c r="E16" i="3"/>
  <c r="E25" i="3"/>
  <c r="F25" i="3" s="1"/>
  <c r="E34" i="3"/>
  <c r="E43" i="3"/>
  <c r="E52" i="3"/>
  <c r="E70" i="3"/>
  <c r="E79" i="3"/>
  <c r="E88" i="3"/>
  <c r="E97" i="3"/>
  <c r="E106" i="3"/>
  <c r="E126" i="3" s="1"/>
  <c r="E115" i="3"/>
  <c r="E124" i="3"/>
  <c r="D16" i="3"/>
  <c r="D25" i="3"/>
  <c r="D34" i="3"/>
  <c r="D43" i="3"/>
  <c r="D52" i="3"/>
  <c r="F52" i="3" s="1"/>
  <c r="D70" i="3"/>
  <c r="F70" i="3" s="1"/>
  <c r="D79" i="3"/>
  <c r="D88" i="3"/>
  <c r="F88" i="3" s="1"/>
  <c r="D97" i="3"/>
  <c r="D126" i="3" s="1"/>
  <c r="D106" i="3"/>
  <c r="D115" i="3"/>
  <c r="C16" i="3"/>
  <c r="C25" i="3"/>
  <c r="C34" i="3"/>
  <c r="C43" i="3"/>
  <c r="C52" i="3"/>
  <c r="C70" i="3"/>
  <c r="C79" i="3"/>
  <c r="C88" i="3"/>
  <c r="C97" i="3"/>
  <c r="C126" i="3" s="1"/>
  <c r="C106" i="3"/>
  <c r="C115" i="3"/>
  <c r="F90" i="3"/>
  <c r="M90" i="1"/>
  <c r="E90" i="1"/>
  <c r="L16" i="1"/>
  <c r="L25" i="1"/>
  <c r="M25" i="1" s="1"/>
  <c r="L34" i="1"/>
  <c r="M34" i="1"/>
  <c r="L52" i="1"/>
  <c r="M52" i="1"/>
  <c r="L70" i="1"/>
  <c r="L79" i="1"/>
  <c r="L88" i="1"/>
  <c r="L97" i="1"/>
  <c r="L106" i="1"/>
  <c r="L115" i="1"/>
  <c r="K16" i="1"/>
  <c r="K25" i="1"/>
  <c r="C16" i="1"/>
  <c r="E16" i="1" s="1"/>
  <c r="C25" i="1"/>
  <c r="E25" i="1" s="1"/>
  <c r="I25" i="1"/>
  <c r="C34" i="1"/>
  <c r="I34" i="1"/>
  <c r="C43" i="1"/>
  <c r="E43" i="1"/>
  <c r="C52" i="1"/>
  <c r="C70" i="1"/>
  <c r="C79" i="1"/>
  <c r="C88" i="1"/>
  <c r="E88" i="1" s="1"/>
  <c r="C97" i="1"/>
  <c r="C106" i="1"/>
  <c r="I106" i="1" s="1"/>
  <c r="C115" i="1"/>
  <c r="E99" i="1"/>
  <c r="I99" i="1"/>
  <c r="M99" i="1"/>
  <c r="K97" i="1"/>
  <c r="I97" i="1" s="1"/>
  <c r="F109" i="4"/>
  <c r="K31" i="2"/>
  <c r="K10" i="2"/>
  <c r="K43" i="1"/>
  <c r="K52" i="1"/>
  <c r="K70" i="1"/>
  <c r="I70" i="1" s="1"/>
  <c r="K79" i="1"/>
  <c r="M79" i="1" s="1"/>
  <c r="K88" i="1"/>
  <c r="K115" i="1"/>
  <c r="M115" i="1" s="1"/>
  <c r="I90" i="1"/>
  <c r="G91" i="4"/>
  <c r="H91" i="4"/>
  <c r="G90" i="3"/>
  <c r="F73" i="4"/>
  <c r="F72" i="3"/>
  <c r="N31" i="2"/>
  <c r="M31" i="2"/>
  <c r="M44" i="2" s="1"/>
  <c r="L31" i="2"/>
  <c r="J31" i="2"/>
  <c r="I31" i="2"/>
  <c r="H31" i="2"/>
  <c r="F31" i="2"/>
  <c r="E31" i="2"/>
  <c r="C31" i="2"/>
  <c r="B31" i="2"/>
  <c r="M72" i="1"/>
  <c r="E72" i="1"/>
  <c r="I10" i="2"/>
  <c r="G73" i="4"/>
  <c r="H73" i="4" s="1"/>
  <c r="G82" i="4"/>
  <c r="H82" i="4"/>
  <c r="F82" i="4"/>
  <c r="G72" i="3"/>
  <c r="I72" i="1"/>
  <c r="F10" i="4"/>
  <c r="G10" i="4"/>
  <c r="H10" i="4" s="1"/>
  <c r="I9" i="1"/>
  <c r="I18" i="1"/>
  <c r="I36" i="1"/>
  <c r="I45" i="1"/>
  <c r="I63" i="1"/>
  <c r="I81" i="1"/>
  <c r="I108" i="1"/>
  <c r="E9" i="1"/>
  <c r="M9" i="1"/>
  <c r="E18" i="1"/>
  <c r="M18" i="1"/>
  <c r="E27" i="1"/>
  <c r="E36" i="1"/>
  <c r="M36" i="1"/>
  <c r="E45" i="1"/>
  <c r="M45" i="1"/>
  <c r="E63" i="1"/>
  <c r="M63" i="1"/>
  <c r="E81" i="1"/>
  <c r="M81" i="1"/>
  <c r="E108" i="1"/>
  <c r="M108" i="1"/>
  <c r="F19" i="4"/>
  <c r="G19" i="4"/>
  <c r="H19" i="4"/>
  <c r="F28" i="4"/>
  <c r="G28" i="4"/>
  <c r="H28" i="4" s="1"/>
  <c r="F37" i="4"/>
  <c r="G37" i="4"/>
  <c r="H37" i="4" s="1"/>
  <c r="F46" i="4"/>
  <c r="G46" i="4"/>
  <c r="H46" i="4"/>
  <c r="F64" i="4"/>
  <c r="G64" i="4"/>
  <c r="H64" i="4"/>
  <c r="F100" i="4"/>
  <c r="G100" i="4"/>
  <c r="H100" i="4" s="1"/>
  <c r="G109" i="4"/>
  <c r="H109" i="4"/>
  <c r="F9" i="3"/>
  <c r="F18" i="3"/>
  <c r="G18" i="3"/>
  <c r="F27" i="3"/>
  <c r="G27" i="3"/>
  <c r="F36" i="3"/>
  <c r="G36" i="3"/>
  <c r="F45" i="3"/>
  <c r="G45" i="3"/>
  <c r="F63" i="3"/>
  <c r="G63" i="3"/>
  <c r="F81" i="3"/>
  <c r="G81" i="3"/>
  <c r="F99" i="3"/>
  <c r="G99" i="3"/>
  <c r="F108" i="3"/>
  <c r="G108" i="3"/>
  <c r="G9" i="3"/>
  <c r="C10" i="2"/>
  <c r="C23" i="2" s="1"/>
  <c r="D10" i="2"/>
  <c r="E10" i="2"/>
  <c r="O10" i="2" s="1"/>
  <c r="F10" i="2"/>
  <c r="H10" i="2"/>
  <c r="J10" i="2"/>
  <c r="L10" i="2"/>
  <c r="M10" i="2"/>
  <c r="N10" i="2"/>
  <c r="I27" i="1"/>
  <c r="M27" i="1"/>
  <c r="K34" i="1"/>
  <c r="D31" i="2"/>
  <c r="O31" i="2" s="1"/>
  <c r="L124" i="1"/>
  <c r="K124" i="1"/>
  <c r="I124" i="1" s="1"/>
  <c r="K61" i="1"/>
  <c r="K106" i="1"/>
  <c r="G124" i="1"/>
  <c r="H63" i="1"/>
  <c r="H54" i="1"/>
  <c r="H108" i="1"/>
  <c r="H117" i="1"/>
  <c r="J9" i="1"/>
  <c r="J54" i="1"/>
  <c r="J36" i="1"/>
  <c r="H36" i="1"/>
  <c r="H90" i="1"/>
  <c r="H27" i="1"/>
  <c r="H9" i="1"/>
  <c r="H18" i="1"/>
  <c r="H72" i="1"/>
  <c r="H81" i="1"/>
  <c r="J45" i="1"/>
  <c r="H83" i="1"/>
  <c r="J74" i="1"/>
  <c r="H65" i="1"/>
  <c r="H38" i="1"/>
  <c r="F34" i="1"/>
  <c r="G25" i="1"/>
  <c r="G26" i="4"/>
  <c r="H26" i="4" s="1"/>
  <c r="F25" i="1"/>
  <c r="H109" i="1"/>
  <c r="I128" i="1"/>
  <c r="I43" i="1"/>
  <c r="G129" i="4"/>
  <c r="H129" i="4" s="1"/>
  <c r="F129" i="4"/>
  <c r="G128" i="3"/>
  <c r="G124" i="3"/>
  <c r="G79" i="3"/>
  <c r="G16" i="3"/>
  <c r="E79" i="1"/>
  <c r="E61" i="1"/>
  <c r="M43" i="1"/>
  <c r="I16" i="1"/>
  <c r="G125" i="4"/>
  <c r="H125" i="4" s="1"/>
  <c r="F116" i="4"/>
  <c r="F107" i="4"/>
  <c r="G107" i="4"/>
  <c r="H107" i="4"/>
  <c r="G98" i="4"/>
  <c r="H98" i="4"/>
  <c r="G80" i="4"/>
  <c r="H80" i="4"/>
  <c r="G62" i="4"/>
  <c r="H62" i="4"/>
  <c r="G53" i="4"/>
  <c r="H53" i="4" s="1"/>
  <c r="G44" i="4"/>
  <c r="H44" i="4" s="1"/>
  <c r="F35" i="4"/>
  <c r="G35" i="4"/>
  <c r="H35" i="4"/>
  <c r="G116" i="5"/>
  <c r="H116" i="5" s="1"/>
  <c r="F80" i="5"/>
  <c r="C127" i="5"/>
  <c r="D127" i="5"/>
  <c r="E127" i="5"/>
  <c r="F127" i="5" s="1"/>
  <c r="G17" i="5"/>
  <c r="H17" i="5" s="1"/>
  <c r="F115" i="3"/>
  <c r="G115" i="3"/>
  <c r="G106" i="3"/>
  <c r="F79" i="3"/>
  <c r="G70" i="3"/>
  <c r="F43" i="3"/>
  <c r="G43" i="3"/>
  <c r="F34" i="3"/>
  <c r="G34" i="3"/>
  <c r="G25" i="3"/>
  <c r="F16" i="3"/>
  <c r="F70" i="1"/>
  <c r="J70" i="1" s="1"/>
  <c r="J67" i="1"/>
  <c r="M97" i="1"/>
  <c r="E115" i="1"/>
  <c r="I115" i="1"/>
  <c r="E124" i="1"/>
  <c r="M106" i="1"/>
  <c r="E106" i="1"/>
  <c r="E97" i="1"/>
  <c r="M88" i="1"/>
  <c r="I88" i="1"/>
  <c r="M70" i="1"/>
  <c r="E70" i="1"/>
  <c r="M61" i="1"/>
  <c r="I61" i="1"/>
  <c r="I52" i="1"/>
  <c r="E52" i="1"/>
  <c r="L126" i="1"/>
  <c r="J34" i="1"/>
  <c r="E34" i="1"/>
  <c r="H25" i="1"/>
  <c r="J25" i="1"/>
  <c r="M16" i="1"/>
  <c r="K23" i="2"/>
  <c r="I23" i="2"/>
  <c r="I44" i="2"/>
  <c r="G23" i="2"/>
  <c r="J44" i="2"/>
  <c r="B23" i="2"/>
  <c r="J23" i="2"/>
  <c r="O33" i="2"/>
  <c r="H23" i="2"/>
  <c r="G44" i="2"/>
  <c r="C44" i="2"/>
  <c r="H44" i="2"/>
  <c r="N23" i="2"/>
  <c r="D44" i="2"/>
  <c r="O14" i="2"/>
  <c r="F44" i="2"/>
  <c r="G127" i="5"/>
  <c r="H127" i="5" s="1"/>
  <c r="H52" i="1" l="1"/>
  <c r="J52" i="1"/>
  <c r="G126" i="3"/>
  <c r="F126" i="3"/>
  <c r="H115" i="1"/>
  <c r="J115" i="1"/>
  <c r="J16" i="1"/>
  <c r="H16" i="1"/>
  <c r="J61" i="1"/>
  <c r="H61" i="1"/>
  <c r="H79" i="1"/>
  <c r="H128" i="1"/>
  <c r="G126" i="1"/>
  <c r="H88" i="1"/>
  <c r="J88" i="1"/>
  <c r="J43" i="1"/>
  <c r="H43" i="1"/>
  <c r="J97" i="1"/>
  <c r="H97" i="1"/>
  <c r="O12" i="2"/>
  <c r="O11" i="2"/>
  <c r="O23" i="2" s="1"/>
  <c r="O35" i="2"/>
  <c r="C126" i="1"/>
  <c r="E126" i="1" s="1"/>
  <c r="F89" i="4"/>
  <c r="M124" i="1"/>
  <c r="I79" i="1"/>
  <c r="J108" i="1"/>
  <c r="J47" i="1"/>
  <c r="J93" i="1"/>
  <c r="J22" i="1"/>
  <c r="J59" i="1"/>
  <c r="G129" i="5"/>
  <c r="H129" i="5" s="1"/>
  <c r="O34" i="2"/>
  <c r="O44" i="2" s="1"/>
  <c r="E44" i="2"/>
  <c r="H70" i="1"/>
  <c r="E127" i="4"/>
  <c r="F106" i="1"/>
  <c r="H99" i="1"/>
  <c r="G88" i="3"/>
  <c r="F97" i="3"/>
  <c r="J81" i="1"/>
  <c r="H48" i="1"/>
  <c r="H49" i="1"/>
  <c r="H94" i="1"/>
  <c r="H32" i="1"/>
  <c r="J77" i="1"/>
  <c r="J113" i="1"/>
  <c r="J85" i="1"/>
  <c r="H45" i="1"/>
  <c r="J39" i="1"/>
  <c r="J40" i="1"/>
  <c r="F124" i="1"/>
  <c r="K126" i="1"/>
  <c r="J79" i="1"/>
  <c r="G52" i="3"/>
  <c r="J124" i="1"/>
  <c r="G97" i="3"/>
  <c r="H28" i="1"/>
  <c r="E23" i="2"/>
  <c r="J128" i="1"/>
  <c r="G61" i="3"/>
  <c r="H39" i="1"/>
  <c r="F106" i="3"/>
  <c r="J76" i="1"/>
  <c r="J121" i="1"/>
  <c r="O13" i="2"/>
  <c r="D127" i="4"/>
  <c r="G127" i="4" l="1"/>
  <c r="H127" i="4" s="1"/>
  <c r="F127" i="4"/>
  <c r="I126" i="1"/>
  <c r="M126" i="1"/>
  <c r="F126" i="1"/>
  <c r="H126" i="1" s="1"/>
  <c r="H124" i="1"/>
  <c r="H106" i="1"/>
  <c r="J106" i="1"/>
  <c r="J126" i="1" l="1"/>
</calcChain>
</file>

<file path=xl/sharedStrings.xml><?xml version="1.0" encoding="utf-8"?>
<sst xmlns="http://schemas.openxmlformats.org/spreadsheetml/2006/main" count="241" uniqueCount="78">
  <si>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</si>
  <si>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</si>
  <si>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</si>
  <si>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</si>
  <si>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</si>
  <si>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</si>
  <si>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</si>
  <si>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</si>
  <si>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</si>
  <si>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</si>
  <si>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</si>
  <si>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</si>
  <si>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</si>
  <si>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</si>
  <si>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</si>
  <si>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</si>
  <si>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</si>
  <si>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</si>
  <si>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</si>
  <si>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</si>
  <si>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</si>
  <si>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</si>
  <si>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</si>
  <si>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</si>
  <si>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</si>
  <si>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</si>
  <si>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</si>
  <si>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</si>
  <si>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</si>
  <si>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</si>
  <si>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</si>
  <si>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</si>
  <si>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</si>
  <si>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</si>
  <si>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</si>
  <si>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</si>
  <si>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</si>
  <si>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</si>
  <si>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</si>
  <si>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</si>
  <si>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</si>
  <si>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</si>
  <si>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</si>
  <si>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</si>
  <si>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</si>
  <si>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</si>
  <si>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</si>
  <si>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</si>
  <si>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</si>
  <si>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</si>
  <si>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</si>
  <si>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</si>
  <si>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</si>
  <si>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</si>
  <si>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</si>
  <si>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</si>
  <si>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</si>
  <si>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</si>
  <si>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</si>
  <si>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</si>
  <si>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</si>
  <si>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</si>
  <si>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</si>
  <si>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</si>
  <si>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</si>
  <si>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</si>
  <si>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</si>
  <si>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</si>
  <si>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</si>
  <si>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 xml:space="preserve">FISCAL 2022 YTD ADMISSIONS, PATRONS AND AGR SUMMARY </t>
  </si>
  <si>
    <t>BALLY'S KANSAS CITY</t>
  </si>
  <si>
    <t>BALLY'S KC</t>
  </si>
  <si>
    <t>MONTH ENDED:  DECEMBER 31, 2021</t>
  </si>
  <si>
    <t>(as reported on the tax remittal database dtd 1/6/22)</t>
  </si>
  <si>
    <t>FOR THE MONTH ENDED:   DECEMBER 31, 2021</t>
  </si>
  <si>
    <t>THRU MONTH ENDED:   DECEMBER 31, 2021</t>
  </si>
  <si>
    <t>(as reported on the tax remittal database as of 1/6/22)</t>
  </si>
  <si>
    <t>THRU MONTH ENDED:    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</si>
</sst>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1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00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69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 t="shared" ref="E9:E14" si="0">(+C9-D9)/D9</f>
        <v>0.23612431172444553</v>
      </c>
      <c r="F9" s="21">
        <f>+C9-107437</f>
        <v>125366</v>
      </c>
      <c r="G9" s="21">
        <f>+D9-87391</f>
        <v>100942</v>
      </c>
      <c r="H9" s="23">
        <f t="shared" ref="H9:H14" si="1">(+F9-G9)/G9</f>
        <v>0.24196072992411483</v>
      </c>
      <c r="I9" s="24">
        <f t="shared" ref="I9:I14" si="2">K9/C9</f>
        <v>68.467668414925924</v>
      </c>
      <c r="J9" s="24">
        <f t="shared" ref="J9:J14" si="3">K9/F9</f>
        <v>127.14355255810985</v>
      </c>
      <c r="K9" s="21">
        <v>15939478.609999999</v>
      </c>
      <c r="L9" s="21">
        <v>13615214.890000001</v>
      </c>
      <c r="M9" s="25">
        <f t="shared" ref="M9:M14" si="4">(+K9-L9)/L9</f>
        <v>0.17071076283247694</v>
      </c>
      <c r="N9" s="10"/>
      <c r="R9" s="2"/>
    </row>
    <row r="10" spans="1:18" ht="15.75" x14ac:dyDescent="0.25">
      <c r="A10" s="19"/>
      <c r="B10" s="20">
        <f>DATE(2021,8,1)</f>
        <v>44409</v>
      </c>
      <c r="C10" s="21">
        <v>225454</v>
      </c>
      <c r="D10" s="22">
        <v>193126</v>
      </c>
      <c r="E10" s="23">
        <f t="shared" si="0"/>
        <v>0.1673933079958162</v>
      </c>
      <c r="F10" s="21">
        <f>+C10-103513</f>
        <v>121941</v>
      </c>
      <c r="G10" s="21">
        <f>+D10-88951</f>
        <v>104175</v>
      </c>
      <c r="H10" s="23">
        <f t="shared" si="1"/>
        <v>0.17053995680345571</v>
      </c>
      <c r="I10" s="24">
        <f t="shared" si="2"/>
        <v>66.872165142335021</v>
      </c>
      <c r="J10" s="24">
        <f t="shared" si="3"/>
        <v>123.63845728672062</v>
      </c>
      <c r="K10" s="21">
        <v>15076597.119999999</v>
      </c>
      <c r="L10" s="21">
        <v>12620487.539999999</v>
      </c>
      <c r="M10" s="25">
        <f t="shared" si="4"/>
        <v>0.19461289211018865</v>
      </c>
      <c r="N10" s="10"/>
      <c r="R10" s="2"/>
    </row>
    <row r="11" spans="1:18" ht="15.75" x14ac:dyDescent="0.25">
      <c r="A11" s="19"/>
      <c r="B11" s="20">
        <f>DATE(2021,9,1)</f>
        <v>44440</v>
      </c>
      <c r="C11" s="21">
        <v>206050</v>
      </c>
      <c r="D11" s="22">
        <v>196754</v>
      </c>
      <c r="E11" s="23">
        <f t="shared" si="0"/>
        <v>4.7246815820771115E-2</v>
      </c>
      <c r="F11" s="21">
        <f>+C11-93968</f>
        <v>112082</v>
      </c>
      <c r="G11" s="21">
        <f>+D11-92272</f>
        <v>104482</v>
      </c>
      <c r="H11" s="23">
        <f t="shared" si="1"/>
        <v>7.2739802071170159E-2</v>
      </c>
      <c r="I11" s="24">
        <f t="shared" si="2"/>
        <v>67.344978015044902</v>
      </c>
      <c r="J11" s="24">
        <f t="shared" si="3"/>
        <v>123.8060769793544</v>
      </c>
      <c r="K11" s="21">
        <v>13876432.720000001</v>
      </c>
      <c r="L11" s="21">
        <v>12429246.59</v>
      </c>
      <c r="M11" s="25">
        <f t="shared" si="4"/>
        <v>0.11643393825369433</v>
      </c>
      <c r="N11" s="10"/>
      <c r="R11" s="2"/>
    </row>
    <row r="12" spans="1:18" ht="15.75" x14ac:dyDescent="0.25">
      <c r="A12" s="19"/>
      <c r="B12" s="20">
        <f>DATE(2021,10,1)</f>
        <v>44470</v>
      </c>
      <c r="C12" s="21">
        <v>219538</v>
      </c>
      <c r="D12" s="22">
        <v>203827</v>
      </c>
      <c r="E12" s="23">
        <f t="shared" si="0"/>
        <v>7.7080072806841093E-2</v>
      </c>
      <c r="F12" s="21">
        <f>+C12-100658</f>
        <v>118880</v>
      </c>
      <c r="G12" s="21">
        <f>+D12-94349</f>
        <v>109478</v>
      </c>
      <c r="H12" s="23">
        <f t="shared" si="1"/>
        <v>8.5880268181735137E-2</v>
      </c>
      <c r="I12" s="24">
        <f t="shared" si="2"/>
        <v>69.459368810866451</v>
      </c>
      <c r="J12" s="24">
        <f t="shared" si="3"/>
        <v>128.27196256729476</v>
      </c>
      <c r="K12" s="21">
        <v>15248970.91</v>
      </c>
      <c r="L12" s="21">
        <v>12927551.640000001</v>
      </c>
      <c r="M12" s="25">
        <f t="shared" si="4"/>
        <v>0.17957145596055027</v>
      </c>
      <c r="N12" s="10"/>
      <c r="R12" s="2"/>
    </row>
    <row r="13" spans="1:18" ht="15.75" x14ac:dyDescent="0.25">
      <c r="A13" s="19"/>
      <c r="B13" s="20">
        <f>DATE(2021,11,1)</f>
        <v>44501</v>
      </c>
      <c r="C13" s="21">
        <v>201331</v>
      </c>
      <c r="D13" s="22">
        <v>189148</v>
      </c>
      <c r="E13" s="23">
        <f t="shared" si="0"/>
        <v>6.4409880093894728E-2</v>
      </c>
      <c r="F13" s="21">
        <f>+C13-92874</f>
        <v>108457</v>
      </c>
      <c r="G13" s="21">
        <f>+D13-86903</f>
        <v>102245</v>
      </c>
      <c r="H13" s="23">
        <f t="shared" si="1"/>
        <v>6.0756027189593623E-2</v>
      </c>
      <c r="I13" s="24">
        <f t="shared" si="2"/>
        <v>67.221432069576963</v>
      </c>
      <c r="J13" s="24">
        <f t="shared" si="3"/>
        <v>124.78455185004196</v>
      </c>
      <c r="K13" s="21">
        <v>13533758.140000001</v>
      </c>
      <c r="L13" s="21">
        <v>11277470.82</v>
      </c>
      <c r="M13" s="25">
        <f t="shared" si="4"/>
        <v>0.2000703310177131</v>
      </c>
      <c r="N13" s="10"/>
      <c r="R13" s="2"/>
    </row>
    <row r="14" spans="1:18" ht="15.75" x14ac:dyDescent="0.25">
      <c r="A14" s="19"/>
      <c r="B14" s="20">
        <f>DATE(2021,12,1)</f>
        <v>44531</v>
      </c>
      <c r="C14" s="21">
        <v>212681</v>
      </c>
      <c r="D14" s="22">
        <v>196076</v>
      </c>
      <c r="E14" s="23">
        <f t="shared" si="0"/>
        <v>8.4686550113221404E-2</v>
      </c>
      <c r="F14" s="21">
        <f>+C14-99427</f>
        <v>113254</v>
      </c>
      <c r="G14" s="21">
        <f>+D14-87128</f>
        <v>108948</v>
      </c>
      <c r="H14" s="23">
        <f t="shared" si="1"/>
        <v>3.9523442376179461E-2</v>
      </c>
      <c r="I14" s="24">
        <f t="shared" si="2"/>
        <v>68.705976086251241</v>
      </c>
      <c r="J14" s="24">
        <f t="shared" si="3"/>
        <v>129.02374927154889</v>
      </c>
      <c r="K14" s="21">
        <v>14612455.699999999</v>
      </c>
      <c r="L14" s="21">
        <v>12509643.109999999</v>
      </c>
      <c r="M14" s="25">
        <f t="shared" si="4"/>
        <v>0.16809533025918594</v>
      </c>
      <c r="N14" s="10"/>
      <c r="R14" s="2"/>
    </row>
    <row r="15" spans="1:18" ht="15.75" customHeight="1" thickBot="1" x14ac:dyDescent="0.3">
      <c r="A15" s="19"/>
      <c r="B15" s="20"/>
      <c r="C15" s="21"/>
      <c r="D15" s="21"/>
      <c r="E15" s="23"/>
      <c r="F15" s="21"/>
      <c r="G15" s="21"/>
      <c r="H15" s="23"/>
      <c r="I15" s="24"/>
      <c r="J15" s="24"/>
      <c r="K15" s="21"/>
      <c r="L15" s="21"/>
      <c r="M15" s="25"/>
      <c r="N15" s="10"/>
      <c r="R15" s="2"/>
    </row>
    <row r="16" spans="1:18" ht="17.25" thickTop="1" thickBot="1" x14ac:dyDescent="0.3">
      <c r="A16" s="26" t="s">
        <v>14</v>
      </c>
      <c r="B16" s="27"/>
      <c r="C16" s="28">
        <f>SUM(C9:C15)</f>
        <v>1297857</v>
      </c>
      <c r="D16" s="28">
        <f>SUM(D9:D15)</f>
        <v>1167264</v>
      </c>
      <c r="E16" s="279">
        <f>(+C16-D16)/D16</f>
        <v>0.11187957480055925</v>
      </c>
      <c r="F16" s="28">
        <f>SUM(F9:F15)</f>
        <v>699980</v>
      </c>
      <c r="G16" s="28">
        <f>SUM(G9:G15)</f>
        <v>630270</v>
      </c>
      <c r="H16" s="30">
        <f>(+F16-G16)/G16</f>
        <v>0.11060339219699494</v>
      </c>
      <c r="I16" s="31">
        <f>K16/C16</f>
        <v>68.025747983021247</v>
      </c>
      <c r="J16" s="31">
        <f>K16/F16</f>
        <v>126.12887968227665</v>
      </c>
      <c r="K16" s="28">
        <f>SUM(K9:K15)</f>
        <v>88287693.200000003</v>
      </c>
      <c r="L16" s="28">
        <f>SUM(L9:L15)</f>
        <v>75379614.590000004</v>
      </c>
      <c r="M16" s="32">
        <f>(+K16-L16)/L16</f>
        <v>0.17124097383899875</v>
      </c>
      <c r="N16" s="10"/>
      <c r="R16" s="2"/>
    </row>
    <row r="17" spans="1:18" ht="15.75" customHeight="1" thickTop="1" x14ac:dyDescent="0.25">
      <c r="A17" s="15"/>
      <c r="B17" s="16"/>
      <c r="C17" s="16"/>
      <c r="D17" s="16"/>
      <c r="E17" s="17"/>
      <c r="F17" s="16"/>
      <c r="G17" s="16"/>
      <c r="H17" s="17"/>
      <c r="I17" s="16"/>
      <c r="J17" s="16"/>
      <c r="K17" s="195"/>
      <c r="L17" s="195"/>
      <c r="M17" s="18"/>
      <c r="N17" s="10"/>
      <c r="R17" s="2"/>
    </row>
    <row r="18" spans="1:18" ht="15.75" x14ac:dyDescent="0.25">
      <c r="A18" s="19" t="s">
        <v>15</v>
      </c>
      <c r="B18" s="20">
        <f>DATE(2021,7,1)</f>
        <v>44378</v>
      </c>
      <c r="C18" s="21">
        <v>116107</v>
      </c>
      <c r="D18" s="21">
        <v>79471</v>
      </c>
      <c r="E18" s="23">
        <f t="shared" ref="E18:E23" si="5">(+C18-D18)/D18</f>
        <v>0.46099835159995473</v>
      </c>
      <c r="F18" s="21">
        <f>+C18-56210</f>
        <v>59897</v>
      </c>
      <c r="G18" s="21">
        <f>+D18-38596</f>
        <v>40875</v>
      </c>
      <c r="H18" s="23">
        <f t="shared" ref="H18:H23" si="6">(+F18-G18)/G18</f>
        <v>0.46537003058103976</v>
      </c>
      <c r="I18" s="24">
        <f t="shared" ref="I18:I23" si="7">K18/C18</f>
        <v>69.409558855193922</v>
      </c>
      <c r="J18" s="24">
        <f t="shared" ref="J18:J23" si="8">K18/F18</f>
        <v>134.54656577124064</v>
      </c>
      <c r="K18" s="21">
        <v>8058935.6500000004</v>
      </c>
      <c r="L18" s="21">
        <v>5613318.0300000003</v>
      </c>
      <c r="M18" s="25">
        <f t="shared" ref="M18:M23" si="9">(+K18-L18)/L18</f>
        <v>0.43568128634963516</v>
      </c>
      <c r="N18" s="10"/>
      <c r="R18" s="2"/>
    </row>
    <row r="19" spans="1:18" ht="15.75" x14ac:dyDescent="0.25">
      <c r="A19" s="19"/>
      <c r="B19" s="20">
        <f>DATE(2021,8,1)</f>
        <v>44409</v>
      </c>
      <c r="C19" s="21">
        <v>103353</v>
      </c>
      <c r="D19" s="21">
        <v>88234</v>
      </c>
      <c r="E19" s="23">
        <f t="shared" si="5"/>
        <v>0.17135117981730399</v>
      </c>
      <c r="F19" s="21">
        <f>+C19-50446</f>
        <v>52907</v>
      </c>
      <c r="G19" s="21">
        <f>+D19-41802</f>
        <v>46432</v>
      </c>
      <c r="H19" s="23">
        <f t="shared" si="6"/>
        <v>0.13945124052377669</v>
      </c>
      <c r="I19" s="24">
        <f t="shared" si="7"/>
        <v>69.568823449730544</v>
      </c>
      <c r="J19" s="24">
        <f t="shared" si="8"/>
        <v>135.90161245203848</v>
      </c>
      <c r="K19" s="21">
        <v>7190146.6100000003</v>
      </c>
      <c r="L19" s="21">
        <v>5994552.2300000004</v>
      </c>
      <c r="M19" s="25">
        <f t="shared" si="9"/>
        <v>0.19944682006715952</v>
      </c>
      <c r="N19" s="10"/>
      <c r="R19" s="2"/>
    </row>
    <row r="20" spans="1:18" ht="15.75" x14ac:dyDescent="0.25">
      <c r="A20" s="19"/>
      <c r="B20" s="20">
        <f>DATE(2021,9,1)</f>
        <v>44440</v>
      </c>
      <c r="C20" s="21">
        <v>103596</v>
      </c>
      <c r="D20" s="21">
        <v>90948</v>
      </c>
      <c r="E20" s="23">
        <f t="shared" si="5"/>
        <v>0.13906847869112021</v>
      </c>
      <c r="F20" s="21">
        <f>+C20-49808</f>
        <v>53788</v>
      </c>
      <c r="G20" s="21">
        <f>+D20-42310</f>
        <v>48638</v>
      </c>
      <c r="H20" s="23">
        <f t="shared" si="6"/>
        <v>0.10588428800526338</v>
      </c>
      <c r="I20" s="24">
        <f t="shared" si="7"/>
        <v>73.648616838487982</v>
      </c>
      <c r="J20" s="24">
        <f t="shared" si="8"/>
        <v>141.84766323343499</v>
      </c>
      <c r="K20" s="21">
        <v>7629702.1100000003</v>
      </c>
      <c r="L20" s="21">
        <v>5908744.6600000001</v>
      </c>
      <c r="M20" s="25">
        <f t="shared" si="9"/>
        <v>0.29125601951464258</v>
      </c>
      <c r="N20" s="10"/>
      <c r="R20" s="2"/>
    </row>
    <row r="21" spans="1:18" ht="15.75" x14ac:dyDescent="0.25">
      <c r="A21" s="19"/>
      <c r="B21" s="20">
        <f>DATE(2021,10,1)</f>
        <v>44470</v>
      </c>
      <c r="C21" s="21">
        <v>110079</v>
      </c>
      <c r="D21" s="21">
        <v>87099</v>
      </c>
      <c r="E21" s="23">
        <f t="shared" si="5"/>
        <v>0.26383770192539524</v>
      </c>
      <c r="F21" s="21">
        <f>+C21-53226</f>
        <v>56853</v>
      </c>
      <c r="G21" s="21">
        <f>+D21-41806</f>
        <v>45293</v>
      </c>
      <c r="H21" s="23">
        <f t="shared" si="6"/>
        <v>0.25522707703177089</v>
      </c>
      <c r="I21" s="24">
        <f t="shared" si="7"/>
        <v>71.212890378728005</v>
      </c>
      <c r="J21" s="24">
        <f t="shared" si="8"/>
        <v>137.88267567234797</v>
      </c>
      <c r="K21" s="21">
        <v>7839043.7599999998</v>
      </c>
      <c r="L21" s="21">
        <v>5716409.8899999997</v>
      </c>
      <c r="M21" s="25">
        <f t="shared" si="9"/>
        <v>0.37132289511170802</v>
      </c>
      <c r="N21" s="10"/>
      <c r="R21" s="2"/>
    </row>
    <row r="22" spans="1:18" ht="15.75" x14ac:dyDescent="0.25">
      <c r="A22" s="19"/>
      <c r="B22" s="20">
        <f>DATE(2021,11,1)</f>
        <v>44501</v>
      </c>
      <c r="C22" s="21">
        <v>95314</v>
      </c>
      <c r="D22" s="21">
        <v>77783</v>
      </c>
      <c r="E22" s="23">
        <f t="shared" si="5"/>
        <v>0.22538343854055515</v>
      </c>
      <c r="F22" s="21">
        <f>+C22-46228</f>
        <v>49086</v>
      </c>
      <c r="G22" s="21">
        <f>+D22-37695</f>
        <v>40088</v>
      </c>
      <c r="H22" s="23">
        <f t="shared" si="6"/>
        <v>0.22445619636799041</v>
      </c>
      <c r="I22" s="24">
        <f t="shared" si="7"/>
        <v>71.301824915542312</v>
      </c>
      <c r="J22" s="24">
        <f t="shared" si="8"/>
        <v>138.45214806665851</v>
      </c>
      <c r="K22" s="21">
        <v>6796062.1399999997</v>
      </c>
      <c r="L22" s="21">
        <v>5349459.87</v>
      </c>
      <c r="M22" s="25">
        <f t="shared" si="9"/>
        <v>0.27042024898861416</v>
      </c>
      <c r="N22" s="10"/>
      <c r="R22" s="2"/>
    </row>
    <row r="23" spans="1:18" ht="15.75" x14ac:dyDescent="0.25">
      <c r="A23" s="19"/>
      <c r="B23" s="20">
        <f>DATE(2021,12,1)</f>
        <v>44531</v>
      </c>
      <c r="C23" s="21">
        <v>104270</v>
      </c>
      <c r="D23" s="21">
        <v>82439</v>
      </c>
      <c r="E23" s="23">
        <f t="shared" si="5"/>
        <v>0.26481398367277625</v>
      </c>
      <c r="F23" s="21">
        <f>+C23-50768</f>
        <v>53502</v>
      </c>
      <c r="G23" s="21">
        <f>+D23-39977</f>
        <v>42462</v>
      </c>
      <c r="H23" s="23">
        <f t="shared" si="6"/>
        <v>0.25999717394376148</v>
      </c>
      <c r="I23" s="24">
        <f t="shared" si="7"/>
        <v>70.856515776349866</v>
      </c>
      <c r="J23" s="24">
        <f t="shared" si="8"/>
        <v>138.09220029157788</v>
      </c>
      <c r="K23" s="21">
        <v>7388208.9000000004</v>
      </c>
      <c r="L23" s="21">
        <v>5764475.4900000002</v>
      </c>
      <c r="M23" s="25">
        <f t="shared" si="9"/>
        <v>0.28167929811078096</v>
      </c>
      <c r="N23" s="10"/>
      <c r="R23" s="2"/>
    </row>
    <row r="24" spans="1:18" ht="15.75" customHeight="1" thickBot="1" x14ac:dyDescent="0.3">
      <c r="A24" s="19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Top="1" thickBot="1" x14ac:dyDescent="0.3">
      <c r="A25" s="26" t="s">
        <v>14</v>
      </c>
      <c r="B25" s="27"/>
      <c r="C25" s="28">
        <f>SUM(C18:C24)</f>
        <v>632719</v>
      </c>
      <c r="D25" s="28">
        <f>SUM(D18:D24)</f>
        <v>505974</v>
      </c>
      <c r="E25" s="279">
        <f>(+C25-D25)/D25</f>
        <v>0.25049706111381215</v>
      </c>
      <c r="F25" s="28">
        <f>SUM(F18:F24)</f>
        <v>326033</v>
      </c>
      <c r="G25" s="28">
        <f>SUM(G18:G24)</f>
        <v>263788</v>
      </c>
      <c r="H25" s="30">
        <f>(+F25-G25)/G25</f>
        <v>0.23596600300241102</v>
      </c>
      <c r="I25" s="31">
        <f>K25/C25</f>
        <v>70.966889203580109</v>
      </c>
      <c r="J25" s="31">
        <f>K25/F25</f>
        <v>137.72255928080901</v>
      </c>
      <c r="K25" s="28">
        <f>SUM(K18:K24)</f>
        <v>44902099.170000002</v>
      </c>
      <c r="L25" s="28">
        <f>SUM(L18:L24)</f>
        <v>34346960.170000002</v>
      </c>
      <c r="M25" s="32">
        <f>(+K25-L25)/L25</f>
        <v>0.30730926253029162</v>
      </c>
      <c r="N25" s="10"/>
      <c r="R25" s="2"/>
    </row>
    <row r="26" spans="1:18" ht="15.75" customHeight="1" thickTop="1" x14ac:dyDescent="0.25">
      <c r="A26" s="33"/>
      <c r="B26" s="34"/>
      <c r="C26" s="35"/>
      <c r="D26" s="35"/>
      <c r="E26" s="29"/>
      <c r="F26" s="35"/>
      <c r="G26" s="35"/>
      <c r="H26" s="29"/>
      <c r="I26" s="36"/>
      <c r="J26" s="36"/>
      <c r="K26" s="35"/>
      <c r="L26" s="35"/>
      <c r="M26" s="37"/>
      <c r="N26" s="10"/>
      <c r="R26" s="2"/>
    </row>
    <row r="27" spans="1:18" ht="15.75" customHeight="1" x14ac:dyDescent="0.25">
      <c r="A27" s="19" t="s">
        <v>64</v>
      </c>
      <c r="B27" s="20">
        <f>DATE(2021,7,1)</f>
        <v>44378</v>
      </c>
      <c r="C27" s="21">
        <v>66837</v>
      </c>
      <c r="D27" s="21">
        <v>53105</v>
      </c>
      <c r="E27" s="23">
        <f t="shared" ref="E27:E32" si="10">(+C27-D27)/D27</f>
        <v>0.25858205442048771</v>
      </c>
      <c r="F27" s="21">
        <f>+C27-37212</f>
        <v>29625</v>
      </c>
      <c r="G27" s="21">
        <f>+D27-28880</f>
        <v>24225</v>
      </c>
      <c r="H27" s="23">
        <f t="shared" ref="H27:H32" si="11">(+F27-G27)/G27</f>
        <v>0.22291021671826625</v>
      </c>
      <c r="I27" s="24">
        <f t="shared" ref="I27:I32" si="12">K27/C27</f>
        <v>68.824348040755865</v>
      </c>
      <c r="J27" s="24">
        <f t="shared" ref="J27:J32" si="13">K27/F27</f>
        <v>155.27469873417724</v>
      </c>
      <c r="K27" s="21">
        <v>4600012.95</v>
      </c>
      <c r="L27" s="21">
        <v>3467756.6</v>
      </c>
      <c r="M27" s="25">
        <f t="shared" ref="M27:M32" si="14">(+K27-L27)/L27</f>
        <v>0.32650975273178057</v>
      </c>
      <c r="N27" s="10"/>
      <c r="R27" s="2"/>
    </row>
    <row r="28" spans="1:18" ht="15.75" customHeight="1" x14ac:dyDescent="0.25">
      <c r="A28" s="19"/>
      <c r="B28" s="20">
        <f>DATE(2021,8,1)</f>
        <v>44409</v>
      </c>
      <c r="C28" s="21">
        <v>56112</v>
      </c>
      <c r="D28" s="21">
        <v>52610</v>
      </c>
      <c r="E28" s="23">
        <f t="shared" si="10"/>
        <v>6.6565291769625543E-2</v>
      </c>
      <c r="F28" s="21">
        <f>+C28-31048</f>
        <v>25064</v>
      </c>
      <c r="G28" s="21">
        <f>+D28-28661</f>
        <v>23949</v>
      </c>
      <c r="H28" s="23">
        <f t="shared" si="11"/>
        <v>4.6557267526827845E-2</v>
      </c>
      <c r="I28" s="24">
        <f t="shared" si="12"/>
        <v>68.400653870829771</v>
      </c>
      <c r="J28" s="24">
        <f t="shared" si="13"/>
        <v>153.13188198212578</v>
      </c>
      <c r="K28" s="21">
        <v>3838097.49</v>
      </c>
      <c r="L28" s="21">
        <v>3296321</v>
      </c>
      <c r="M28" s="25">
        <f t="shared" si="14"/>
        <v>0.16435792812653871</v>
      </c>
      <c r="N28" s="10"/>
      <c r="R28" s="2"/>
    </row>
    <row r="29" spans="1:18" ht="15.75" customHeight="1" x14ac:dyDescent="0.25">
      <c r="A29" s="19"/>
      <c r="B29" s="20">
        <f>DATE(2021,9,1)</f>
        <v>44440</v>
      </c>
      <c r="C29" s="21">
        <v>58084</v>
      </c>
      <c r="D29" s="21">
        <v>50852</v>
      </c>
      <c r="E29" s="23">
        <f t="shared" si="10"/>
        <v>0.14221662864784079</v>
      </c>
      <c r="F29" s="21">
        <f>+C29-32339</f>
        <v>25745</v>
      </c>
      <c r="G29" s="21">
        <f>+D29-27986</f>
        <v>22866</v>
      </c>
      <c r="H29" s="23">
        <f t="shared" si="11"/>
        <v>0.12590746085891716</v>
      </c>
      <c r="I29" s="24">
        <f t="shared" si="12"/>
        <v>70.357005199366441</v>
      </c>
      <c r="J29" s="24">
        <f t="shared" si="13"/>
        <v>158.73436744999029</v>
      </c>
      <c r="K29" s="21">
        <v>4086616.29</v>
      </c>
      <c r="L29" s="21">
        <v>3100357.68</v>
      </c>
      <c r="M29" s="25">
        <f t="shared" si="14"/>
        <v>0.31811123483016962</v>
      </c>
      <c r="N29" s="10"/>
      <c r="R29" s="2"/>
    </row>
    <row r="30" spans="1:18" ht="15.75" customHeight="1" x14ac:dyDescent="0.25">
      <c r="A30" s="19"/>
      <c r="B30" s="20">
        <f>DATE(2021,10,1)</f>
        <v>44470</v>
      </c>
      <c r="C30" s="21">
        <v>57860</v>
      </c>
      <c r="D30" s="21">
        <v>51263</v>
      </c>
      <c r="E30" s="23">
        <f t="shared" si="10"/>
        <v>0.12868930807795095</v>
      </c>
      <c r="F30" s="21">
        <f>+C30-32287</f>
        <v>25573</v>
      </c>
      <c r="G30" s="21">
        <f>+D30-28269</f>
        <v>22994</v>
      </c>
      <c r="H30" s="23">
        <f t="shared" si="11"/>
        <v>0.11215969383317387</v>
      </c>
      <c r="I30" s="24">
        <f t="shared" si="12"/>
        <v>70.911935879709645</v>
      </c>
      <c r="J30" s="24">
        <f t="shared" si="13"/>
        <v>160.44127048058499</v>
      </c>
      <c r="K30" s="21">
        <v>4102964.61</v>
      </c>
      <c r="L30" s="21">
        <v>3378391.93</v>
      </c>
      <c r="M30" s="25">
        <f t="shared" si="14"/>
        <v>0.21447265297013648</v>
      </c>
      <c r="N30" s="10"/>
      <c r="R30" s="2"/>
    </row>
    <row r="31" spans="1:18" ht="15.75" customHeight="1" x14ac:dyDescent="0.25">
      <c r="A31" s="19"/>
      <c r="B31" s="20">
        <f>DATE(2021,11,1)</f>
        <v>44501</v>
      </c>
      <c r="C31" s="21">
        <v>51753</v>
      </c>
      <c r="D31" s="21">
        <v>45747</v>
      </c>
      <c r="E31" s="23">
        <f t="shared" si="10"/>
        <v>0.13128729752770674</v>
      </c>
      <c r="F31" s="21">
        <f>+C31-28958</f>
        <v>22795</v>
      </c>
      <c r="G31" s="21">
        <f>+D31-25343</f>
        <v>20404</v>
      </c>
      <c r="H31" s="23">
        <f t="shared" si="11"/>
        <v>0.11718290531268379</v>
      </c>
      <c r="I31" s="24">
        <f t="shared" si="12"/>
        <v>71.423434003825861</v>
      </c>
      <c r="J31" s="24">
        <f t="shared" si="13"/>
        <v>162.15735819258609</v>
      </c>
      <c r="K31" s="21">
        <v>3696376.98</v>
      </c>
      <c r="L31" s="21">
        <v>3048022.62</v>
      </c>
      <c r="M31" s="25">
        <f t="shared" si="14"/>
        <v>0.21271310644013522</v>
      </c>
      <c r="N31" s="10"/>
      <c r="R31" s="2"/>
    </row>
    <row r="32" spans="1:18" ht="15.75" customHeight="1" x14ac:dyDescent="0.25">
      <c r="A32" s="19"/>
      <c r="B32" s="20">
        <f>DATE(2021,12,1)</f>
        <v>44531</v>
      </c>
      <c r="C32" s="21">
        <v>57109</v>
      </c>
      <c r="D32" s="21">
        <v>50018</v>
      </c>
      <c r="E32" s="23">
        <f t="shared" si="10"/>
        <v>0.14176896317325763</v>
      </c>
      <c r="F32" s="21">
        <f>+C32-32118</f>
        <v>24991</v>
      </c>
      <c r="G32" s="21">
        <f>+D32-28141</f>
        <v>21877</v>
      </c>
      <c r="H32" s="23">
        <f t="shared" si="11"/>
        <v>0.14234127165516294</v>
      </c>
      <c r="I32" s="24">
        <f t="shared" si="12"/>
        <v>68.902578577807347</v>
      </c>
      <c r="J32" s="24">
        <f t="shared" si="13"/>
        <v>157.45497819214916</v>
      </c>
      <c r="K32" s="21">
        <v>3934957.36</v>
      </c>
      <c r="L32" s="21">
        <v>3361201.53</v>
      </c>
      <c r="M32" s="25">
        <f t="shared" si="14"/>
        <v>0.17069962181053752</v>
      </c>
      <c r="N32" s="10"/>
      <c r="R32" s="2"/>
    </row>
    <row r="33" spans="1:18" ht="15.75" customHeight="1" thickBot="1" x14ac:dyDescent="0.25">
      <c r="A33" s="38"/>
      <c r="B33" s="20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7.25" customHeight="1" thickTop="1" thickBot="1" x14ac:dyDescent="0.3">
      <c r="A34" s="39" t="s">
        <v>14</v>
      </c>
      <c r="B34" s="40"/>
      <c r="C34" s="41">
        <f>SUM(C27:C33)</f>
        <v>347755</v>
      </c>
      <c r="D34" s="41">
        <f>SUM(D27:D33)</f>
        <v>303595</v>
      </c>
      <c r="E34" s="280">
        <f>(+C34-D34)/D34</f>
        <v>0.14545694099046427</v>
      </c>
      <c r="F34" s="41">
        <f>SUM(F27:F33)</f>
        <v>153793</v>
      </c>
      <c r="G34" s="41">
        <f>SUM(G27:G33)</f>
        <v>136315</v>
      </c>
      <c r="H34" s="42">
        <f>(+F34-G34)/G34</f>
        <v>0.12821773099072004</v>
      </c>
      <c r="I34" s="43">
        <f>K34/C34</f>
        <v>69.758955816595019</v>
      </c>
      <c r="J34" s="43">
        <f>K34/F34</f>
        <v>157.73816545616509</v>
      </c>
      <c r="K34" s="41">
        <f>SUM(K27:K33)</f>
        <v>24259025.68</v>
      </c>
      <c r="L34" s="41">
        <f>SUM(L27:L33)</f>
        <v>19652051.359999999</v>
      </c>
      <c r="M34" s="44">
        <f>(+K34-L34)/L34</f>
        <v>0.23442714633735826</v>
      </c>
      <c r="N34" s="10"/>
      <c r="R34" s="2"/>
    </row>
    <row r="35" spans="1:18" ht="15.75" customHeight="1" thickTop="1" x14ac:dyDescent="0.2">
      <c r="A35" s="38"/>
      <c r="B35" s="45"/>
      <c r="C35" s="21"/>
      <c r="D35" s="21"/>
      <c r="E35" s="23"/>
      <c r="F35" s="21"/>
      <c r="G35" s="21"/>
      <c r="H35" s="23"/>
      <c r="I35" s="24"/>
      <c r="J35" s="24"/>
      <c r="K35" s="21"/>
      <c r="L35" s="21"/>
      <c r="M35" s="25"/>
      <c r="N35" s="10"/>
      <c r="R35" s="2"/>
    </row>
    <row r="36" spans="1:18" ht="15.75" customHeight="1" x14ac:dyDescent="0.25">
      <c r="A36" s="177" t="s">
        <v>59</v>
      </c>
      <c r="B36" s="20">
        <f>DATE(2021,7,1)</f>
        <v>44378</v>
      </c>
      <c r="C36" s="21">
        <v>337225</v>
      </c>
      <c r="D36" s="21">
        <v>226236</v>
      </c>
      <c r="E36" s="23">
        <f t="shared" ref="E36:E41" si="15">(+C36-D36)/D36</f>
        <v>0.49058947293976202</v>
      </c>
      <c r="F36" s="21">
        <f>+C36-176904</f>
        <v>160321</v>
      </c>
      <c r="G36" s="21">
        <f>+D36-121061</f>
        <v>105175</v>
      </c>
      <c r="H36" s="23">
        <f t="shared" ref="H36:H41" si="16">(+F36-G36)/G36</f>
        <v>0.52432612312811977</v>
      </c>
      <c r="I36" s="24">
        <f t="shared" ref="I36:I41" si="17">K36/C36</f>
        <v>57.210146252502042</v>
      </c>
      <c r="J36" s="24">
        <f t="shared" ref="J36:J41" si="18">K36/F36</f>
        <v>120.33789441183626</v>
      </c>
      <c r="K36" s="21">
        <v>19292691.57</v>
      </c>
      <c r="L36" s="21">
        <v>14578930.949999999</v>
      </c>
      <c r="M36" s="25">
        <f t="shared" ref="M36:M41" si="19">(+K36-L36)/L36</f>
        <v>0.32332690484414439</v>
      </c>
      <c r="N36" s="10"/>
      <c r="R36" s="2"/>
    </row>
    <row r="37" spans="1:18" ht="15.75" customHeight="1" x14ac:dyDescent="0.25">
      <c r="A37" s="177"/>
      <c r="B37" s="20">
        <f>DATE(2021,8,1)</f>
        <v>44409</v>
      </c>
      <c r="C37" s="21">
        <v>302300</v>
      </c>
      <c r="D37" s="21">
        <v>248866</v>
      </c>
      <c r="E37" s="23">
        <f t="shared" si="15"/>
        <v>0.21470992421624488</v>
      </c>
      <c r="F37" s="21">
        <f>+C37-157033</f>
        <v>145267</v>
      </c>
      <c r="G37" s="21">
        <f>+D37-132898</f>
        <v>115968</v>
      </c>
      <c r="H37" s="23">
        <f t="shared" si="16"/>
        <v>0.25264728200883002</v>
      </c>
      <c r="I37" s="24">
        <f t="shared" si="17"/>
        <v>58.274154581541517</v>
      </c>
      <c r="J37" s="24">
        <f t="shared" si="18"/>
        <v>121.26826416185369</v>
      </c>
      <c r="K37" s="21">
        <v>17616276.93</v>
      </c>
      <c r="L37" s="21">
        <v>15099078.17</v>
      </c>
      <c r="M37" s="25">
        <f t="shared" si="19"/>
        <v>0.16671208213236238</v>
      </c>
      <c r="N37" s="10"/>
      <c r="R37" s="2"/>
    </row>
    <row r="38" spans="1:18" ht="15.75" customHeight="1" x14ac:dyDescent="0.25">
      <c r="A38" s="177"/>
      <c r="B38" s="20">
        <f>DATE(2021,9,1)</f>
        <v>44440</v>
      </c>
      <c r="C38" s="21">
        <v>336142</v>
      </c>
      <c r="D38" s="21">
        <v>249571</v>
      </c>
      <c r="E38" s="23">
        <f t="shared" si="15"/>
        <v>0.34687924478404941</v>
      </c>
      <c r="F38" s="21">
        <f>+C38-171648</f>
        <v>164494</v>
      </c>
      <c r="G38" s="21">
        <f>+D38-130815</f>
        <v>118756</v>
      </c>
      <c r="H38" s="23">
        <f t="shared" si="16"/>
        <v>0.38514264542423121</v>
      </c>
      <c r="I38" s="24">
        <f t="shared" si="17"/>
        <v>57.682278977336964</v>
      </c>
      <c r="J38" s="24">
        <f t="shared" si="18"/>
        <v>117.87321495008938</v>
      </c>
      <c r="K38" s="21">
        <v>19389436.620000001</v>
      </c>
      <c r="L38" s="21">
        <v>14932529.18</v>
      </c>
      <c r="M38" s="25">
        <f t="shared" si="19"/>
        <v>0.29846969567415249</v>
      </c>
      <c r="N38" s="10"/>
      <c r="R38" s="2"/>
    </row>
    <row r="39" spans="1:18" ht="15.75" customHeight="1" x14ac:dyDescent="0.25">
      <c r="A39" s="177"/>
      <c r="B39" s="20">
        <f>DATE(2021,10,1)</f>
        <v>44470</v>
      </c>
      <c r="C39" s="21">
        <v>333807</v>
      </c>
      <c r="D39" s="21">
        <v>272084</v>
      </c>
      <c r="E39" s="23">
        <f t="shared" si="15"/>
        <v>0.22685273665485658</v>
      </c>
      <c r="F39" s="21">
        <f>+C39-175822</f>
        <v>157985</v>
      </c>
      <c r="G39" s="21">
        <f>+D39-143559</f>
        <v>128525</v>
      </c>
      <c r="H39" s="23">
        <f t="shared" si="16"/>
        <v>0.22921610581598911</v>
      </c>
      <c r="I39" s="24">
        <f t="shared" si="17"/>
        <v>57.441650354845763</v>
      </c>
      <c r="J39" s="24">
        <f t="shared" si="18"/>
        <v>121.36864246605691</v>
      </c>
      <c r="K39" s="21">
        <v>19174424.98</v>
      </c>
      <c r="L39" s="21">
        <v>15864682.439999999</v>
      </c>
      <c r="M39" s="25">
        <f t="shared" si="19"/>
        <v>0.20862330856715219</v>
      </c>
      <c r="N39" s="10"/>
      <c r="R39" s="2"/>
    </row>
    <row r="40" spans="1:18" ht="15.75" customHeight="1" x14ac:dyDescent="0.25">
      <c r="A40" s="177"/>
      <c r="B40" s="20">
        <f>DATE(2021,11,1)</f>
        <v>44501</v>
      </c>
      <c r="C40" s="21">
        <v>303436</v>
      </c>
      <c r="D40" s="21">
        <v>232899</v>
      </c>
      <c r="E40" s="23">
        <f t="shared" si="15"/>
        <v>0.30286519049029836</v>
      </c>
      <c r="F40" s="21">
        <f>+C40-164494</f>
        <v>138942</v>
      </c>
      <c r="G40" s="21">
        <f>+D40-123557</f>
        <v>109342</v>
      </c>
      <c r="H40" s="23">
        <f t="shared" si="16"/>
        <v>0.27071024857785664</v>
      </c>
      <c r="I40" s="24">
        <f t="shared" si="17"/>
        <v>62.070287111614974</v>
      </c>
      <c r="J40" s="24">
        <f t="shared" si="18"/>
        <v>135.55555296454637</v>
      </c>
      <c r="K40" s="21">
        <v>18834359.640000001</v>
      </c>
      <c r="L40" s="21">
        <v>13569514.189999999</v>
      </c>
      <c r="M40" s="25">
        <f t="shared" si="19"/>
        <v>0.38799071037339777</v>
      </c>
      <c r="N40" s="10"/>
      <c r="R40" s="2"/>
    </row>
    <row r="41" spans="1:18" ht="15.75" customHeight="1" x14ac:dyDescent="0.25">
      <c r="A41" s="177"/>
      <c r="B41" s="20">
        <f>DATE(2021,12,1)</f>
        <v>44531</v>
      </c>
      <c r="C41" s="21">
        <v>313897</v>
      </c>
      <c r="D41" s="21">
        <v>226657</v>
      </c>
      <c r="E41" s="23">
        <f t="shared" si="15"/>
        <v>0.38489876774156545</v>
      </c>
      <c r="F41" s="21">
        <f>+C41-163677</f>
        <v>150220</v>
      </c>
      <c r="G41" s="21">
        <f>+D41-116839</f>
        <v>109818</v>
      </c>
      <c r="H41" s="23">
        <f t="shared" si="16"/>
        <v>0.36789961572784063</v>
      </c>
      <c r="I41" s="24">
        <f t="shared" si="17"/>
        <v>64.836987037149129</v>
      </c>
      <c r="J41" s="24">
        <f t="shared" si="18"/>
        <v>135.48219757688722</v>
      </c>
      <c r="K41" s="21">
        <v>20352135.719999999</v>
      </c>
      <c r="L41" s="21">
        <v>14713281.02</v>
      </c>
      <c r="M41" s="25">
        <f t="shared" si="19"/>
        <v>0.38324930328830215</v>
      </c>
      <c r="N41" s="10"/>
      <c r="R41" s="2"/>
    </row>
    <row r="42" spans="1:18" ht="15.75" thickBot="1" x14ac:dyDescent="0.25">
      <c r="A42" s="38"/>
      <c r="B42" s="45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thickTop="1" thickBot="1" x14ac:dyDescent="0.3">
      <c r="A43" s="39" t="s">
        <v>14</v>
      </c>
      <c r="B43" s="40"/>
      <c r="C43" s="41">
        <f>SUM(C36:C42)</f>
        <v>1926807</v>
      </c>
      <c r="D43" s="41">
        <f>SUM(D36:D42)</f>
        <v>1456313</v>
      </c>
      <c r="E43" s="280">
        <f>(+C43-D43)/D43</f>
        <v>0.32307203190522915</v>
      </c>
      <c r="F43" s="41">
        <f>SUM(F36:F42)</f>
        <v>917229</v>
      </c>
      <c r="G43" s="41">
        <f>SUM(G36:G42)</f>
        <v>687584</v>
      </c>
      <c r="H43" s="42">
        <f>(+F43-G43)/G43</f>
        <v>0.33398828361334759</v>
      </c>
      <c r="I43" s="43">
        <f>K43/C43</f>
        <v>59.507426254938878</v>
      </c>
      <c r="J43" s="43">
        <f>K43/F43</f>
        <v>125.00621487109545</v>
      </c>
      <c r="K43" s="41">
        <f>SUM(K36:K42)</f>
        <v>114659325.46000001</v>
      </c>
      <c r="L43" s="41">
        <f>SUM(L36:L42)</f>
        <v>88758015.949999988</v>
      </c>
      <c r="M43" s="44">
        <f>(+K43-L43)/L43</f>
        <v>0.2918193836666087</v>
      </c>
      <c r="N43" s="10"/>
      <c r="R43" s="2"/>
    </row>
    <row r="44" spans="1:18" ht="15.75" thickTop="1" x14ac:dyDescent="0.2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x14ac:dyDescent="0.25">
      <c r="A45" s="19" t="s">
        <v>62</v>
      </c>
      <c r="B45" s="20">
        <f>DATE(2021,7,1)</f>
        <v>44378</v>
      </c>
      <c r="C45" s="21">
        <v>256229</v>
      </c>
      <c r="D45" s="21">
        <v>260785</v>
      </c>
      <c r="E45" s="23">
        <f t="shared" ref="E45:E50" si="20">(+C45-D45)/D45</f>
        <v>-1.7470329965297085E-2</v>
      </c>
      <c r="F45" s="21">
        <f>+C45-120621</f>
        <v>135608</v>
      </c>
      <c r="G45" s="21">
        <f>+D45-121006</f>
        <v>139779</v>
      </c>
      <c r="H45" s="23">
        <f t="shared" ref="H45:H50" si="21">(+F45-G45)/G45</f>
        <v>-2.9839961653753425E-2</v>
      </c>
      <c r="I45" s="24">
        <f t="shared" ref="I45:I50" si="22">K45/C45</f>
        <v>63.268857818591961</v>
      </c>
      <c r="J45" s="24">
        <f t="shared" ref="J45:J50" si="23">K45/F45</f>
        <v>119.54542630228305</v>
      </c>
      <c r="K45" s="21">
        <v>16211316.17</v>
      </c>
      <c r="L45" s="21">
        <v>15798872.49</v>
      </c>
      <c r="M45" s="25">
        <f t="shared" ref="M45:M50" si="24">(+K45-L45)/L45</f>
        <v>2.610589333264501E-2</v>
      </c>
      <c r="N45" s="10"/>
      <c r="R45" s="2"/>
    </row>
    <row r="46" spans="1:18" ht="15.75" x14ac:dyDescent="0.25">
      <c r="A46" s="19"/>
      <c r="B46" s="20">
        <f>DATE(2021,8,1)</f>
        <v>44409</v>
      </c>
      <c r="C46" s="21">
        <v>232853</v>
      </c>
      <c r="D46" s="21">
        <v>267898</v>
      </c>
      <c r="E46" s="23">
        <f t="shared" si="20"/>
        <v>-0.13081471306243422</v>
      </c>
      <c r="F46" s="21">
        <f>+C46-112411</f>
        <v>120442</v>
      </c>
      <c r="G46" s="21">
        <f>+D46-127416</f>
        <v>140482</v>
      </c>
      <c r="H46" s="23">
        <f t="shared" si="21"/>
        <v>-0.14265172762346778</v>
      </c>
      <c r="I46" s="24">
        <f t="shared" si="22"/>
        <v>57.49918424929033</v>
      </c>
      <c r="J46" s="24">
        <f t="shared" si="23"/>
        <v>111.16435753308647</v>
      </c>
      <c r="K46" s="21">
        <v>13388857.550000001</v>
      </c>
      <c r="L46" s="21">
        <v>15592345.880000001</v>
      </c>
      <c r="M46" s="25">
        <f t="shared" si="24"/>
        <v>-0.14131858970793945</v>
      </c>
      <c r="N46" s="10"/>
      <c r="R46" s="2"/>
    </row>
    <row r="47" spans="1:18" ht="15.75" x14ac:dyDescent="0.25">
      <c r="A47" s="19"/>
      <c r="B47" s="20">
        <f>DATE(2021,9,1)</f>
        <v>44440</v>
      </c>
      <c r="C47" s="21">
        <v>224419</v>
      </c>
      <c r="D47" s="21">
        <v>245708</v>
      </c>
      <c r="E47" s="23">
        <f t="shared" si="20"/>
        <v>-8.6643495531281034E-2</v>
      </c>
      <c r="F47" s="21">
        <f>+C47-105923</f>
        <v>118496</v>
      </c>
      <c r="G47" s="21">
        <f>+D47-116526</f>
        <v>129182</v>
      </c>
      <c r="H47" s="23">
        <f t="shared" si="21"/>
        <v>-8.2720502856435105E-2</v>
      </c>
      <c r="I47" s="24">
        <f t="shared" si="22"/>
        <v>64.566015711682169</v>
      </c>
      <c r="J47" s="24">
        <f t="shared" si="23"/>
        <v>122.28126417769376</v>
      </c>
      <c r="K47" s="21">
        <v>14489840.68</v>
      </c>
      <c r="L47" s="21">
        <v>14701173.800000001</v>
      </c>
      <c r="M47" s="25">
        <f t="shared" si="24"/>
        <v>-1.4375254852099024E-2</v>
      </c>
      <c r="N47" s="10"/>
      <c r="R47" s="2"/>
    </row>
    <row r="48" spans="1:18" ht="15.75" x14ac:dyDescent="0.25">
      <c r="A48" s="19"/>
      <c r="B48" s="20">
        <f>DATE(2021,10,1)</f>
        <v>44470</v>
      </c>
      <c r="C48" s="21">
        <v>231892</v>
      </c>
      <c r="D48" s="21">
        <v>252286</v>
      </c>
      <c r="E48" s="23">
        <f t="shared" si="20"/>
        <v>-8.0836828044362347E-2</v>
      </c>
      <c r="F48" s="21">
        <f>+C48-109202</f>
        <v>122690</v>
      </c>
      <c r="G48" s="21">
        <f>+D48-116651</f>
        <v>135635</v>
      </c>
      <c r="H48" s="23">
        <f t="shared" si="21"/>
        <v>-9.5439967559995578E-2</v>
      </c>
      <c r="I48" s="24">
        <f t="shared" si="22"/>
        <v>64.297012272954646</v>
      </c>
      <c r="J48" s="24">
        <f t="shared" si="23"/>
        <v>121.52549327573558</v>
      </c>
      <c r="K48" s="21">
        <v>14909962.77</v>
      </c>
      <c r="L48" s="21">
        <v>14952748.380000001</v>
      </c>
      <c r="M48" s="25">
        <f t="shared" si="24"/>
        <v>-2.8613876802226551E-3</v>
      </c>
      <c r="N48" s="10"/>
      <c r="R48" s="2"/>
    </row>
    <row r="49" spans="1:18" ht="15.75" x14ac:dyDescent="0.25">
      <c r="A49" s="19"/>
      <c r="B49" s="20">
        <f>DATE(2021,11,1)</f>
        <v>44501</v>
      </c>
      <c r="C49" s="21">
        <v>219677</v>
      </c>
      <c r="D49" s="21">
        <v>229647</v>
      </c>
      <c r="E49" s="23">
        <f t="shared" si="20"/>
        <v>-4.3414457841818098E-2</v>
      </c>
      <c r="F49" s="21">
        <f>+C49-102367</f>
        <v>117310</v>
      </c>
      <c r="G49" s="21">
        <f>+D49-106423</f>
        <v>123224</v>
      </c>
      <c r="H49" s="23">
        <f t="shared" si="21"/>
        <v>-4.7993897292735184E-2</v>
      </c>
      <c r="I49" s="24">
        <f t="shared" si="22"/>
        <v>68.640731255434119</v>
      </c>
      <c r="J49" s="24">
        <f t="shared" si="23"/>
        <v>128.53797562015174</v>
      </c>
      <c r="K49" s="21">
        <v>15078789.92</v>
      </c>
      <c r="L49" s="21">
        <v>12504979.640000001</v>
      </c>
      <c r="M49" s="25">
        <f t="shared" si="24"/>
        <v>0.20582282851281788</v>
      </c>
      <c r="N49" s="10"/>
      <c r="R49" s="2"/>
    </row>
    <row r="50" spans="1:18" ht="15.75" x14ac:dyDescent="0.25">
      <c r="A50" s="19"/>
      <c r="B50" s="20">
        <f>DATE(2021,12,1)</f>
        <v>44531</v>
      </c>
      <c r="C50" s="21">
        <v>233380</v>
      </c>
      <c r="D50" s="21">
        <v>237315</v>
      </c>
      <c r="E50" s="23">
        <f t="shared" si="20"/>
        <v>-1.6581337041484945E-2</v>
      </c>
      <c r="F50" s="21">
        <f>+C50-110272</f>
        <v>123108</v>
      </c>
      <c r="G50" s="21">
        <f>+D50-109898</f>
        <v>127417</v>
      </c>
      <c r="H50" s="23">
        <f t="shared" si="21"/>
        <v>-3.3818093347041604E-2</v>
      </c>
      <c r="I50" s="24">
        <f t="shared" si="22"/>
        <v>63.510331647956122</v>
      </c>
      <c r="J50" s="24">
        <f t="shared" si="23"/>
        <v>120.39868408226923</v>
      </c>
      <c r="K50" s="21">
        <v>14822041.199999999</v>
      </c>
      <c r="L50" s="21">
        <v>13196453.23</v>
      </c>
      <c r="M50" s="25">
        <f t="shared" si="24"/>
        <v>0.1231837025955192</v>
      </c>
      <c r="N50" s="10"/>
      <c r="R50" s="2"/>
    </row>
    <row r="51" spans="1:18" ht="15.75" thickBot="1" x14ac:dyDescent="0.25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Top="1" thickBot="1" x14ac:dyDescent="0.3">
      <c r="A52" s="39" t="s">
        <v>14</v>
      </c>
      <c r="B52" s="40"/>
      <c r="C52" s="41">
        <f>SUM(C45:C51)</f>
        <v>1398450</v>
      </c>
      <c r="D52" s="41">
        <f>SUM(D45:D51)</f>
        <v>1493639</v>
      </c>
      <c r="E52" s="281">
        <f>(+C52-D52)/D52</f>
        <v>-6.3729589278266038E-2</v>
      </c>
      <c r="F52" s="47">
        <f>SUM(F45:F51)</f>
        <v>737654</v>
      </c>
      <c r="G52" s="48">
        <f>SUM(G45:G51)</f>
        <v>795719</v>
      </c>
      <c r="H52" s="49">
        <f>(+F52-G52)/G52</f>
        <v>-7.297174002380237E-2</v>
      </c>
      <c r="I52" s="50">
        <f>K52/C52</f>
        <v>63.57095948371412</v>
      </c>
      <c r="J52" s="51">
        <f>K52/F52</f>
        <v>120.51830301198123</v>
      </c>
      <c r="K52" s="48">
        <f>SUM(K45:K51)</f>
        <v>88900808.290000007</v>
      </c>
      <c r="L52" s="47">
        <f>SUM(L45:L51)</f>
        <v>86746573.420000002</v>
      </c>
      <c r="M52" s="44">
        <f>(+K52-L52)/L52</f>
        <v>2.4833659533384306E-2</v>
      </c>
      <c r="N52" s="10"/>
      <c r="R52" s="2"/>
    </row>
    <row r="53" spans="1:18" ht="15.75" customHeight="1" thickTop="1" x14ac:dyDescent="0.25">
      <c r="A53" s="273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x14ac:dyDescent="0.25">
      <c r="A54" s="274" t="s">
        <v>63</v>
      </c>
      <c r="B54" s="20">
        <f>DATE(2021,7,1)</f>
        <v>44378</v>
      </c>
      <c r="C54" s="21">
        <v>104293</v>
      </c>
      <c r="D54" s="21">
        <v>75978</v>
      </c>
      <c r="E54" s="23">
        <f t="shared" ref="E54:E59" si="25">(+C54-D54)/D54</f>
        <v>0.37267366869356922</v>
      </c>
      <c r="F54" s="21">
        <f>+C54-51816</f>
        <v>52477</v>
      </c>
      <c r="G54" s="21">
        <f>+D54-36462</f>
        <v>39516</v>
      </c>
      <c r="H54" s="23">
        <f t="shared" ref="H54:H59" si="26">(+F54-G54)/G54</f>
        <v>0.3279937240611398</v>
      </c>
      <c r="I54" s="24">
        <f t="shared" ref="I54:I59" si="27">K54/C54</f>
        <v>62.066719147018496</v>
      </c>
      <c r="J54" s="24">
        <f t="shared" ref="J54:J59" si="28">K54/F54</f>
        <v>123.35164624502163</v>
      </c>
      <c r="K54" s="21">
        <v>6473124.3399999999</v>
      </c>
      <c r="L54" s="21">
        <v>5007129.57</v>
      </c>
      <c r="M54" s="25">
        <f t="shared" ref="M54:M59" si="29">(+K54-L54)/L54</f>
        <v>0.29278147279899519</v>
      </c>
      <c r="N54" s="10"/>
      <c r="R54" s="2"/>
    </row>
    <row r="55" spans="1:18" ht="15.75" x14ac:dyDescent="0.25">
      <c r="A55" s="274"/>
      <c r="B55" s="20">
        <f>DATE(2021,8,1)</f>
        <v>44409</v>
      </c>
      <c r="C55" s="21">
        <v>93122</v>
      </c>
      <c r="D55" s="21">
        <v>75051</v>
      </c>
      <c r="E55" s="23">
        <f t="shared" si="25"/>
        <v>0.24078293427136213</v>
      </c>
      <c r="F55" s="21">
        <f>+C55-46288</f>
        <v>46834</v>
      </c>
      <c r="G55" s="21">
        <f>+D55-37094</f>
        <v>37957</v>
      </c>
      <c r="H55" s="23">
        <f t="shared" si="26"/>
        <v>0.23386990541929026</v>
      </c>
      <c r="I55" s="24">
        <f t="shared" si="27"/>
        <v>62.998181632696891</v>
      </c>
      <c r="J55" s="24">
        <f t="shared" si="28"/>
        <v>125.2619180509886</v>
      </c>
      <c r="K55" s="21">
        <v>5866516.6699999999</v>
      </c>
      <c r="L55" s="21">
        <v>4962926.8</v>
      </c>
      <c r="M55" s="25">
        <f t="shared" si="29"/>
        <v>0.18206794224730458</v>
      </c>
      <c r="N55" s="10"/>
      <c r="R55" s="2"/>
    </row>
    <row r="56" spans="1:18" ht="15.75" x14ac:dyDescent="0.25">
      <c r="A56" s="274"/>
      <c r="B56" s="20">
        <f>DATE(2021,9,1)</f>
        <v>44440</v>
      </c>
      <c r="C56" s="21">
        <v>92204</v>
      </c>
      <c r="D56" s="21">
        <v>76058</v>
      </c>
      <c r="E56" s="23">
        <f t="shared" si="25"/>
        <v>0.21228536117173735</v>
      </c>
      <c r="F56" s="21">
        <f>+C56-46055</f>
        <v>46149</v>
      </c>
      <c r="G56" s="21">
        <f>+D56-37383</f>
        <v>38675</v>
      </c>
      <c r="H56" s="23">
        <f t="shared" si="26"/>
        <v>0.19325145442792502</v>
      </c>
      <c r="I56" s="24">
        <f t="shared" si="27"/>
        <v>64.955611036397556</v>
      </c>
      <c r="J56" s="24">
        <f t="shared" si="28"/>
        <v>129.7789152527682</v>
      </c>
      <c r="K56" s="21">
        <v>5989167.1600000001</v>
      </c>
      <c r="L56" s="21">
        <v>4981639.0599999996</v>
      </c>
      <c r="M56" s="25">
        <f t="shared" si="29"/>
        <v>0.20224831383107081</v>
      </c>
      <c r="N56" s="10"/>
      <c r="R56" s="2"/>
    </row>
    <row r="57" spans="1:18" ht="15.75" x14ac:dyDescent="0.25">
      <c r="A57" s="274"/>
      <c r="B57" s="20">
        <f>DATE(2021,10,1)</f>
        <v>44470</v>
      </c>
      <c r="C57" s="21">
        <v>93325</v>
      </c>
      <c r="D57" s="21">
        <v>79279</v>
      </c>
      <c r="E57" s="23">
        <f t="shared" si="25"/>
        <v>0.17717176049142899</v>
      </c>
      <c r="F57" s="21">
        <f>+C57-46461</f>
        <v>46864</v>
      </c>
      <c r="G57" s="21">
        <f>+D57-39288</f>
        <v>39991</v>
      </c>
      <c r="H57" s="23">
        <f t="shared" si="26"/>
        <v>0.17186366932559827</v>
      </c>
      <c r="I57" s="24">
        <f t="shared" si="27"/>
        <v>61.770488186445213</v>
      </c>
      <c r="J57" s="24">
        <f t="shared" si="28"/>
        <v>123.0097902441106</v>
      </c>
      <c r="K57" s="21">
        <v>5764730.8099999996</v>
      </c>
      <c r="L57" s="21">
        <v>4994174.3899999997</v>
      </c>
      <c r="M57" s="25">
        <f t="shared" si="29"/>
        <v>0.15429105189897063</v>
      </c>
      <c r="N57" s="10"/>
      <c r="R57" s="2"/>
    </row>
    <row r="58" spans="1:18" ht="15.75" x14ac:dyDescent="0.25">
      <c r="A58" s="274"/>
      <c r="B58" s="20">
        <f>DATE(2021,11,1)</f>
        <v>44501</v>
      </c>
      <c r="C58" s="21">
        <v>87600</v>
      </c>
      <c r="D58" s="21">
        <v>73436</v>
      </c>
      <c r="E58" s="23">
        <f t="shared" si="25"/>
        <v>0.19287542894493165</v>
      </c>
      <c r="F58" s="21">
        <f>+C58-43575</f>
        <v>44025</v>
      </c>
      <c r="G58" s="21">
        <f>+D58-36298</f>
        <v>37138</v>
      </c>
      <c r="H58" s="23">
        <f t="shared" si="26"/>
        <v>0.18544348107060155</v>
      </c>
      <c r="I58" s="24">
        <f t="shared" si="27"/>
        <v>64.904013127853872</v>
      </c>
      <c r="J58" s="24">
        <f t="shared" si="28"/>
        <v>129.14461215218626</v>
      </c>
      <c r="K58" s="21">
        <v>5685591.5499999998</v>
      </c>
      <c r="L58" s="21">
        <v>4495841.55</v>
      </c>
      <c r="M58" s="25">
        <f t="shared" si="29"/>
        <v>0.26463343664769501</v>
      </c>
      <c r="N58" s="10"/>
      <c r="R58" s="2"/>
    </row>
    <row r="59" spans="1:18" ht="15.75" x14ac:dyDescent="0.25">
      <c r="A59" s="274"/>
      <c r="B59" s="20">
        <f>DATE(2021,12,1)</f>
        <v>44531</v>
      </c>
      <c r="C59" s="21">
        <v>97815</v>
      </c>
      <c r="D59" s="21">
        <v>90053</v>
      </c>
      <c r="E59" s="23">
        <f t="shared" si="25"/>
        <v>8.619368594050171E-2</v>
      </c>
      <c r="F59" s="21">
        <f>+C59-49840</f>
        <v>47975</v>
      </c>
      <c r="G59" s="21">
        <f>+D59-45539</f>
        <v>44514</v>
      </c>
      <c r="H59" s="23">
        <f t="shared" si="26"/>
        <v>7.7750819966752038E-2</v>
      </c>
      <c r="I59" s="24">
        <f t="shared" si="27"/>
        <v>64.46978367326075</v>
      </c>
      <c r="J59" s="24">
        <f t="shared" si="28"/>
        <v>131.44579239187075</v>
      </c>
      <c r="K59" s="21">
        <v>6306111.8899999997</v>
      </c>
      <c r="L59" s="21">
        <v>6136762.6299999999</v>
      </c>
      <c r="M59" s="25">
        <f t="shared" si="29"/>
        <v>2.7595862869475168E-2</v>
      </c>
      <c r="N59" s="10"/>
      <c r="R59" s="2"/>
    </row>
    <row r="60" spans="1:18" ht="15.75" customHeight="1" thickBot="1" x14ac:dyDescent="0.3">
      <c r="A60" s="19"/>
      <c r="B60" s="20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45" customHeight="1" thickTop="1" thickBot="1" x14ac:dyDescent="0.3">
      <c r="A61" s="39" t="s">
        <v>14</v>
      </c>
      <c r="B61" s="52"/>
      <c r="C61" s="47">
        <f>SUM(C54:C60)</f>
        <v>568359</v>
      </c>
      <c r="D61" s="48">
        <f>SUM(D54:D60)</f>
        <v>469855</v>
      </c>
      <c r="E61" s="281">
        <f>(+C61-D61)/D61</f>
        <v>0.20964765725596193</v>
      </c>
      <c r="F61" s="48">
        <f>SUM(F54:F60)</f>
        <v>284324</v>
      </c>
      <c r="G61" s="47">
        <f>SUM(G54:G60)</f>
        <v>237791</v>
      </c>
      <c r="H61" s="46">
        <f>(+F61-G61)/G61</f>
        <v>0.19568865095819438</v>
      </c>
      <c r="I61" s="51">
        <f>K61/C61</f>
        <v>63.490227866542099</v>
      </c>
      <c r="J61" s="50">
        <f>K61/F61</f>
        <v>126.91592134325629</v>
      </c>
      <c r="K61" s="47">
        <f>SUM(K54:K60)</f>
        <v>36085242.420000002</v>
      </c>
      <c r="L61" s="48">
        <f>SUM(L54:L60)</f>
        <v>30578474</v>
      </c>
      <c r="M61" s="44">
        <f>(+K61-L61)/L61</f>
        <v>0.18008643662204993</v>
      </c>
      <c r="N61" s="10"/>
      <c r="R61" s="2"/>
    </row>
    <row r="62" spans="1:18" ht="15.75" customHeight="1" thickTop="1" x14ac:dyDescent="0.25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5.75" x14ac:dyDescent="0.25">
      <c r="A63" s="19" t="s">
        <v>70</v>
      </c>
      <c r="B63" s="20">
        <f>DATE(2021,7,1)</f>
        <v>44378</v>
      </c>
      <c r="C63" s="21">
        <v>224693</v>
      </c>
      <c r="D63" s="21">
        <v>89782</v>
      </c>
      <c r="E63" s="23">
        <f t="shared" ref="E63:E68" si="30">(+C63-D63)/D63</f>
        <v>1.502650865429596</v>
      </c>
      <c r="F63" s="21">
        <f>+C63-121301</f>
        <v>103392</v>
      </c>
      <c r="G63" s="21">
        <f>+D63-42122</f>
        <v>47660</v>
      </c>
      <c r="H63" s="23">
        <f t="shared" ref="H63:H68" si="31">(+F63-G63)/G63</f>
        <v>1.1693663449433487</v>
      </c>
      <c r="I63" s="24">
        <f t="shared" ref="I63:I68" si="32">K63/C63</f>
        <v>42.343524586880768</v>
      </c>
      <c r="J63" s="24">
        <f t="shared" ref="J63:J68" si="33">K63/F63</f>
        <v>92.021564240947072</v>
      </c>
      <c r="K63" s="21">
        <v>9514293.5700000003</v>
      </c>
      <c r="L63" s="21">
        <v>4552159.55</v>
      </c>
      <c r="M63" s="25">
        <f t="shared" ref="M63:M68" si="34">(+K63-L63)/L63</f>
        <v>1.0900615335418111</v>
      </c>
      <c r="N63" s="10"/>
      <c r="R63" s="2"/>
    </row>
    <row r="64" spans="1:18" ht="15.75" x14ac:dyDescent="0.25">
      <c r="A64" s="19"/>
      <c r="B64" s="20">
        <f>DATE(2021,8,1)</f>
        <v>44409</v>
      </c>
      <c r="C64" s="21">
        <v>253687</v>
      </c>
      <c r="D64" s="21">
        <v>90766</v>
      </c>
      <c r="E64" s="23">
        <f t="shared" si="30"/>
        <v>1.794956261155058</v>
      </c>
      <c r="F64" s="21">
        <f>+C64-139919</f>
        <v>113768</v>
      </c>
      <c r="G64" s="21">
        <f>+D64-42451</f>
        <v>48315</v>
      </c>
      <c r="H64" s="23">
        <f t="shared" si="31"/>
        <v>1.3547138569802339</v>
      </c>
      <c r="I64" s="24">
        <f t="shared" si="32"/>
        <v>37.330805047164418</v>
      </c>
      <c r="J64" s="24">
        <f t="shared" si="33"/>
        <v>83.242563286688693</v>
      </c>
      <c r="K64" s="21">
        <v>9470339.9399999995</v>
      </c>
      <c r="L64" s="21">
        <v>4403282.5999999996</v>
      </c>
      <c r="M64" s="25">
        <f t="shared" si="34"/>
        <v>1.1507454325098281</v>
      </c>
      <c r="N64" s="10"/>
      <c r="R64" s="2"/>
    </row>
    <row r="65" spans="1:18" ht="15.75" x14ac:dyDescent="0.25">
      <c r="A65" s="19"/>
      <c r="B65" s="20">
        <f>DATE(2021,9,1)</f>
        <v>44440</v>
      </c>
      <c r="C65" s="21">
        <v>235921</v>
      </c>
      <c r="D65" s="21">
        <v>113899</v>
      </c>
      <c r="E65" s="23">
        <f t="shared" si="30"/>
        <v>1.0713175708302971</v>
      </c>
      <c r="F65" s="21">
        <f>+C65-117745</f>
        <v>118176</v>
      </c>
      <c r="G65" s="21">
        <f>+D65-56486</f>
        <v>57413</v>
      </c>
      <c r="H65" s="23">
        <f t="shared" si="31"/>
        <v>1.058349154372703</v>
      </c>
      <c r="I65" s="24">
        <f t="shared" si="32"/>
        <v>42.602001220747624</v>
      </c>
      <c r="J65" s="24">
        <f t="shared" si="33"/>
        <v>85.048628570945041</v>
      </c>
      <c r="K65" s="21">
        <v>10050706.73</v>
      </c>
      <c r="L65" s="21">
        <v>5356117.45</v>
      </c>
      <c r="M65" s="25">
        <f t="shared" si="34"/>
        <v>0.87649110084395188</v>
      </c>
      <c r="N65" s="10"/>
      <c r="R65" s="2"/>
    </row>
    <row r="66" spans="1:18" ht="15.75" x14ac:dyDescent="0.25">
      <c r="A66" s="19"/>
      <c r="B66" s="20">
        <f>DATE(2021,10,1)</f>
        <v>44470</v>
      </c>
      <c r="C66" s="21">
        <v>221800</v>
      </c>
      <c r="D66" s="21">
        <v>133252</v>
      </c>
      <c r="E66" s="23">
        <f t="shared" si="30"/>
        <v>0.66451535436616338</v>
      </c>
      <c r="F66" s="21">
        <f>+C66-108912</f>
        <v>112888</v>
      </c>
      <c r="G66" s="21">
        <f>+D66-63794</f>
        <v>69458</v>
      </c>
      <c r="H66" s="23">
        <f t="shared" si="31"/>
        <v>0.62526994730628582</v>
      </c>
      <c r="I66" s="24">
        <f t="shared" si="32"/>
        <v>46.884752795311094</v>
      </c>
      <c r="J66" s="24">
        <f t="shared" si="33"/>
        <v>92.118189444405076</v>
      </c>
      <c r="K66" s="21">
        <v>10399038.17</v>
      </c>
      <c r="L66" s="21">
        <v>6129955.3200000003</v>
      </c>
      <c r="M66" s="25">
        <f t="shared" si="34"/>
        <v>0.69642968458047416</v>
      </c>
      <c r="N66" s="10"/>
      <c r="R66" s="2"/>
    </row>
    <row r="67" spans="1:18" ht="15.75" x14ac:dyDescent="0.25">
      <c r="A67" s="19"/>
      <c r="B67" s="20">
        <f>DATE(2021,11,1)</f>
        <v>44501</v>
      </c>
      <c r="C67" s="21">
        <v>202133</v>
      </c>
      <c r="D67" s="21">
        <v>128642</v>
      </c>
      <c r="E67" s="23">
        <f t="shared" si="30"/>
        <v>0.57128309572301428</v>
      </c>
      <c r="F67" s="21">
        <f>+C67-98046</f>
        <v>104087</v>
      </c>
      <c r="G67" s="21">
        <f>+D67-61517</f>
        <v>67125</v>
      </c>
      <c r="H67" s="23">
        <f t="shared" si="31"/>
        <v>0.55064432029795163</v>
      </c>
      <c r="I67" s="24">
        <f t="shared" si="32"/>
        <v>47.524598556396036</v>
      </c>
      <c r="J67" s="24">
        <f t="shared" si="33"/>
        <v>92.290965058076409</v>
      </c>
      <c r="K67" s="21">
        <v>9606289.6799999997</v>
      </c>
      <c r="L67" s="21">
        <v>5762849.3099999996</v>
      </c>
      <c r="M67" s="25">
        <f t="shared" si="34"/>
        <v>0.66693403961312336</v>
      </c>
      <c r="N67" s="10"/>
      <c r="R67" s="2"/>
    </row>
    <row r="68" spans="1:18" ht="15.75" x14ac:dyDescent="0.25">
      <c r="A68" s="19"/>
      <c r="B68" s="20">
        <f>DATE(2021,12,1)</f>
        <v>44531</v>
      </c>
      <c r="C68" s="21">
        <v>205788</v>
      </c>
      <c r="D68" s="21">
        <v>136324</v>
      </c>
      <c r="E68" s="23">
        <f t="shared" si="30"/>
        <v>0.50955077609225086</v>
      </c>
      <c r="F68" s="21">
        <f>+C68-97302</f>
        <v>108486</v>
      </c>
      <c r="G68" s="21">
        <f>+D68-65497</f>
        <v>70827</v>
      </c>
      <c r="H68" s="23">
        <f t="shared" si="31"/>
        <v>0.53170401118217625</v>
      </c>
      <c r="I68" s="24">
        <f t="shared" si="32"/>
        <v>49.516002293622563</v>
      </c>
      <c r="J68" s="24">
        <f t="shared" si="33"/>
        <v>93.927318548015407</v>
      </c>
      <c r="K68" s="21">
        <v>10189799.08</v>
      </c>
      <c r="L68" s="21">
        <v>6383967.25</v>
      </c>
      <c r="M68" s="25">
        <f t="shared" si="34"/>
        <v>0.59615466072448919</v>
      </c>
      <c r="N68" s="10"/>
      <c r="R68" s="2"/>
    </row>
    <row r="69" spans="1:18" ht="15.75" customHeight="1" thickBot="1" x14ac:dyDescent="0.3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45" customHeight="1" thickTop="1" thickBot="1" x14ac:dyDescent="0.3">
      <c r="A70" s="39" t="s">
        <v>14</v>
      </c>
      <c r="B70" s="52"/>
      <c r="C70" s="47">
        <f>SUM(C63:C69)</f>
        <v>1344022</v>
      </c>
      <c r="D70" s="48">
        <f>SUM(D63:D69)</f>
        <v>692665</v>
      </c>
      <c r="E70" s="281">
        <f>(+C70-D70)/D70</f>
        <v>0.94036366786253089</v>
      </c>
      <c r="F70" s="48">
        <f>SUM(F63:F69)</f>
        <v>660797</v>
      </c>
      <c r="G70" s="47">
        <f>SUM(G63:G69)</f>
        <v>360798</v>
      </c>
      <c r="H70" s="53">
        <f>(+F70-G70)/G70</f>
        <v>0.83148742509659146</v>
      </c>
      <c r="I70" s="51">
        <f>K70/C70</f>
        <v>44.069566696080862</v>
      </c>
      <c r="J70" s="50">
        <f>K70/F70</f>
        <v>89.634891154166851</v>
      </c>
      <c r="K70" s="47">
        <f>SUM(K63:K69)</f>
        <v>59230467.169999994</v>
      </c>
      <c r="L70" s="48">
        <f>SUM(L63:L69)</f>
        <v>32588331.479999997</v>
      </c>
      <c r="M70" s="44">
        <f>(+K70-L70)/L70</f>
        <v>0.81753604680100667</v>
      </c>
      <c r="N70" s="10"/>
      <c r="R70" s="2"/>
    </row>
    <row r="71" spans="1:18" ht="15.75" customHeight="1" thickTop="1" x14ac:dyDescent="0.25">
      <c r="A71" s="19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5.75" customHeight="1" x14ac:dyDescent="0.25">
      <c r="A72" s="19" t="s">
        <v>60</v>
      </c>
      <c r="B72" s="20">
        <f>DATE(2021,7,1)</f>
        <v>44378</v>
      </c>
      <c r="C72" s="21">
        <v>251090</v>
      </c>
      <c r="D72" s="21">
        <v>198458</v>
      </c>
      <c r="E72" s="23">
        <f t="shared" ref="E72:E77" si="35">(+C72-D72)/D72</f>
        <v>0.26520472845639881</v>
      </c>
      <c r="F72" s="21">
        <f>+C72-113536</f>
        <v>137554</v>
      </c>
      <c r="G72" s="21">
        <f>+D72-91512</f>
        <v>106946</v>
      </c>
      <c r="H72" s="23">
        <f t="shared" ref="H72:H77" si="36">(+F72-G72)/G72</f>
        <v>0.28620051240813121</v>
      </c>
      <c r="I72" s="24">
        <f t="shared" ref="I72:I77" si="37">K72/C72</f>
        <v>59.031039945836156</v>
      </c>
      <c r="J72" s="24">
        <f t="shared" ref="J72:J77" si="38">K72/F72</f>
        <v>107.75480044200823</v>
      </c>
      <c r="K72" s="21">
        <v>14822103.82</v>
      </c>
      <c r="L72" s="21">
        <v>11423179.77</v>
      </c>
      <c r="M72" s="25">
        <f t="shared" ref="M72:M77" si="39">(+K72-L72)/L72</f>
        <v>0.2975462277960807</v>
      </c>
      <c r="N72" s="10"/>
      <c r="R72" s="2"/>
    </row>
    <row r="73" spans="1:18" ht="15.75" customHeight="1" x14ac:dyDescent="0.25">
      <c r="A73" s="19"/>
      <c r="B73" s="20">
        <f>DATE(2021,8,1)</f>
        <v>44409</v>
      </c>
      <c r="C73" s="21">
        <v>215479</v>
      </c>
      <c r="D73" s="21">
        <v>207170</v>
      </c>
      <c r="E73" s="23">
        <f t="shared" si="35"/>
        <v>4.0107158372351209E-2</v>
      </c>
      <c r="F73" s="21">
        <f>+C73-96518</f>
        <v>118961</v>
      </c>
      <c r="G73" s="21">
        <f>+D73-94983</f>
        <v>112187</v>
      </c>
      <c r="H73" s="23">
        <f t="shared" si="36"/>
        <v>6.0381327604802693E-2</v>
      </c>
      <c r="I73" s="24">
        <f t="shared" si="37"/>
        <v>60.899793761805093</v>
      </c>
      <c r="J73" s="24">
        <f t="shared" si="38"/>
        <v>110.31032573700625</v>
      </c>
      <c r="K73" s="21">
        <v>13122626.66</v>
      </c>
      <c r="L73" s="21">
        <v>12078246.74</v>
      </c>
      <c r="M73" s="25">
        <f t="shared" si="39"/>
        <v>8.6467841109859611E-2</v>
      </c>
      <c r="N73" s="10"/>
      <c r="R73" s="2"/>
    </row>
    <row r="74" spans="1:18" ht="15.75" customHeight="1" x14ac:dyDescent="0.25">
      <c r="A74" s="19"/>
      <c r="B74" s="20">
        <f>DATE(2021,9,1)</f>
        <v>44440</v>
      </c>
      <c r="C74" s="21">
        <v>213931</v>
      </c>
      <c r="D74" s="21">
        <v>214679</v>
      </c>
      <c r="E74" s="23">
        <f t="shared" si="35"/>
        <v>-3.4842718663679259E-3</v>
      </c>
      <c r="F74" s="21">
        <f>+C74-98283</f>
        <v>115648</v>
      </c>
      <c r="G74" s="21">
        <f>+D74-98438</f>
        <v>116241</v>
      </c>
      <c r="H74" s="23">
        <f t="shared" si="36"/>
        <v>-5.1014702213504704E-3</v>
      </c>
      <c r="I74" s="24">
        <f t="shared" si="37"/>
        <v>56.659814800099099</v>
      </c>
      <c r="J74" s="24">
        <f t="shared" si="38"/>
        <v>104.81193656613171</v>
      </c>
      <c r="K74" s="21">
        <v>12121290.84</v>
      </c>
      <c r="L74" s="21">
        <v>11539629.039999999</v>
      </c>
      <c r="M74" s="25">
        <f t="shared" si="39"/>
        <v>5.0405589121086752E-2</v>
      </c>
      <c r="N74" s="10"/>
      <c r="R74" s="2"/>
    </row>
    <row r="75" spans="1:18" ht="15.75" customHeight="1" x14ac:dyDescent="0.25">
      <c r="A75" s="19"/>
      <c r="B75" s="20">
        <f>DATE(2021,10,1)</f>
        <v>44470</v>
      </c>
      <c r="C75" s="21">
        <v>212915</v>
      </c>
      <c r="D75" s="21">
        <v>212255</v>
      </c>
      <c r="E75" s="23">
        <f t="shared" si="35"/>
        <v>3.1094673859273043E-3</v>
      </c>
      <c r="F75" s="21">
        <f>+C75-99053</f>
        <v>113862</v>
      </c>
      <c r="G75" s="21">
        <f>+D75-97155</f>
        <v>115100</v>
      </c>
      <c r="H75" s="23">
        <f t="shared" si="36"/>
        <v>-1.0755864465682016E-2</v>
      </c>
      <c r="I75" s="24">
        <f t="shared" si="37"/>
        <v>60.264709485005753</v>
      </c>
      <c r="J75" s="24">
        <f t="shared" si="38"/>
        <v>112.6913335441148</v>
      </c>
      <c r="K75" s="21">
        <v>12831260.619999999</v>
      </c>
      <c r="L75" s="21">
        <v>11315553.33</v>
      </c>
      <c r="M75" s="25">
        <f t="shared" si="39"/>
        <v>0.13394902094460803</v>
      </c>
      <c r="N75" s="10"/>
      <c r="R75" s="2"/>
    </row>
    <row r="76" spans="1:18" ht="15.75" customHeight="1" x14ac:dyDescent="0.25">
      <c r="A76" s="19"/>
      <c r="B76" s="20">
        <f>DATE(2021,11,1)</f>
        <v>44501</v>
      </c>
      <c r="C76" s="21">
        <v>184421</v>
      </c>
      <c r="D76" s="21">
        <v>182201</v>
      </c>
      <c r="E76" s="23">
        <f t="shared" si="35"/>
        <v>1.2184345859792207E-2</v>
      </c>
      <c r="F76" s="21">
        <f>+C76-84660</f>
        <v>99761</v>
      </c>
      <c r="G76" s="21">
        <f>+D76-83158</f>
        <v>99043</v>
      </c>
      <c r="H76" s="23">
        <f t="shared" si="36"/>
        <v>7.2493765334248764E-3</v>
      </c>
      <c r="I76" s="24">
        <f t="shared" si="37"/>
        <v>64.389713698548434</v>
      </c>
      <c r="J76" s="24">
        <f t="shared" si="38"/>
        <v>119.03264191417489</v>
      </c>
      <c r="K76" s="21">
        <v>11874815.390000001</v>
      </c>
      <c r="L76" s="21">
        <v>10560135.1</v>
      </c>
      <c r="M76" s="25">
        <f t="shared" si="39"/>
        <v>0.12449464685352378</v>
      </c>
      <c r="N76" s="10"/>
      <c r="R76" s="2"/>
    </row>
    <row r="77" spans="1:18" ht="15.75" customHeight="1" x14ac:dyDescent="0.25">
      <c r="A77" s="19"/>
      <c r="B77" s="20">
        <f>DATE(2021,12,1)</f>
        <v>44531</v>
      </c>
      <c r="C77" s="21">
        <v>211464</v>
      </c>
      <c r="D77" s="21">
        <v>236582</v>
      </c>
      <c r="E77" s="23">
        <f t="shared" si="35"/>
        <v>-0.10617037644453085</v>
      </c>
      <c r="F77" s="21">
        <f>+C77-97323</f>
        <v>114141</v>
      </c>
      <c r="G77" s="21">
        <f>+D77-114318</f>
        <v>122264</v>
      </c>
      <c r="H77" s="23">
        <f t="shared" si="36"/>
        <v>-6.6438199306418894E-2</v>
      </c>
      <c r="I77" s="24">
        <f t="shared" si="37"/>
        <v>59.316628693300046</v>
      </c>
      <c r="J77" s="24">
        <f t="shared" si="38"/>
        <v>109.89330363322557</v>
      </c>
      <c r="K77" s="21">
        <v>12543331.57</v>
      </c>
      <c r="L77" s="21">
        <v>13819716.060000001</v>
      </c>
      <c r="M77" s="25">
        <f t="shared" si="39"/>
        <v>-9.2359675441841177E-2</v>
      </c>
      <c r="N77" s="10"/>
      <c r="R77" s="2"/>
    </row>
    <row r="78" spans="1:18" ht="15.75" customHeight="1" thickBot="1" x14ac:dyDescent="0.3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SUM(C72:C78)</f>
        <v>1289300</v>
      </c>
      <c r="D79" s="41">
        <f>SUM(D72:D78)</f>
        <v>1251345</v>
      </c>
      <c r="E79" s="280">
        <f>(+C79-D79)/D79</f>
        <v>3.0331363452924653E-2</v>
      </c>
      <c r="F79" s="41">
        <f>SUM(F72:F78)</f>
        <v>699927</v>
      </c>
      <c r="G79" s="41">
        <f>SUM(G72:G78)</f>
        <v>671781</v>
      </c>
      <c r="H79" s="42">
        <f>(+F79-G79)/G79</f>
        <v>4.1897582694360218E-2</v>
      </c>
      <c r="I79" s="43">
        <f>K79/C79</f>
        <v>59.96698123012488</v>
      </c>
      <c r="J79" s="43">
        <f>K79/F79</f>
        <v>110.46213233665797</v>
      </c>
      <c r="K79" s="41">
        <f>SUM(K72:K78)</f>
        <v>77315428.900000006</v>
      </c>
      <c r="L79" s="41">
        <f>SUM(L72:L78)</f>
        <v>70736460.039999992</v>
      </c>
      <c r="M79" s="44">
        <f>(+K79-L79)/L79</f>
        <v>9.3006758555343946E-2</v>
      </c>
      <c r="N79" s="10"/>
      <c r="R79" s="2"/>
    </row>
    <row r="80" spans="1:18" ht="15.75" customHeight="1" thickTop="1" x14ac:dyDescent="0.2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 x14ac:dyDescent="0.25">
      <c r="A81" s="19" t="s">
        <v>16</v>
      </c>
      <c r="B81" s="20">
        <f>DATE(2021,7,1)</f>
        <v>44378</v>
      </c>
      <c r="C81" s="21">
        <v>292626</v>
      </c>
      <c r="D81" s="21">
        <v>211446</v>
      </c>
      <c r="E81" s="23">
        <f t="shared" ref="E81:E86" si="40">(+C81-D81)/D81</f>
        <v>0.38392781135609094</v>
      </c>
      <c r="F81" s="21">
        <f>+C81-144119</f>
        <v>148507</v>
      </c>
      <c r="G81" s="21">
        <f>+D81-102823</f>
        <v>108623</v>
      </c>
      <c r="H81" s="23">
        <f t="shared" ref="H81:H86" si="41">(+F81-G81)/G81</f>
        <v>0.36717822192353367</v>
      </c>
      <c r="I81" s="24">
        <f t="shared" ref="I81:I86" si="42">K81/C81</f>
        <v>61.884126359243538</v>
      </c>
      <c r="J81" s="24">
        <f t="shared" ref="J81:J86" si="43">K81/F81</f>
        <v>121.93973590470482</v>
      </c>
      <c r="K81" s="21">
        <v>18108904.359999999</v>
      </c>
      <c r="L81" s="21">
        <v>13827445.609999999</v>
      </c>
      <c r="M81" s="25">
        <f t="shared" ref="M81:M86" si="44">(+K81-L81)/L81</f>
        <v>0.3096348284967147</v>
      </c>
      <c r="N81" s="10"/>
      <c r="R81" s="2"/>
    </row>
    <row r="82" spans="1:18" ht="15.75" customHeight="1" x14ac:dyDescent="0.25">
      <c r="A82" s="19"/>
      <c r="B82" s="20">
        <f>DATE(2021,8,1)</f>
        <v>44409</v>
      </c>
      <c r="C82" s="21">
        <v>252812</v>
      </c>
      <c r="D82" s="21">
        <v>225551</v>
      </c>
      <c r="E82" s="23">
        <f t="shared" si="40"/>
        <v>0.12086401745059876</v>
      </c>
      <c r="F82" s="21">
        <f>+C82-122587</f>
        <v>130225</v>
      </c>
      <c r="G82" s="21">
        <f>+D82-110461</f>
        <v>115090</v>
      </c>
      <c r="H82" s="23">
        <f t="shared" si="41"/>
        <v>0.13150577808671474</v>
      </c>
      <c r="I82" s="24">
        <f t="shared" si="42"/>
        <v>64.409354381912252</v>
      </c>
      <c r="J82" s="24">
        <f t="shared" si="43"/>
        <v>125.04094989441352</v>
      </c>
      <c r="K82" s="21">
        <v>16283457.699999999</v>
      </c>
      <c r="L82" s="21">
        <v>14343284.68</v>
      </c>
      <c r="M82" s="25">
        <f t="shared" si="44"/>
        <v>0.13526699520266369</v>
      </c>
      <c r="N82" s="10"/>
      <c r="R82" s="2"/>
    </row>
    <row r="83" spans="1:18" ht="15.75" customHeight="1" x14ac:dyDescent="0.25">
      <c r="A83" s="19"/>
      <c r="B83" s="20">
        <f>DATE(2021,9,1)</f>
        <v>44440</v>
      </c>
      <c r="C83" s="21">
        <v>245992</v>
      </c>
      <c r="D83" s="21">
        <v>224827</v>
      </c>
      <c r="E83" s="23">
        <f t="shared" si="40"/>
        <v>9.4139049135557568E-2</v>
      </c>
      <c r="F83" s="21">
        <f>+C83-120862</f>
        <v>125130</v>
      </c>
      <c r="G83" s="21">
        <f>+D83-110393</f>
        <v>114434</v>
      </c>
      <c r="H83" s="23">
        <f t="shared" si="41"/>
        <v>9.3468724330181593E-2</v>
      </c>
      <c r="I83" s="24">
        <f t="shared" si="42"/>
        <v>58.827599881296948</v>
      </c>
      <c r="J83" s="24">
        <f t="shared" si="43"/>
        <v>115.64867697594501</v>
      </c>
      <c r="K83" s="21">
        <v>14471118.949999999</v>
      </c>
      <c r="L83" s="21">
        <v>13592591.220000001</v>
      </c>
      <c r="M83" s="25">
        <f t="shared" si="44"/>
        <v>6.4632836799163193E-2</v>
      </c>
      <c r="N83" s="10"/>
      <c r="R83" s="2"/>
    </row>
    <row r="84" spans="1:18" ht="15.75" customHeight="1" x14ac:dyDescent="0.25">
      <c r="A84" s="19"/>
      <c r="B84" s="20">
        <f>DATE(2021,10,1)</f>
        <v>44470</v>
      </c>
      <c r="C84" s="21">
        <v>265943</v>
      </c>
      <c r="D84" s="21">
        <v>236689</v>
      </c>
      <c r="E84" s="23">
        <f t="shared" si="40"/>
        <v>0.12359678734541951</v>
      </c>
      <c r="F84" s="21">
        <f>+C84-130327</f>
        <v>135616</v>
      </c>
      <c r="G84" s="21">
        <f>+D84-116990</f>
        <v>119699</v>
      </c>
      <c r="H84" s="23">
        <f t="shared" si="41"/>
        <v>0.13297521282550398</v>
      </c>
      <c r="I84" s="24">
        <f t="shared" si="42"/>
        <v>62.018882880918092</v>
      </c>
      <c r="J84" s="24">
        <f t="shared" si="43"/>
        <v>121.61904030497875</v>
      </c>
      <c r="K84" s="21">
        <v>16493487.77</v>
      </c>
      <c r="L84" s="21">
        <v>14448861.33</v>
      </c>
      <c r="M84" s="25">
        <f t="shared" si="44"/>
        <v>0.14150779035817623</v>
      </c>
      <c r="N84" s="10"/>
      <c r="R84" s="2"/>
    </row>
    <row r="85" spans="1:18" ht="15.75" customHeight="1" x14ac:dyDescent="0.25">
      <c r="A85" s="19"/>
      <c r="B85" s="20">
        <f>DATE(2021,11,1)</f>
        <v>44501</v>
      </c>
      <c r="C85" s="21">
        <v>251827</v>
      </c>
      <c r="D85" s="21">
        <v>217833</v>
      </c>
      <c r="E85" s="23">
        <f t="shared" si="40"/>
        <v>0.1560553267870341</v>
      </c>
      <c r="F85" s="21">
        <f>+C85-125798</f>
        <v>126029</v>
      </c>
      <c r="G85" s="21">
        <f>+D85-108450</f>
        <v>109383</v>
      </c>
      <c r="H85" s="23">
        <f t="shared" si="41"/>
        <v>0.15218086905643474</v>
      </c>
      <c r="I85" s="24">
        <f t="shared" si="42"/>
        <v>63.774888435314722</v>
      </c>
      <c r="J85" s="24">
        <f t="shared" si="43"/>
        <v>127.4328831459426</v>
      </c>
      <c r="K85" s="21">
        <v>16060238.83</v>
      </c>
      <c r="L85" s="21">
        <v>12584367.83</v>
      </c>
      <c r="M85" s="25">
        <f t="shared" si="44"/>
        <v>0.27620545163292481</v>
      </c>
      <c r="N85" s="10"/>
      <c r="R85" s="2"/>
    </row>
    <row r="86" spans="1:18" ht="15.75" customHeight="1" x14ac:dyDescent="0.25">
      <c r="A86" s="19"/>
      <c r="B86" s="20">
        <f>DATE(2021,12,1)</f>
        <v>44531</v>
      </c>
      <c r="C86" s="21">
        <v>268015</v>
      </c>
      <c r="D86" s="21">
        <v>232838</v>
      </c>
      <c r="E86" s="23">
        <f t="shared" si="40"/>
        <v>0.15107929118099278</v>
      </c>
      <c r="F86" s="21">
        <f>+C86-132764</f>
        <v>135251</v>
      </c>
      <c r="G86" s="21">
        <f>+D86-115697</f>
        <v>117141</v>
      </c>
      <c r="H86" s="23">
        <f t="shared" si="41"/>
        <v>0.15460001195140899</v>
      </c>
      <c r="I86" s="24">
        <f t="shared" si="42"/>
        <v>62.532376695334214</v>
      </c>
      <c r="J86" s="24">
        <f t="shared" si="43"/>
        <v>123.9149059156679</v>
      </c>
      <c r="K86" s="21">
        <v>16759614.939999999</v>
      </c>
      <c r="L86" s="21">
        <v>14119546.369999999</v>
      </c>
      <c r="M86" s="25">
        <f t="shared" si="44"/>
        <v>0.1869797018131823</v>
      </c>
      <c r="N86" s="10"/>
      <c r="R86" s="2"/>
    </row>
    <row r="87" spans="1:18" ht="15.75" customHeight="1" thickBot="1" x14ac:dyDescent="0.3">
      <c r="A87" s="19"/>
      <c r="B87" s="45"/>
      <c r="C87" s="21"/>
      <c r="D87" s="21"/>
      <c r="E87" s="23"/>
      <c r="F87" s="21"/>
      <c r="G87" s="21"/>
      <c r="H87" s="23"/>
      <c r="I87" s="24"/>
      <c r="J87" s="24"/>
      <c r="K87" s="21"/>
      <c r="L87" s="21"/>
      <c r="M87" s="25"/>
      <c r="N87" s="10"/>
      <c r="R87" s="2"/>
    </row>
    <row r="88" spans="1:18" ht="17.25" thickTop="1" thickBot="1" x14ac:dyDescent="0.3">
      <c r="A88" s="39" t="s">
        <v>14</v>
      </c>
      <c r="B88" s="40"/>
      <c r="C88" s="41">
        <f>SUM(C81:C87)</f>
        <v>1577215</v>
      </c>
      <c r="D88" s="41">
        <f>SUM(D81:D87)</f>
        <v>1349184</v>
      </c>
      <c r="E88" s="280">
        <f>(+C88-D88)/D88</f>
        <v>0.16901401143209524</v>
      </c>
      <c r="F88" s="41">
        <f>SUM(F81:F87)</f>
        <v>800758</v>
      </c>
      <c r="G88" s="41">
        <f>SUM(G81:G87)</f>
        <v>684370</v>
      </c>
      <c r="H88" s="42">
        <f>(+F88-G88)/G88</f>
        <v>0.17006590002484037</v>
      </c>
      <c r="I88" s="43">
        <f>K88/C88</f>
        <v>62.246949559825389</v>
      </c>
      <c r="J88" s="43">
        <f>K88/F88</f>
        <v>122.60486008257176</v>
      </c>
      <c r="K88" s="41">
        <f>SUM(K81:K87)</f>
        <v>98176822.549999997</v>
      </c>
      <c r="L88" s="41">
        <f>SUM(L81:L87)</f>
        <v>82916097.040000007</v>
      </c>
      <c r="M88" s="44">
        <f>(+K88-L88)/L88</f>
        <v>0.18405021527530391</v>
      </c>
      <c r="N88" s="10"/>
      <c r="R88" s="2"/>
    </row>
    <row r="89" spans="1:18" ht="15.75" customHeight="1" thickTop="1" x14ac:dyDescent="0.2">
      <c r="A89" s="54"/>
      <c r="B89" s="55"/>
      <c r="C89" s="55"/>
      <c r="D89" s="55"/>
      <c r="E89" s="56"/>
      <c r="F89" s="55"/>
      <c r="G89" s="55"/>
      <c r="H89" s="56"/>
      <c r="I89" s="55"/>
      <c r="J89" s="55"/>
      <c r="K89" s="196"/>
      <c r="L89" s="196"/>
      <c r="M89" s="57"/>
      <c r="N89" s="10"/>
      <c r="R89" s="2"/>
    </row>
    <row r="90" spans="1:18" ht="15.75" customHeight="1" x14ac:dyDescent="0.25">
      <c r="A90" s="19" t="s">
        <v>54</v>
      </c>
      <c r="B90" s="20">
        <f>DATE(2021,7,1)</f>
        <v>44378</v>
      </c>
      <c r="C90" s="21">
        <v>338901</v>
      </c>
      <c r="D90" s="21">
        <v>223492</v>
      </c>
      <c r="E90" s="23">
        <f t="shared" ref="E90:E95" si="45">(+C90-D90)/D90</f>
        <v>0.51638984840620694</v>
      </c>
      <c r="F90" s="21">
        <f>+C90-160819</f>
        <v>178082</v>
      </c>
      <c r="G90" s="21">
        <f>+D90-109534</f>
        <v>113958</v>
      </c>
      <c r="H90" s="23">
        <f t="shared" ref="H90:H95" si="46">(+F90-G90)/G90</f>
        <v>0.56269853805788095</v>
      </c>
      <c r="I90" s="24">
        <f t="shared" ref="I90:I95" si="47">K90/C90</f>
        <v>59.424074818309769</v>
      </c>
      <c r="J90" s="24">
        <f t="shared" ref="J90:J95" si="48">K90/F90</f>
        <v>113.08766961287496</v>
      </c>
      <c r="K90" s="21">
        <v>20138878.379999999</v>
      </c>
      <c r="L90" s="21">
        <v>15036571.48</v>
      </c>
      <c r="M90" s="25">
        <f t="shared" ref="M90:M95" si="49">(+K90-L90)/L90</f>
        <v>0.33932648189027187</v>
      </c>
      <c r="N90" s="10"/>
      <c r="R90" s="2"/>
    </row>
    <row r="91" spans="1:18" ht="15.75" customHeight="1" x14ac:dyDescent="0.25">
      <c r="A91" s="19"/>
      <c r="B91" s="20">
        <f>DATE(2021,8,1)</f>
        <v>44409</v>
      </c>
      <c r="C91" s="21">
        <v>315503</v>
      </c>
      <c r="D91" s="21">
        <v>243172</v>
      </c>
      <c r="E91" s="23">
        <f t="shared" si="45"/>
        <v>0.29744789696182128</v>
      </c>
      <c r="F91" s="21">
        <f>+C91-149989</f>
        <v>165514</v>
      </c>
      <c r="G91" s="21">
        <f>+D91-117936</f>
        <v>125236</v>
      </c>
      <c r="H91" s="23">
        <f t="shared" si="46"/>
        <v>0.32161678750519018</v>
      </c>
      <c r="I91" s="24">
        <f t="shared" si="47"/>
        <v>60.83894787054323</v>
      </c>
      <c r="J91" s="24">
        <f t="shared" si="48"/>
        <v>115.97128079799896</v>
      </c>
      <c r="K91" s="21">
        <v>19194870.57</v>
      </c>
      <c r="L91" s="21">
        <v>15861571.800000001</v>
      </c>
      <c r="M91" s="25">
        <f t="shared" si="49"/>
        <v>0.21014933526323032</v>
      </c>
      <c r="N91" s="10"/>
      <c r="R91" s="2"/>
    </row>
    <row r="92" spans="1:18" ht="15.75" customHeight="1" x14ac:dyDescent="0.25">
      <c r="A92" s="19"/>
      <c r="B92" s="20">
        <f>DATE(2021,9,1)</f>
        <v>44440</v>
      </c>
      <c r="C92" s="21">
        <v>329297</v>
      </c>
      <c r="D92" s="21">
        <v>258989</v>
      </c>
      <c r="E92" s="23">
        <f t="shared" si="45"/>
        <v>0.27147098911536782</v>
      </c>
      <c r="F92" s="21">
        <f>+C92-155913</f>
        <v>173384</v>
      </c>
      <c r="G92" s="21">
        <f>+D92-126754</f>
        <v>132235</v>
      </c>
      <c r="H92" s="23">
        <f t="shared" si="46"/>
        <v>0.3111808522705789</v>
      </c>
      <c r="I92" s="24">
        <f t="shared" si="47"/>
        <v>59.145045171987604</v>
      </c>
      <c r="J92" s="24">
        <f t="shared" si="48"/>
        <v>112.33035308909704</v>
      </c>
      <c r="K92" s="21">
        <v>19476285.940000001</v>
      </c>
      <c r="L92" s="21">
        <v>16406074.949999999</v>
      </c>
      <c r="M92" s="25">
        <f t="shared" si="49"/>
        <v>0.18713866658277106</v>
      </c>
      <c r="N92" s="10"/>
      <c r="R92" s="2"/>
    </row>
    <row r="93" spans="1:18" ht="15.75" customHeight="1" x14ac:dyDescent="0.25">
      <c r="A93" s="19"/>
      <c r="B93" s="20">
        <f>DATE(2021,10,1)</f>
        <v>44470</v>
      </c>
      <c r="C93" s="21">
        <v>343168</v>
      </c>
      <c r="D93" s="21">
        <v>272659</v>
      </c>
      <c r="E93" s="23">
        <f t="shared" si="45"/>
        <v>0.25859773563315352</v>
      </c>
      <c r="F93" s="21">
        <f>+C93-164416</f>
        <v>178752</v>
      </c>
      <c r="G93" s="21">
        <f>+D93-130567</f>
        <v>142092</v>
      </c>
      <c r="H93" s="23">
        <f t="shared" si="46"/>
        <v>0.25800185795118658</v>
      </c>
      <c r="I93" s="24">
        <f t="shared" si="47"/>
        <v>61.274948392624019</v>
      </c>
      <c r="J93" s="24">
        <f t="shared" si="48"/>
        <v>117.63561520989974</v>
      </c>
      <c r="K93" s="21">
        <v>21027601.489999998</v>
      </c>
      <c r="L93" s="21">
        <v>16384207.619999999</v>
      </c>
      <c r="M93" s="25">
        <f t="shared" si="49"/>
        <v>0.28340667902254035</v>
      </c>
      <c r="N93" s="10"/>
      <c r="R93" s="2"/>
    </row>
    <row r="94" spans="1:18" ht="15.75" customHeight="1" x14ac:dyDescent="0.25">
      <c r="A94" s="19"/>
      <c r="B94" s="20">
        <f>DATE(2021,11,1)</f>
        <v>44501</v>
      </c>
      <c r="C94" s="21">
        <v>319143</v>
      </c>
      <c r="D94" s="21">
        <v>229316</v>
      </c>
      <c r="E94" s="23">
        <f t="shared" si="45"/>
        <v>0.39171710652549319</v>
      </c>
      <c r="F94" s="21">
        <f>+C94-158694</f>
        <v>160449</v>
      </c>
      <c r="G94" s="21">
        <f>+D94-112072</f>
        <v>117244</v>
      </c>
      <c r="H94" s="23">
        <f t="shared" si="46"/>
        <v>0.36850499812357135</v>
      </c>
      <c r="I94" s="24">
        <f t="shared" si="47"/>
        <v>62.148735331810506</v>
      </c>
      <c r="J94" s="24">
        <f t="shared" si="48"/>
        <v>123.61768437322763</v>
      </c>
      <c r="K94" s="21">
        <v>19834333.84</v>
      </c>
      <c r="L94" s="21">
        <v>14486891.189999999</v>
      </c>
      <c r="M94" s="25">
        <f t="shared" si="49"/>
        <v>0.36912285595761424</v>
      </c>
      <c r="N94" s="10"/>
      <c r="R94" s="2"/>
    </row>
    <row r="95" spans="1:18" ht="15.75" customHeight="1" x14ac:dyDescent="0.25">
      <c r="A95" s="19"/>
      <c r="B95" s="20">
        <f>DATE(2021,12,1)</f>
        <v>44531</v>
      </c>
      <c r="C95" s="21">
        <v>337706</v>
      </c>
      <c r="D95" s="21">
        <v>224469</v>
      </c>
      <c r="E95" s="23">
        <f t="shared" si="45"/>
        <v>0.50446609554103239</v>
      </c>
      <c r="F95" s="21">
        <f>+C95-167775</f>
        <v>169931</v>
      </c>
      <c r="G95" s="21">
        <f>+D95-110658</f>
        <v>113811</v>
      </c>
      <c r="H95" s="23">
        <f t="shared" si="46"/>
        <v>0.49309820667598037</v>
      </c>
      <c r="I95" s="24">
        <f t="shared" si="47"/>
        <v>64.788919355889448</v>
      </c>
      <c r="J95" s="24">
        <f t="shared" si="48"/>
        <v>128.75582913064716</v>
      </c>
      <c r="K95" s="21">
        <v>21879606.800000001</v>
      </c>
      <c r="L95" s="21">
        <v>14094420.289999999</v>
      </c>
      <c r="M95" s="25">
        <f t="shared" si="49"/>
        <v>0.55235946919530965</v>
      </c>
      <c r="N95" s="10"/>
      <c r="R95" s="2"/>
    </row>
    <row r="96" spans="1:18" ht="15.75" customHeight="1" thickBot="1" x14ac:dyDescent="0.3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Top="1" thickBot="1" x14ac:dyDescent="0.3">
      <c r="A97" s="39" t="s">
        <v>14</v>
      </c>
      <c r="B97" s="40"/>
      <c r="C97" s="41">
        <f>SUM(C90:C96)</f>
        <v>1983718</v>
      </c>
      <c r="D97" s="41">
        <f>SUM(D90:D96)</f>
        <v>1452097</v>
      </c>
      <c r="E97" s="280">
        <f>(+C97-D97)/D97</f>
        <v>0.36610570781428514</v>
      </c>
      <c r="F97" s="41">
        <f>SUM(F90:F96)</f>
        <v>1026112</v>
      </c>
      <c r="G97" s="41">
        <f>SUM(G90:G96)</f>
        <v>744576</v>
      </c>
      <c r="H97" s="42">
        <f>(+F97-G97)/G97</f>
        <v>0.37811586728554236</v>
      </c>
      <c r="I97" s="43">
        <f>K97/C97</f>
        <v>61.274625234030239</v>
      </c>
      <c r="J97" s="43">
        <f>K97/F97</f>
        <v>118.45839150112268</v>
      </c>
      <c r="K97" s="41">
        <f>SUM(K90:K96)</f>
        <v>121551577.02</v>
      </c>
      <c r="L97" s="41">
        <f>SUM(L90:L96)</f>
        <v>92269737.330000013</v>
      </c>
      <c r="M97" s="44">
        <f>(+K97-L97)/L97</f>
        <v>0.31735041777863027</v>
      </c>
      <c r="N97" s="10"/>
      <c r="R97" s="2"/>
    </row>
    <row r="98" spans="1:18" ht="15.75" customHeight="1" thickTop="1" x14ac:dyDescent="0.2">
      <c r="A98" s="58"/>
      <c r="B98" s="59"/>
      <c r="C98" s="59"/>
      <c r="D98" s="59"/>
      <c r="E98" s="60"/>
      <c r="F98" s="59"/>
      <c r="G98" s="59"/>
      <c r="H98" s="60"/>
      <c r="I98" s="59"/>
      <c r="J98" s="59"/>
      <c r="K98" s="197"/>
      <c r="L98" s="197"/>
      <c r="M98" s="61"/>
      <c r="N98" s="10"/>
      <c r="R98" s="2"/>
    </row>
    <row r="99" spans="1:18" ht="15" customHeight="1" x14ac:dyDescent="0.25">
      <c r="A99" s="19" t="s">
        <v>55</v>
      </c>
      <c r="B99" s="20">
        <f>DATE(2021,7,1)</f>
        <v>44378</v>
      </c>
      <c r="C99" s="21">
        <v>54523</v>
      </c>
      <c r="D99" s="21">
        <v>43226</v>
      </c>
      <c r="E99" s="23">
        <f t="shared" ref="E99:E104" si="50">(+C99-D99)/D99</f>
        <v>0.26134733725072873</v>
      </c>
      <c r="F99" s="21">
        <f>+C99-27936</f>
        <v>26587</v>
      </c>
      <c r="G99" s="21">
        <f>+D99-22161</f>
        <v>21065</v>
      </c>
      <c r="H99" s="23">
        <f t="shared" ref="H99:H104" si="51">(+F99-G99)/G99</f>
        <v>0.26214099216710185</v>
      </c>
      <c r="I99" s="24">
        <f t="shared" ref="I99:I104" si="52">K99/C99</f>
        <v>66.702283806833819</v>
      </c>
      <c r="J99" s="24">
        <f t="shared" ref="J99:J104" si="53">K99/F99</f>
        <v>136.78898032873209</v>
      </c>
      <c r="K99" s="21">
        <v>3636808.62</v>
      </c>
      <c r="L99" s="21">
        <v>2973337.45</v>
      </c>
      <c r="M99" s="25">
        <f t="shared" ref="M99:M104" si="54">(+K99-L99)/L99</f>
        <v>0.22314021908276838</v>
      </c>
      <c r="N99" s="10"/>
      <c r="R99" s="2"/>
    </row>
    <row r="100" spans="1:18" ht="15" customHeight="1" x14ac:dyDescent="0.25">
      <c r="A100" s="19"/>
      <c r="B100" s="20">
        <f>DATE(2021,8,1)</f>
        <v>44409</v>
      </c>
      <c r="C100" s="21">
        <v>47684</v>
      </c>
      <c r="D100" s="21">
        <v>46706</v>
      </c>
      <c r="E100" s="23">
        <f t="shared" si="50"/>
        <v>2.0939493855179205E-2</v>
      </c>
      <c r="F100" s="21">
        <f>+C100-24640</f>
        <v>23044</v>
      </c>
      <c r="G100" s="21">
        <f>+D100-23797</f>
        <v>22909</v>
      </c>
      <c r="H100" s="23">
        <f t="shared" si="51"/>
        <v>5.8928805273036795E-3</v>
      </c>
      <c r="I100" s="24">
        <f t="shared" si="52"/>
        <v>67.626973198557167</v>
      </c>
      <c r="J100" s="24">
        <f t="shared" si="53"/>
        <v>139.93771003298039</v>
      </c>
      <c r="K100" s="21">
        <v>3224724.59</v>
      </c>
      <c r="L100" s="21">
        <v>3072719.82</v>
      </c>
      <c r="M100" s="25">
        <f t="shared" si="54"/>
        <v>4.9469127972754781E-2</v>
      </c>
      <c r="N100" s="10"/>
      <c r="R100" s="2"/>
    </row>
    <row r="101" spans="1:18" ht="15" customHeight="1" x14ac:dyDescent="0.25">
      <c r="A101" s="19"/>
      <c r="B101" s="20">
        <f>DATE(2021,9,1)</f>
        <v>44440</v>
      </c>
      <c r="C101" s="21">
        <v>47289</v>
      </c>
      <c r="D101" s="21">
        <v>44655</v>
      </c>
      <c r="E101" s="23">
        <f t="shared" si="50"/>
        <v>5.8985555928787368E-2</v>
      </c>
      <c r="F101" s="21">
        <f>+C101-24190</f>
        <v>23099</v>
      </c>
      <c r="G101" s="21">
        <f>+D101-22941</f>
        <v>21714</v>
      </c>
      <c r="H101" s="23">
        <f t="shared" si="51"/>
        <v>6.3783733996499947E-2</v>
      </c>
      <c r="I101" s="24">
        <f t="shared" si="52"/>
        <v>66.497497303812722</v>
      </c>
      <c r="J101" s="24">
        <f t="shared" si="53"/>
        <v>136.13576994675094</v>
      </c>
      <c r="K101" s="21">
        <v>3144600.15</v>
      </c>
      <c r="L101" s="21">
        <v>2816158.99</v>
      </c>
      <c r="M101" s="25">
        <f t="shared" si="54"/>
        <v>0.11662734993523916</v>
      </c>
      <c r="N101" s="10"/>
      <c r="R101" s="2"/>
    </row>
    <row r="102" spans="1:18" ht="15" customHeight="1" x14ac:dyDescent="0.25">
      <c r="A102" s="19"/>
      <c r="B102" s="20">
        <f>DATE(2021,10,1)</f>
        <v>44470</v>
      </c>
      <c r="C102" s="21">
        <v>51019</v>
      </c>
      <c r="D102" s="21">
        <v>42403</v>
      </c>
      <c r="E102" s="23">
        <f t="shared" si="50"/>
        <v>0.20319317029455464</v>
      </c>
      <c r="F102" s="21">
        <f>+C102-26626</f>
        <v>24393</v>
      </c>
      <c r="G102" s="21">
        <f>+D102-22277</f>
        <v>20126</v>
      </c>
      <c r="H102" s="23">
        <f t="shared" si="51"/>
        <v>0.21201430984795785</v>
      </c>
      <c r="I102" s="24">
        <f t="shared" si="52"/>
        <v>68.506604010270692</v>
      </c>
      <c r="J102" s="24">
        <f t="shared" si="53"/>
        <v>143.28448448325341</v>
      </c>
      <c r="K102" s="21">
        <v>3495138.43</v>
      </c>
      <c r="L102" s="21">
        <v>2872212.37</v>
      </c>
      <c r="M102" s="25">
        <f t="shared" si="54"/>
        <v>0.21688022324059555</v>
      </c>
      <c r="N102" s="10"/>
      <c r="R102" s="2"/>
    </row>
    <row r="103" spans="1:18" ht="15" customHeight="1" x14ac:dyDescent="0.25">
      <c r="A103" s="19"/>
      <c r="B103" s="20">
        <f>DATE(2021,11,1)</f>
        <v>44501</v>
      </c>
      <c r="C103" s="21">
        <v>42978</v>
      </c>
      <c r="D103" s="21">
        <v>37816</v>
      </c>
      <c r="E103" s="23">
        <f t="shared" si="50"/>
        <v>0.13650306748466257</v>
      </c>
      <c r="F103" s="21">
        <f>+C103-22231</f>
        <v>20747</v>
      </c>
      <c r="G103" s="21">
        <f>+D103-19316</f>
        <v>18500</v>
      </c>
      <c r="H103" s="23">
        <f t="shared" si="51"/>
        <v>0.12145945945945946</v>
      </c>
      <c r="I103" s="24">
        <f t="shared" si="52"/>
        <v>74.270796453999722</v>
      </c>
      <c r="J103" s="24">
        <f t="shared" si="53"/>
        <v>153.85406516604812</v>
      </c>
      <c r="K103" s="21">
        <v>3192010.29</v>
      </c>
      <c r="L103" s="21">
        <v>2647748.7999999998</v>
      </c>
      <c r="M103" s="25">
        <f t="shared" si="54"/>
        <v>0.20555631636958924</v>
      </c>
      <c r="N103" s="10"/>
      <c r="R103" s="2"/>
    </row>
    <row r="104" spans="1:18" ht="15" customHeight="1" x14ac:dyDescent="0.25">
      <c r="A104" s="19"/>
      <c r="B104" s="20">
        <f>DATE(2021,12,1)</f>
        <v>44531</v>
      </c>
      <c r="C104" s="21">
        <v>46795</v>
      </c>
      <c r="D104" s="21">
        <v>48198</v>
      </c>
      <c r="E104" s="23">
        <f t="shared" si="50"/>
        <v>-2.9109091663554503E-2</v>
      </c>
      <c r="F104" s="21">
        <f>+C104-24461</f>
        <v>22334</v>
      </c>
      <c r="G104" s="21">
        <f>+D104-24463</f>
        <v>23735</v>
      </c>
      <c r="H104" s="23">
        <f t="shared" si="51"/>
        <v>-5.9026753739203706E-2</v>
      </c>
      <c r="I104" s="24">
        <f t="shared" si="52"/>
        <v>67.792409231755528</v>
      </c>
      <c r="J104" s="24">
        <f t="shared" si="53"/>
        <v>142.04109384794484</v>
      </c>
      <c r="K104" s="21">
        <v>3172345.79</v>
      </c>
      <c r="L104" s="21">
        <v>3323052.33</v>
      </c>
      <c r="M104" s="25">
        <f t="shared" si="54"/>
        <v>-4.5351840727708322E-2</v>
      </c>
      <c r="N104" s="10"/>
      <c r="R104" s="2"/>
    </row>
    <row r="105" spans="1:18" ht="15.75" thickBot="1" x14ac:dyDescent="0.25">
      <c r="A105" s="38"/>
      <c r="B105" s="20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7.25" thickTop="1" thickBot="1" x14ac:dyDescent="0.3">
      <c r="A106" s="62" t="s">
        <v>14</v>
      </c>
      <c r="B106" s="52"/>
      <c r="C106" s="48">
        <f>SUM(C99:C105)</f>
        <v>290288</v>
      </c>
      <c r="D106" s="48">
        <f>SUM(D99:D105)</f>
        <v>263004</v>
      </c>
      <c r="E106" s="280">
        <f>(+C106-D106)/D106</f>
        <v>0.10373986707426502</v>
      </c>
      <c r="F106" s="48">
        <f>SUM(F99:F105)</f>
        <v>140204</v>
      </c>
      <c r="G106" s="48">
        <f>SUM(G99:G105)</f>
        <v>128049</v>
      </c>
      <c r="H106" s="42">
        <f>(+F106-G106)/G106</f>
        <v>9.4924599176877608E-2</v>
      </c>
      <c r="I106" s="50">
        <f>K106/C106</f>
        <v>68.434202826158838</v>
      </c>
      <c r="J106" s="50">
        <f>K106/F106</f>
        <v>141.69087807765825</v>
      </c>
      <c r="K106" s="48">
        <f>SUM(K99:K105)</f>
        <v>19865627.869999997</v>
      </c>
      <c r="L106" s="48">
        <f>SUM(L99:L105)</f>
        <v>17705229.759999998</v>
      </c>
      <c r="M106" s="44">
        <f>(+K106-L106)/L106</f>
        <v>0.12202033745310739</v>
      </c>
      <c r="N106" s="10"/>
      <c r="R106" s="2"/>
    </row>
    <row r="107" spans="1:18" ht="15.75" customHeight="1" thickTop="1" x14ac:dyDescent="0.25">
      <c r="A107" s="19"/>
      <c r="B107" s="45"/>
      <c r="C107" s="21"/>
      <c r="D107" s="21"/>
      <c r="E107" s="23"/>
      <c r="F107" s="21"/>
      <c r="G107" s="21"/>
      <c r="H107" s="23"/>
      <c r="I107" s="24"/>
      <c r="J107" s="24"/>
      <c r="K107" s="21"/>
      <c r="L107" s="21"/>
      <c r="M107" s="25"/>
      <c r="N107" s="10"/>
      <c r="R107" s="2"/>
    </row>
    <row r="108" spans="1:18" ht="15.75" x14ac:dyDescent="0.25">
      <c r="A108" s="19" t="s">
        <v>17</v>
      </c>
      <c r="B108" s="20">
        <f>DATE(2021,7,1)</f>
        <v>44378</v>
      </c>
      <c r="C108" s="21">
        <v>395405</v>
      </c>
      <c r="D108" s="21">
        <v>316439</v>
      </c>
      <c r="E108" s="23">
        <f t="shared" ref="E108:E113" si="55">(+C108-D108)/D108</f>
        <v>0.24954572603250547</v>
      </c>
      <c r="F108" s="21">
        <f>+C108-202613</f>
        <v>192792</v>
      </c>
      <c r="G108" s="21">
        <f>+D108-163690</f>
        <v>152749</v>
      </c>
      <c r="H108" s="23">
        <f t="shared" ref="H108:H113" si="56">(+F108-G108)/G108</f>
        <v>0.26214901570550381</v>
      </c>
      <c r="I108" s="24">
        <f t="shared" ref="I108:I113" si="57">K108/C108</f>
        <v>66.968329004438488</v>
      </c>
      <c r="J108" s="24">
        <f t="shared" ref="J108:J113" si="58">K108/F108</f>
        <v>137.34808565708121</v>
      </c>
      <c r="K108" s="21">
        <v>26479612.129999999</v>
      </c>
      <c r="L108" s="21">
        <v>22725911.809999999</v>
      </c>
      <c r="M108" s="25">
        <f t="shared" ref="M108:M113" si="59">(+K108-L108)/L108</f>
        <v>0.1651727046810185</v>
      </c>
      <c r="N108" s="10"/>
      <c r="R108" s="2"/>
    </row>
    <row r="109" spans="1:18" ht="15.75" x14ac:dyDescent="0.25">
      <c r="A109" s="19"/>
      <c r="B109" s="20">
        <f>DATE(2021,8,1)</f>
        <v>44409</v>
      </c>
      <c r="C109" s="21">
        <v>371634</v>
      </c>
      <c r="D109" s="21">
        <v>305395</v>
      </c>
      <c r="E109" s="23">
        <f t="shared" si="55"/>
        <v>0.21689615088655675</v>
      </c>
      <c r="F109" s="21">
        <f>+C109-197282</f>
        <v>174352</v>
      </c>
      <c r="G109" s="21">
        <f>+D109-155433</f>
        <v>149962</v>
      </c>
      <c r="H109" s="23">
        <f t="shared" si="56"/>
        <v>0.16264120243795094</v>
      </c>
      <c r="I109" s="24">
        <f t="shared" si="57"/>
        <v>65.719749430891682</v>
      </c>
      <c r="J109" s="24">
        <f t="shared" si="58"/>
        <v>140.08266816555016</v>
      </c>
      <c r="K109" s="21">
        <v>24423693.359999999</v>
      </c>
      <c r="L109" s="21">
        <v>20775703.289999999</v>
      </c>
      <c r="M109" s="25">
        <f t="shared" si="59"/>
        <v>0.17558924572030699</v>
      </c>
      <c r="N109" s="10"/>
      <c r="R109" s="2"/>
    </row>
    <row r="110" spans="1:18" ht="15.75" x14ac:dyDescent="0.25">
      <c r="A110" s="19"/>
      <c r="B110" s="20">
        <f>DATE(2021,9,1)</f>
        <v>44440</v>
      </c>
      <c r="C110" s="21">
        <v>353914</v>
      </c>
      <c r="D110" s="21">
        <v>318244</v>
      </c>
      <c r="E110" s="23">
        <f t="shared" si="55"/>
        <v>0.11208380990686391</v>
      </c>
      <c r="F110" s="21">
        <f>+C110-154473</f>
        <v>199441</v>
      </c>
      <c r="G110" s="21">
        <f>+D110-166636</f>
        <v>151608</v>
      </c>
      <c r="H110" s="23">
        <f t="shared" si="56"/>
        <v>0.31550445886760592</v>
      </c>
      <c r="I110" s="24">
        <f t="shared" si="57"/>
        <v>67.129138321739177</v>
      </c>
      <c r="J110" s="24">
        <f t="shared" si="58"/>
        <v>119.12265712666904</v>
      </c>
      <c r="K110" s="21">
        <v>23757941.859999999</v>
      </c>
      <c r="L110" s="21">
        <v>20397277.649999999</v>
      </c>
      <c r="M110" s="25">
        <f t="shared" si="59"/>
        <v>0.16476042870358246</v>
      </c>
      <c r="N110" s="10"/>
      <c r="R110" s="2"/>
    </row>
    <row r="111" spans="1:18" ht="15.75" x14ac:dyDescent="0.25">
      <c r="A111" s="19"/>
      <c r="B111" s="20">
        <f>DATE(2021,10,1)</f>
        <v>44470</v>
      </c>
      <c r="C111" s="21">
        <v>364454</v>
      </c>
      <c r="D111" s="21">
        <v>334295</v>
      </c>
      <c r="E111" s="23">
        <f t="shared" si="55"/>
        <v>9.0216724749098851E-2</v>
      </c>
      <c r="F111" s="21">
        <f>+C111-184794</f>
        <v>179660</v>
      </c>
      <c r="G111" s="21">
        <f>+D111-175103</f>
        <v>159192</v>
      </c>
      <c r="H111" s="23">
        <f t="shared" si="56"/>
        <v>0.12857430021609126</v>
      </c>
      <c r="I111" s="24">
        <f t="shared" si="57"/>
        <v>73.070886010305827</v>
      </c>
      <c r="J111" s="24">
        <f t="shared" si="58"/>
        <v>148.22986023600134</v>
      </c>
      <c r="K111" s="21">
        <v>26630976.690000001</v>
      </c>
      <c r="L111" s="21">
        <v>21914196.890000001</v>
      </c>
      <c r="M111" s="25">
        <f t="shared" si="59"/>
        <v>0.21523854256107308</v>
      </c>
      <c r="N111" s="10"/>
      <c r="R111" s="2"/>
    </row>
    <row r="112" spans="1:18" ht="15.75" x14ac:dyDescent="0.25">
      <c r="A112" s="19"/>
      <c r="B112" s="20">
        <f>DATE(2021,11,1)</f>
        <v>44501</v>
      </c>
      <c r="C112" s="21">
        <v>343235</v>
      </c>
      <c r="D112" s="21">
        <v>292924</v>
      </c>
      <c r="E112" s="23">
        <f t="shared" si="55"/>
        <v>0.17175444825278913</v>
      </c>
      <c r="F112" s="21">
        <f>+C112-177609</f>
        <v>165626</v>
      </c>
      <c r="G112" s="21">
        <f>+D112-150746</f>
        <v>142178</v>
      </c>
      <c r="H112" s="23">
        <f t="shared" si="56"/>
        <v>0.1649200298217727</v>
      </c>
      <c r="I112" s="24">
        <f t="shared" si="57"/>
        <v>69.571718618439263</v>
      </c>
      <c r="J112" s="24">
        <f t="shared" si="58"/>
        <v>144.17693381473924</v>
      </c>
      <c r="K112" s="21">
        <v>23879448.84</v>
      </c>
      <c r="L112" s="21">
        <v>19060349.809999999</v>
      </c>
      <c r="M112" s="25">
        <f t="shared" si="59"/>
        <v>0.25283371386351283</v>
      </c>
      <c r="N112" s="10"/>
      <c r="R112" s="2"/>
    </row>
    <row r="113" spans="1:18" ht="15.75" x14ac:dyDescent="0.25">
      <c r="A113" s="19"/>
      <c r="B113" s="20">
        <f>DATE(2021,12,1)</f>
        <v>44531</v>
      </c>
      <c r="C113" s="21">
        <v>379724</v>
      </c>
      <c r="D113" s="21">
        <v>344056</v>
      </c>
      <c r="E113" s="23">
        <f t="shared" si="55"/>
        <v>0.10366917013509429</v>
      </c>
      <c r="F113" s="21">
        <f>+C113-197551</f>
        <v>182173</v>
      </c>
      <c r="G113" s="21">
        <f>+D113-176597</f>
        <v>167459</v>
      </c>
      <c r="H113" s="23">
        <f t="shared" si="56"/>
        <v>8.7866283687350333E-2</v>
      </c>
      <c r="I113" s="24">
        <f t="shared" si="57"/>
        <v>71.763074496213036</v>
      </c>
      <c r="J113" s="24">
        <f t="shared" si="58"/>
        <v>149.58397622040587</v>
      </c>
      <c r="K113" s="21">
        <v>27250161.699999999</v>
      </c>
      <c r="L113" s="21">
        <v>23881076.289999999</v>
      </c>
      <c r="M113" s="25">
        <f t="shared" si="59"/>
        <v>0.14107762016617217</v>
      </c>
      <c r="N113" s="10"/>
      <c r="R113" s="2"/>
    </row>
    <row r="114" spans="1:18" ht="15.75" thickBot="1" x14ac:dyDescent="0.25">
      <c r="A114" s="38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Top="1" thickBot="1" x14ac:dyDescent="0.3">
      <c r="A115" s="39" t="s">
        <v>14</v>
      </c>
      <c r="B115" s="40"/>
      <c r="C115" s="41">
        <f>SUM(C108:C114)</f>
        <v>2208366</v>
      </c>
      <c r="D115" s="41">
        <f>SUM(D108:D114)</f>
        <v>1911353</v>
      </c>
      <c r="E115" s="280">
        <f>(+C115-D115)/D115</f>
        <v>0.15539411087329238</v>
      </c>
      <c r="F115" s="41">
        <f>SUM(F108:F114)</f>
        <v>1094044</v>
      </c>
      <c r="G115" s="41">
        <f>SUM(G108:G114)</f>
        <v>923148</v>
      </c>
      <c r="H115" s="42">
        <f>(+F115-G115)/G115</f>
        <v>0.18512307885626139</v>
      </c>
      <c r="I115" s="43">
        <f>K115/C115</f>
        <v>69.020187133835591</v>
      </c>
      <c r="J115" s="43">
        <f>K115/F115</f>
        <v>139.31965677797234</v>
      </c>
      <c r="K115" s="41">
        <f>SUM(K108:K114)</f>
        <v>152421834.57999998</v>
      </c>
      <c r="L115" s="41">
        <f>SUM(L108:L114)</f>
        <v>128754515.73999998</v>
      </c>
      <c r="M115" s="44">
        <f>(+K115-L115)/L115</f>
        <v>0.18381738849294055</v>
      </c>
      <c r="N115" s="10"/>
      <c r="R115" s="2"/>
    </row>
    <row r="116" spans="1:18" ht="15.75" customHeight="1" thickTop="1" x14ac:dyDescent="0.25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5.75" x14ac:dyDescent="0.25">
      <c r="A117" s="19" t="s">
        <v>57</v>
      </c>
      <c r="B117" s="20">
        <f>DATE(2021,7,1)</f>
        <v>44378</v>
      </c>
      <c r="C117" s="21">
        <v>70527</v>
      </c>
      <c r="D117" s="21">
        <v>61338</v>
      </c>
      <c r="E117" s="23">
        <f t="shared" ref="E117:E122" si="60">(+C117-D117)/D117</f>
        <v>0.14980925364374451</v>
      </c>
      <c r="F117" s="21">
        <f>+C117-30135</f>
        <v>40392</v>
      </c>
      <c r="G117" s="21">
        <f>+D117-27914</f>
        <v>33424</v>
      </c>
      <c r="H117" s="23">
        <f t="shared" ref="H117:H122" si="61">(+F117-G117)/G117</f>
        <v>0.20847295356629966</v>
      </c>
      <c r="I117" s="24">
        <f t="shared" ref="I117:I122" si="62">K117/C117</f>
        <v>58.011039318275266</v>
      </c>
      <c r="J117" s="24">
        <f t="shared" ref="J117:J122" si="63">K117/F117</f>
        <v>101.29096281441869</v>
      </c>
      <c r="K117" s="21">
        <v>4091344.57</v>
      </c>
      <c r="L117" s="21">
        <v>3513092.29</v>
      </c>
      <c r="M117" s="25">
        <f t="shared" ref="M117:M122" si="64">(+K117-L117)/L117</f>
        <v>0.16459922833396437</v>
      </c>
      <c r="N117" s="10"/>
      <c r="R117" s="2"/>
    </row>
    <row r="118" spans="1:18" ht="15.75" x14ac:dyDescent="0.25">
      <c r="A118" s="19"/>
      <c r="B118" s="20">
        <f>DATE(2021,8,1)</f>
        <v>44409</v>
      </c>
      <c r="C118" s="21">
        <v>69916</v>
      </c>
      <c r="D118" s="21">
        <v>61855</v>
      </c>
      <c r="E118" s="23">
        <f t="shared" si="60"/>
        <v>0.13032091180987795</v>
      </c>
      <c r="F118" s="21">
        <f>+C118-30124</f>
        <v>39792</v>
      </c>
      <c r="G118" s="21">
        <f>+D118-27562</f>
        <v>34293</v>
      </c>
      <c r="H118" s="23">
        <f t="shared" si="61"/>
        <v>0.16035342489720936</v>
      </c>
      <c r="I118" s="24">
        <f t="shared" si="62"/>
        <v>56.214888723611196</v>
      </c>
      <c r="J118" s="24">
        <f t="shared" si="63"/>
        <v>98.771616405307597</v>
      </c>
      <c r="K118" s="21">
        <v>3930320.16</v>
      </c>
      <c r="L118" s="21">
        <v>3548299.04</v>
      </c>
      <c r="M118" s="25">
        <f t="shared" si="64"/>
        <v>0.10766316922375294</v>
      </c>
      <c r="N118" s="10"/>
      <c r="R118" s="2"/>
    </row>
    <row r="119" spans="1:18" ht="15.75" x14ac:dyDescent="0.25">
      <c r="A119" s="19"/>
      <c r="B119" s="20">
        <f>DATE(2021,9,1)</f>
        <v>44440</v>
      </c>
      <c r="C119" s="21">
        <v>66900</v>
      </c>
      <c r="D119" s="21">
        <v>58255</v>
      </c>
      <c r="E119" s="23">
        <f t="shared" si="60"/>
        <v>0.14839927903184277</v>
      </c>
      <c r="F119" s="21">
        <f>+C119-28690</f>
        <v>38210</v>
      </c>
      <c r="G119" s="21">
        <f>+D119-26013</f>
        <v>32242</v>
      </c>
      <c r="H119" s="23">
        <f t="shared" si="61"/>
        <v>0.18510017988958502</v>
      </c>
      <c r="I119" s="24">
        <f t="shared" si="62"/>
        <v>54.345169955156955</v>
      </c>
      <c r="J119" s="24">
        <f t="shared" si="63"/>
        <v>95.150271394922797</v>
      </c>
      <c r="K119" s="21">
        <v>3635691.87</v>
      </c>
      <c r="L119" s="21">
        <v>3207756.78</v>
      </c>
      <c r="M119" s="25">
        <f t="shared" si="64"/>
        <v>0.13340633949186145</v>
      </c>
      <c r="N119" s="10"/>
      <c r="R119" s="2"/>
    </row>
    <row r="120" spans="1:18" ht="15.75" x14ac:dyDescent="0.25">
      <c r="A120" s="19"/>
      <c r="B120" s="20">
        <f>DATE(2021,10,1)</f>
        <v>44470</v>
      </c>
      <c r="C120" s="21">
        <v>71041</v>
      </c>
      <c r="D120" s="21">
        <v>55328</v>
      </c>
      <c r="E120" s="23">
        <f t="shared" si="60"/>
        <v>0.28399725274725274</v>
      </c>
      <c r="F120" s="21">
        <f>+C120-30775</f>
        <v>40266</v>
      </c>
      <c r="G120" s="21">
        <f>+D120-22799</f>
        <v>32529</v>
      </c>
      <c r="H120" s="23">
        <f t="shared" si="61"/>
        <v>0.23784930369823851</v>
      </c>
      <c r="I120" s="24">
        <f t="shared" si="62"/>
        <v>58.034915893638882</v>
      </c>
      <c r="J120" s="24">
        <f t="shared" si="63"/>
        <v>102.39056424775245</v>
      </c>
      <c r="K120" s="21">
        <v>4122858.46</v>
      </c>
      <c r="L120" s="21">
        <v>2898446.12</v>
      </c>
      <c r="M120" s="25">
        <f t="shared" si="64"/>
        <v>0.42243750247805184</v>
      </c>
      <c r="N120" s="10"/>
      <c r="R120" s="2"/>
    </row>
    <row r="121" spans="1:18" ht="15.75" x14ac:dyDescent="0.25">
      <c r="A121" s="19"/>
      <c r="B121" s="20">
        <f>DATE(2021,11,1)</f>
        <v>44501</v>
      </c>
      <c r="C121" s="21">
        <v>63538</v>
      </c>
      <c r="D121" s="21">
        <v>49882</v>
      </c>
      <c r="E121" s="23">
        <f t="shared" si="60"/>
        <v>0.27376608796760354</v>
      </c>
      <c r="F121" s="21">
        <f>+C121-27532</f>
        <v>36006</v>
      </c>
      <c r="G121" s="21">
        <f>+D121-20773</f>
        <v>29109</v>
      </c>
      <c r="H121" s="23">
        <f t="shared" si="61"/>
        <v>0.23693702978460271</v>
      </c>
      <c r="I121" s="24">
        <f t="shared" si="62"/>
        <v>58.944575057445938</v>
      </c>
      <c r="J121" s="24">
        <f t="shared" si="63"/>
        <v>104.01656418374716</v>
      </c>
      <c r="K121" s="21">
        <v>3745220.41</v>
      </c>
      <c r="L121" s="21">
        <v>2559239.66</v>
      </c>
      <c r="M121" s="25">
        <f t="shared" si="64"/>
        <v>0.46341136726522908</v>
      </c>
      <c r="N121" s="10"/>
      <c r="R121" s="2"/>
    </row>
    <row r="122" spans="1:18" ht="15.75" x14ac:dyDescent="0.25">
      <c r="A122" s="19"/>
      <c r="B122" s="20">
        <f>DATE(2021,12,1)</f>
        <v>44531</v>
      </c>
      <c r="C122" s="21">
        <v>69761</v>
      </c>
      <c r="D122" s="21">
        <v>53490</v>
      </c>
      <c r="E122" s="23">
        <f t="shared" si="60"/>
        <v>0.30418769863525891</v>
      </c>
      <c r="F122" s="21">
        <f>+C122-31055</f>
        <v>38706</v>
      </c>
      <c r="G122" s="21">
        <f>+D122-22512</f>
        <v>30978</v>
      </c>
      <c r="H122" s="23">
        <f t="shared" si="61"/>
        <v>0.2494673639356963</v>
      </c>
      <c r="I122" s="24">
        <f t="shared" si="62"/>
        <v>59.03780880434627</v>
      </c>
      <c r="J122" s="24">
        <f t="shared" si="63"/>
        <v>106.40563685216762</v>
      </c>
      <c r="K122" s="21">
        <v>4118536.58</v>
      </c>
      <c r="L122" s="21">
        <v>2814228.51</v>
      </c>
      <c r="M122" s="25">
        <f t="shared" si="64"/>
        <v>0.46346914096183339</v>
      </c>
      <c r="N122" s="10"/>
      <c r="R122" s="2"/>
    </row>
    <row r="123" spans="1:18" ht="15.75" thickBot="1" x14ac:dyDescent="0.25">
      <c r="A123" s="38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7.25" thickTop="1" thickBot="1" x14ac:dyDescent="0.3">
      <c r="A124" s="26" t="s">
        <v>14</v>
      </c>
      <c r="B124" s="27"/>
      <c r="C124" s="28">
        <f>SUM(C117:C123)</f>
        <v>411683</v>
      </c>
      <c r="D124" s="28">
        <f>SUM(D117:D123)</f>
        <v>340148</v>
      </c>
      <c r="E124" s="280">
        <f>(+C124-D124)/D124</f>
        <v>0.21030551407034584</v>
      </c>
      <c r="F124" s="28">
        <f>SUM(F117:F123)</f>
        <v>233372</v>
      </c>
      <c r="G124" s="28">
        <f>SUM(G117:G123)</f>
        <v>192575</v>
      </c>
      <c r="H124" s="42">
        <f>(+F124-G124)/G124</f>
        <v>0.21184992859924703</v>
      </c>
      <c r="I124" s="43">
        <f>K124/C124</f>
        <v>57.432471221789591</v>
      </c>
      <c r="J124" s="43">
        <f>K124/F124</f>
        <v>101.31451952247915</v>
      </c>
      <c r="K124" s="28">
        <f>SUM(K117:K123)</f>
        <v>23643972.050000004</v>
      </c>
      <c r="L124" s="28">
        <f>SUM(L117:L123)</f>
        <v>18541062.399999999</v>
      </c>
      <c r="M124" s="44">
        <f>(+K124-L124)/L124</f>
        <v>0.27522207411372535</v>
      </c>
      <c r="N124" s="10"/>
      <c r="R124" s="2"/>
    </row>
    <row r="125" spans="1:18" ht="16.5" thickTop="1" thickBot="1" x14ac:dyDescent="0.25">
      <c r="A125" s="63"/>
      <c r="B125" s="34"/>
      <c r="C125" s="35"/>
      <c r="D125" s="35"/>
      <c r="E125" s="29"/>
      <c r="F125" s="35"/>
      <c r="G125" s="35"/>
      <c r="H125" s="29"/>
      <c r="I125" s="36"/>
      <c r="J125" s="36"/>
      <c r="K125" s="35"/>
      <c r="L125" s="35"/>
      <c r="M125" s="37"/>
      <c r="N125" s="10"/>
      <c r="R125" s="2"/>
    </row>
    <row r="126" spans="1:18" ht="17.25" thickTop="1" thickBot="1" x14ac:dyDescent="0.3">
      <c r="A126" s="64" t="s">
        <v>18</v>
      </c>
      <c r="B126" s="65"/>
      <c r="C126" s="28">
        <f>C124+C115+C52+C70+C79+C34+C16+C88+C97+C43+C106+C25+C61</f>
        <v>15276539</v>
      </c>
      <c r="D126" s="28">
        <f>D124+D115+D52+D70+D79+D34+D16+D88+D97+D43+D106+D25+D61</f>
        <v>12656436</v>
      </c>
      <c r="E126" s="279">
        <f>(+C126-D126)/D126</f>
        <v>0.20701744156095761</v>
      </c>
      <c r="F126" s="28">
        <f>F124+F115+F52+F70+F79+F34+F16+F88+F97+F43+F106+F25+F61</f>
        <v>7774227</v>
      </c>
      <c r="G126" s="28">
        <f>G124+G115+G52+G70+G79+G34+G16+G88+G97+G43+G106+G25+G61</f>
        <v>6456764</v>
      </c>
      <c r="H126" s="30">
        <f>(+F126-G126)/G126</f>
        <v>0.20404385230744068</v>
      </c>
      <c r="I126" s="31">
        <f>K126/C126</f>
        <v>62.141033669995537</v>
      </c>
      <c r="J126" s="31">
        <f>K126/F126</f>
        <v>122.1085934794546</v>
      </c>
      <c r="K126" s="28">
        <f>K124+K115+K52+K70+K79+K34+K16+K88+K97+K43+K106+K25+K61</f>
        <v>949299924.3599999</v>
      </c>
      <c r="L126" s="28">
        <f>L124+L115+L52+L70+L79+L34+L16+L88+L97+L43+L106+L25+L61</f>
        <v>778973123.27999985</v>
      </c>
      <c r="M126" s="32">
        <f>(+K126-L126)/L126</f>
        <v>0.21865555561507674</v>
      </c>
      <c r="N126" s="10"/>
      <c r="R126" s="2"/>
    </row>
    <row r="127" spans="1:18" ht="17.25" thickTop="1" thickBot="1" x14ac:dyDescent="0.3">
      <c r="A127" s="64"/>
      <c r="B127" s="65"/>
      <c r="C127" s="28"/>
      <c r="D127" s="28"/>
      <c r="E127" s="29"/>
      <c r="F127" s="28"/>
      <c r="G127" s="28"/>
      <c r="H127" s="30"/>
      <c r="I127" s="31"/>
      <c r="J127" s="31"/>
      <c r="K127" s="28"/>
      <c r="L127" s="28"/>
      <c r="M127" s="32"/>
      <c r="N127" s="10"/>
      <c r="R127" s="2"/>
    </row>
    <row r="128" spans="1:18" ht="17.25" thickTop="1" thickBot="1" x14ac:dyDescent="0.3">
      <c r="A128" s="64" t="s">
        <v>19</v>
      </c>
      <c r="B128" s="65"/>
      <c r="C128" s="28">
        <f>SUM(C14+C23+C32+C41+C50+C59+C68+C77+C86+C95+C104+C113+C122)</f>
        <v>2538405</v>
      </c>
      <c r="D128" s="28">
        <f>SUM(D14+D23+D32+D41+D50+D59+D68+D77+D86+D95+D104+D113+D122)</f>
        <v>2158515</v>
      </c>
      <c r="E128" s="279">
        <f>(+C128-D128)/D128</f>
        <v>0.17599599724810808</v>
      </c>
      <c r="F128" s="28">
        <f>SUM(F14+F23+F32+F41+F50+F59+F68+F77+F86+F95+F104+F113+F122)</f>
        <v>1284072</v>
      </c>
      <c r="G128" s="28">
        <f>SUM(G14+G23+G32+G41+G50+G59+G68+G77+G86+G95+G104+G113+G122)</f>
        <v>1101251</v>
      </c>
      <c r="H128" s="30">
        <f>(+F128-G128)/G128</f>
        <v>0.16601210804802902</v>
      </c>
      <c r="I128" s="31">
        <f>K128/C128</f>
        <v>64.343281403085797</v>
      </c>
      <c r="J128" s="31">
        <f>K128/F128</f>
        <v>127.19637779657215</v>
      </c>
      <c r="K128" s="28">
        <f>SUM(K14+K23+K32+K41+K50+K59+K68+K77+K86+K95+K104+K113+K122)</f>
        <v>163329307.22999999</v>
      </c>
      <c r="L128" s="28">
        <f>SUM(L14+L23+L32+L41+L50+L59+L68+L77+L86+L95+L104+L113+L122)</f>
        <v>134117824.11000003</v>
      </c>
      <c r="M128" s="32">
        <f>(+K128-L128)/L128</f>
        <v>0.21780463047209478</v>
      </c>
      <c r="N128" s="10"/>
      <c r="R128" s="2"/>
    </row>
    <row r="129" spans="1:18" ht="15.75" thickTop="1" x14ac:dyDescent="0.2">
      <c r="A129" s="66"/>
      <c r="B129" s="67"/>
      <c r="C129" s="68"/>
      <c r="D129" s="67"/>
      <c r="E129" s="67"/>
      <c r="F129" s="67"/>
      <c r="G129" s="67"/>
      <c r="H129" s="67"/>
      <c r="I129" s="67"/>
      <c r="J129" s="67"/>
      <c r="K129" s="68"/>
      <c r="L129" s="68"/>
      <c r="M129" s="67"/>
      <c r="R129" s="2"/>
    </row>
    <row r="130" spans="1:18" ht="18.75" x14ac:dyDescent="0.3">
      <c r="A130" s="264" t="s">
        <v>20</v>
      </c>
      <c r="B130" s="70"/>
      <c r="C130" s="71"/>
      <c r="D130" s="71"/>
      <c r="E130" s="71"/>
      <c r="F130" s="71"/>
      <c r="G130" s="71"/>
      <c r="H130" s="71"/>
      <c r="I130" s="71"/>
      <c r="J130" s="71"/>
      <c r="K130" s="198"/>
      <c r="L130" s="198"/>
      <c r="M130" s="71"/>
      <c r="N130" s="2"/>
      <c r="O130" s="2"/>
      <c r="P130" s="2"/>
      <c r="Q130" s="2"/>
      <c r="R130" s="2"/>
    </row>
    <row r="131" spans="1:18" ht="18" x14ac:dyDescent="0.25">
      <c r="A131" s="69"/>
      <c r="B131" s="70"/>
      <c r="C131" s="71"/>
      <c r="D131" s="71"/>
      <c r="E131" s="71"/>
      <c r="F131" s="71"/>
      <c r="G131" s="71"/>
      <c r="H131" s="71"/>
      <c r="I131" s="71"/>
      <c r="J131" s="71"/>
      <c r="K131" s="198"/>
      <c r="L131" s="198"/>
      <c r="M131" s="71"/>
      <c r="N131" s="2"/>
      <c r="O131" s="2"/>
      <c r="P131" s="2"/>
      <c r="Q131" s="2"/>
      <c r="R131" s="2"/>
    </row>
    <row r="132" spans="1:18" ht="15.75" x14ac:dyDescent="0.25">
      <c r="A132" s="72"/>
      <c r="B132" s="73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3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3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3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73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73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3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4"/>
      <c r="N141" s="2"/>
      <c r="O141" s="2"/>
      <c r="P141" s="2"/>
      <c r="Q141" s="2"/>
      <c r="R141" s="2"/>
    </row>
    <row r="142" spans="1:18" x14ac:dyDescent="0.2">
      <c r="A142" s="2"/>
      <c r="B142" s="73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4"/>
      <c r="N142" s="2"/>
      <c r="O142" s="2"/>
      <c r="P142" s="2"/>
      <c r="Q142" s="2"/>
      <c r="R142" s="2"/>
    </row>
    <row r="143" spans="1:18" x14ac:dyDescent="0.2">
      <c r="A143" s="2"/>
      <c r="B143" s="70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4"/>
      <c r="N143" s="2"/>
      <c r="O143" s="2"/>
      <c r="P143" s="2"/>
      <c r="Q143" s="2"/>
      <c r="R143" s="2"/>
    </row>
    <row r="144" spans="1:18" ht="15.75" x14ac:dyDescent="0.25">
      <c r="A144" s="76"/>
      <c r="B144" s="70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.75" x14ac:dyDescent="0.25">
      <c r="A145" s="76"/>
      <c r="B145" s="70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.75" x14ac:dyDescent="0.25">
      <c r="A146" s="76"/>
      <c r="B146" s="70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70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 x14ac:dyDescent="0.25">
      <c r="A148" s="76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77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 x14ac:dyDescent="0.25">
      <c r="A161" s="76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.75" x14ac:dyDescent="0.25">
      <c r="A164" s="76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 x14ac:dyDescent="0.25">
      <c r="A165" s="76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 x14ac:dyDescent="0.25">
      <c r="A166" s="76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7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77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7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7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 x14ac:dyDescent="0.25">
      <c r="A179" s="76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.75" x14ac:dyDescent="0.25">
      <c r="A182" s="76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.75" x14ac:dyDescent="0.25">
      <c r="A188" s="76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.75" x14ac:dyDescent="0.25">
      <c r="A191" s="76"/>
      <c r="B191" s="76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2" max="12" man="1"/>
    <brk id="9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64</v>
      </c>
      <c r="E7" s="275" t="s">
        <v>56</v>
      </c>
      <c r="F7" s="84" t="s">
        <v>62</v>
      </c>
      <c r="G7" s="84" t="s">
        <v>65</v>
      </c>
      <c r="H7" s="84" t="s">
        <v>71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DATE(2021,7,1)</f>
        <v>44378</v>
      </c>
      <c r="B10" s="89">
        <f>'MONTHLY STATS'!$C$9*2</f>
        <v>465606</v>
      </c>
      <c r="C10" s="89">
        <f>'MONTHLY STATS'!$C$18*2</f>
        <v>232214</v>
      </c>
      <c r="D10" s="89">
        <f>'MONTHLY STATS'!$C$27*2</f>
        <v>133674</v>
      </c>
      <c r="E10" s="89">
        <f>'MONTHLY STATS'!$C$36*2</f>
        <v>674450</v>
      </c>
      <c r="F10" s="89">
        <f>'MONTHLY STATS'!$C$45*2</f>
        <v>512458</v>
      </c>
      <c r="G10" s="89">
        <f>'MONTHLY STATS'!$C$54*2</f>
        <v>208586</v>
      </c>
      <c r="H10" s="89">
        <f>'MONTHLY STATS'!$C$63*2</f>
        <v>449386</v>
      </c>
      <c r="I10" s="89">
        <f>'MONTHLY STATS'!$C$72*2</f>
        <v>502180</v>
      </c>
      <c r="J10" s="89">
        <f>'MONTHLY STATS'!$C$81*2</f>
        <v>585252</v>
      </c>
      <c r="K10" s="89">
        <f>'MONTHLY STATS'!$C$90*2</f>
        <v>677802</v>
      </c>
      <c r="L10" s="89">
        <f>'MONTHLY STATS'!$C$99*2</f>
        <v>109046</v>
      </c>
      <c r="M10" s="89">
        <f>'MONTHLY STATS'!$C$108*2</f>
        <v>790810</v>
      </c>
      <c r="N10" s="89">
        <f>'MONTHLY STATS'!$C$117*2</f>
        <v>141054</v>
      </c>
      <c r="O10" s="90">
        <f t="shared" ref="O10:O15" si="0">SUM(B10:N10)</f>
        <v>5482518</v>
      </c>
      <c r="P10" s="83"/>
    </row>
    <row r="11" spans="1:16" ht="15.75" x14ac:dyDescent="0.25">
      <c r="A11" s="88">
        <f>DATE(2021,8,1)</f>
        <v>44409</v>
      </c>
      <c r="B11" s="89">
        <f>'MONTHLY STATS'!$C$10*2</f>
        <v>450908</v>
      </c>
      <c r="C11" s="89">
        <f>'MONTHLY STATS'!$C$19*2</f>
        <v>206706</v>
      </c>
      <c r="D11" s="89">
        <f>'MONTHLY STATS'!$C$28*2</f>
        <v>112224</v>
      </c>
      <c r="E11" s="89">
        <f>'MONTHLY STATS'!$C$37*2</f>
        <v>604600</v>
      </c>
      <c r="F11" s="89">
        <f>'MONTHLY STATS'!$C$46*2</f>
        <v>465706</v>
      </c>
      <c r="G11" s="89">
        <f>'MONTHLY STATS'!$C$55*2</f>
        <v>186244</v>
      </c>
      <c r="H11" s="89">
        <f>'MONTHLY STATS'!$C$64*2</f>
        <v>507374</v>
      </c>
      <c r="I11" s="89">
        <f>'MONTHLY STATS'!$C$73*2</f>
        <v>430958</v>
      </c>
      <c r="J11" s="89">
        <f>'MONTHLY STATS'!$C$82*2</f>
        <v>505624</v>
      </c>
      <c r="K11" s="89">
        <f>'MONTHLY STATS'!$C$91*2</f>
        <v>631006</v>
      </c>
      <c r="L11" s="89">
        <f>'MONTHLY STATS'!$C$100*2</f>
        <v>95368</v>
      </c>
      <c r="M11" s="89">
        <f>'MONTHLY STATS'!$C$109*2</f>
        <v>743268</v>
      </c>
      <c r="N11" s="89">
        <f>'MONTHLY STATS'!$C$118*2</f>
        <v>139832</v>
      </c>
      <c r="O11" s="90">
        <f t="shared" si="0"/>
        <v>5079818</v>
      </c>
      <c r="P11" s="83"/>
    </row>
    <row r="12" spans="1:16" ht="15.75" x14ac:dyDescent="0.25">
      <c r="A12" s="88">
        <f>DATE(2021,9,1)</f>
        <v>44440</v>
      </c>
      <c r="B12" s="89">
        <f>'MONTHLY STATS'!$C$11*2</f>
        <v>412100</v>
      </c>
      <c r="C12" s="89">
        <f>'MONTHLY STATS'!$C$20*2</f>
        <v>207192</v>
      </c>
      <c r="D12" s="89">
        <f>'MONTHLY STATS'!$C$29*2</f>
        <v>116168</v>
      </c>
      <c r="E12" s="89">
        <f>'MONTHLY STATS'!$C$38*2</f>
        <v>672284</v>
      </c>
      <c r="F12" s="89">
        <f>'MONTHLY STATS'!$C$47*2</f>
        <v>448838</v>
      </c>
      <c r="G12" s="89">
        <f>'MONTHLY STATS'!$C$56*2</f>
        <v>184408</v>
      </c>
      <c r="H12" s="89">
        <f>'MONTHLY STATS'!$C$65*2</f>
        <v>471842</v>
      </c>
      <c r="I12" s="89">
        <f>'MONTHLY STATS'!$C$74*2</f>
        <v>427862</v>
      </c>
      <c r="J12" s="89">
        <f>'MONTHLY STATS'!$C$83*2</f>
        <v>491984</v>
      </c>
      <c r="K12" s="89">
        <f>'MONTHLY STATS'!$C$92*2</f>
        <v>658594</v>
      </c>
      <c r="L12" s="89">
        <f>'MONTHLY STATS'!$C$101*2</f>
        <v>94578</v>
      </c>
      <c r="M12" s="89">
        <f>'MONTHLY STATS'!$C$110*2</f>
        <v>707828</v>
      </c>
      <c r="N12" s="89">
        <f>'MONTHLY STATS'!$C$119*2</f>
        <v>133800</v>
      </c>
      <c r="O12" s="90">
        <f t="shared" si="0"/>
        <v>5027478</v>
      </c>
      <c r="P12" s="83"/>
    </row>
    <row r="13" spans="1:16" ht="15.75" x14ac:dyDescent="0.25">
      <c r="A13" s="88">
        <f>DATE(2021,10,1)</f>
        <v>44470</v>
      </c>
      <c r="B13" s="89">
        <f>'MONTHLY STATS'!$C$12*2</f>
        <v>439076</v>
      </c>
      <c r="C13" s="89">
        <f>'MONTHLY STATS'!$C$21*2</f>
        <v>220158</v>
      </c>
      <c r="D13" s="89">
        <f>'MONTHLY STATS'!$C$30*2</f>
        <v>115720</v>
      </c>
      <c r="E13" s="89">
        <f>'MONTHLY STATS'!$C$39*2</f>
        <v>667614</v>
      </c>
      <c r="F13" s="89">
        <f>'MONTHLY STATS'!$C$48*2</f>
        <v>463784</v>
      </c>
      <c r="G13" s="89">
        <f>'MONTHLY STATS'!$C$57*2</f>
        <v>186650</v>
      </c>
      <c r="H13" s="89">
        <f>'MONTHLY STATS'!$C$66*2</f>
        <v>443600</v>
      </c>
      <c r="I13" s="89">
        <f>'MONTHLY STATS'!$C$75*2</f>
        <v>425830</v>
      </c>
      <c r="J13" s="89">
        <f>'MONTHLY STATS'!$C$84*2</f>
        <v>531886</v>
      </c>
      <c r="K13" s="89">
        <f>'MONTHLY STATS'!$C$93*2</f>
        <v>686336</v>
      </c>
      <c r="L13" s="89">
        <f>'MONTHLY STATS'!$C$102*2</f>
        <v>102038</v>
      </c>
      <c r="M13" s="89">
        <f>'MONTHLY STATS'!$C$111*2</f>
        <v>728908</v>
      </c>
      <c r="N13" s="89">
        <f>'MONTHLY STATS'!$C$120*2</f>
        <v>142082</v>
      </c>
      <c r="O13" s="90">
        <f t="shared" si="0"/>
        <v>5153682</v>
      </c>
      <c r="P13" s="83"/>
    </row>
    <row r="14" spans="1:16" ht="15.75" x14ac:dyDescent="0.25">
      <c r="A14" s="88">
        <f>DATE(2021,11,1)</f>
        <v>44501</v>
      </c>
      <c r="B14" s="89">
        <f>'MONTHLY STATS'!$C$13*2</f>
        <v>402662</v>
      </c>
      <c r="C14" s="89">
        <f>'MONTHLY STATS'!$C$22*2</f>
        <v>190628</v>
      </c>
      <c r="D14" s="89">
        <f>'MONTHLY STATS'!$C$31*2</f>
        <v>103506</v>
      </c>
      <c r="E14" s="89">
        <f>'MONTHLY STATS'!$C$40*2</f>
        <v>606872</v>
      </c>
      <c r="F14" s="89">
        <f>'MONTHLY STATS'!$C$49*2</f>
        <v>439354</v>
      </c>
      <c r="G14" s="89">
        <f>'MONTHLY STATS'!$C$58*2</f>
        <v>175200</v>
      </c>
      <c r="H14" s="89">
        <f>'MONTHLY STATS'!$C$67*2</f>
        <v>404266</v>
      </c>
      <c r="I14" s="89">
        <f>'MONTHLY STATS'!$C$76*2</f>
        <v>368842</v>
      </c>
      <c r="J14" s="89">
        <f>'MONTHLY STATS'!$C$85*2</f>
        <v>503654</v>
      </c>
      <c r="K14" s="89">
        <f>'MONTHLY STATS'!$C$94*2</f>
        <v>638286</v>
      </c>
      <c r="L14" s="89">
        <f>'MONTHLY STATS'!$C$103*2</f>
        <v>85956</v>
      </c>
      <c r="M14" s="89">
        <f>'MONTHLY STATS'!$C$112*2</f>
        <v>686470</v>
      </c>
      <c r="N14" s="89">
        <f>'MONTHLY STATS'!$C$121*2</f>
        <v>127076</v>
      </c>
      <c r="O14" s="90">
        <f t="shared" si="0"/>
        <v>4732772</v>
      </c>
      <c r="P14" s="83"/>
    </row>
    <row r="15" spans="1:16" ht="15.75" x14ac:dyDescent="0.25">
      <c r="A15" s="88">
        <f>DATE(2021,12,1)</f>
        <v>44531</v>
      </c>
      <c r="B15" s="89">
        <f>'MONTHLY STATS'!$C$14*2</f>
        <v>425362</v>
      </c>
      <c r="C15" s="89">
        <f>'MONTHLY STATS'!$C$23*2</f>
        <v>208540</v>
      </c>
      <c r="D15" s="89">
        <f>'MONTHLY STATS'!$C$32*2</f>
        <v>114218</v>
      </c>
      <c r="E15" s="89">
        <f>'MONTHLY STATS'!$C$41*2</f>
        <v>627794</v>
      </c>
      <c r="F15" s="89">
        <f>'MONTHLY STATS'!$C$50*2</f>
        <v>466760</v>
      </c>
      <c r="G15" s="89">
        <f>'MONTHLY STATS'!$C$59*2</f>
        <v>195630</v>
      </c>
      <c r="H15" s="89">
        <f>'MONTHLY STATS'!$C$68*2</f>
        <v>411576</v>
      </c>
      <c r="I15" s="89">
        <f>'MONTHLY STATS'!$C$77*2</f>
        <v>422928</v>
      </c>
      <c r="J15" s="89">
        <f>'MONTHLY STATS'!$C$86*2</f>
        <v>536030</v>
      </c>
      <c r="K15" s="89">
        <f>'MONTHLY STATS'!$C$95*2</f>
        <v>675412</v>
      </c>
      <c r="L15" s="89">
        <f>'MONTHLY STATS'!$C$104*2</f>
        <v>93590</v>
      </c>
      <c r="M15" s="89">
        <f>'MONTHLY STATS'!$C$113*2</f>
        <v>759448</v>
      </c>
      <c r="N15" s="89">
        <f>'MONTHLY STATS'!$C$122*2</f>
        <v>139522</v>
      </c>
      <c r="O15" s="90">
        <f t="shared" si="0"/>
        <v>5076810</v>
      </c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2595714</v>
      </c>
      <c r="C23" s="90">
        <f t="shared" si="1"/>
        <v>1265438</v>
      </c>
      <c r="D23" s="90">
        <f t="shared" si="1"/>
        <v>695510</v>
      </c>
      <c r="E23" s="90">
        <f t="shared" si="1"/>
        <v>3853614</v>
      </c>
      <c r="F23" s="90">
        <f t="shared" si="1"/>
        <v>2796900</v>
      </c>
      <c r="G23" s="90">
        <f>SUM(G10:G21)</f>
        <v>1136718</v>
      </c>
      <c r="H23" s="90">
        <f t="shared" si="1"/>
        <v>2688044</v>
      </c>
      <c r="I23" s="90">
        <f>SUM(I10:I21)</f>
        <v>2578600</v>
      </c>
      <c r="J23" s="90">
        <f t="shared" si="1"/>
        <v>3154430</v>
      </c>
      <c r="K23" s="90">
        <f>SUM(K10:K21)</f>
        <v>3967436</v>
      </c>
      <c r="L23" s="90">
        <f t="shared" si="1"/>
        <v>580576</v>
      </c>
      <c r="M23" s="90">
        <f t="shared" si="1"/>
        <v>4416732</v>
      </c>
      <c r="N23" s="90">
        <f t="shared" si="1"/>
        <v>823366</v>
      </c>
      <c r="O23" s="90">
        <f t="shared" si="1"/>
        <v>30553078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64</v>
      </c>
      <c r="E28" s="275" t="s">
        <v>56</v>
      </c>
      <c r="F28" s="84" t="s">
        <v>62</v>
      </c>
      <c r="G28" s="84" t="s">
        <v>65</v>
      </c>
      <c r="H28" s="84" t="s">
        <v>71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DATE(2021,7,1)</f>
        <v>44378</v>
      </c>
      <c r="B31" s="89">
        <f>'MONTHLY STATS'!$K$9*0.21</f>
        <v>3347290.5080999997</v>
      </c>
      <c r="C31" s="89">
        <f>'MONTHLY STATS'!$K$18*0.21</f>
        <v>1692376.4865000001</v>
      </c>
      <c r="D31" s="89">
        <f>'MONTHLY STATS'!$K$27*0.21</f>
        <v>966002.71950000001</v>
      </c>
      <c r="E31" s="89">
        <f>'MONTHLY STATS'!$K$36*0.21</f>
        <v>4051465.2297</v>
      </c>
      <c r="F31" s="89">
        <f>'MONTHLY STATS'!$K$45*0.21</f>
        <v>3404376.3956999998</v>
      </c>
      <c r="G31" s="89">
        <f>'MONTHLY STATS'!$K$54*0.21</f>
        <v>1359356.1113999998</v>
      </c>
      <c r="H31" s="89">
        <f>'MONTHLY STATS'!$K$63*0.21</f>
        <v>1998001.6497</v>
      </c>
      <c r="I31" s="89">
        <f>'MONTHLY STATS'!$K$72*0.21</f>
        <v>3112641.8021999998</v>
      </c>
      <c r="J31" s="89">
        <f>'MONTHLY STATS'!$K$81*0.21</f>
        <v>3802869.9155999999</v>
      </c>
      <c r="K31" s="89">
        <f>'MONTHLY STATS'!$K$90*0.21</f>
        <v>4229164.4597999994</v>
      </c>
      <c r="L31" s="89">
        <f>'MONTHLY STATS'!$K$99*0.21</f>
        <v>763729.81019999995</v>
      </c>
      <c r="M31" s="89">
        <f>'MONTHLY STATS'!$K$108*0.21</f>
        <v>5560718.5472999997</v>
      </c>
      <c r="N31" s="89">
        <f>'MONTHLY STATS'!$K$117*0.21</f>
        <v>859182.35969999991</v>
      </c>
      <c r="O31" s="90">
        <f t="shared" ref="O31:O36" si="2">SUM(B31:N31)</f>
        <v>35147175.995400004</v>
      </c>
      <c r="P31" s="83"/>
    </row>
    <row r="32" spans="1:16" ht="15.75" x14ac:dyDescent="0.25">
      <c r="A32" s="88">
        <f>DATE(2021,8,1)</f>
        <v>44409</v>
      </c>
      <c r="B32" s="89">
        <f>'MONTHLY STATS'!$K$10*0.21</f>
        <v>3166085.3951999997</v>
      </c>
      <c r="C32" s="89">
        <f>'MONTHLY STATS'!$K$19*0.21</f>
        <v>1509930.7881</v>
      </c>
      <c r="D32" s="89">
        <f>'MONTHLY STATS'!$K$28*0.21</f>
        <v>806000.47290000005</v>
      </c>
      <c r="E32" s="89">
        <f>'MONTHLY STATS'!$K$37*0.21</f>
        <v>3699418.1552999998</v>
      </c>
      <c r="F32" s="89">
        <f>'MONTHLY STATS'!$K$46*0.21</f>
        <v>2811660.0855</v>
      </c>
      <c r="G32" s="89">
        <f>'MONTHLY STATS'!$K$55*0.21</f>
        <v>1231968.5007</v>
      </c>
      <c r="H32" s="89">
        <f>'MONTHLY STATS'!$K$64*0.21</f>
        <v>1988771.3873999999</v>
      </c>
      <c r="I32" s="89">
        <f>'MONTHLY STATS'!$K$73*0.21</f>
        <v>2755751.5986000001</v>
      </c>
      <c r="J32" s="89">
        <f>'MONTHLY STATS'!$K$82*0.21</f>
        <v>3419526.1169999996</v>
      </c>
      <c r="K32" s="89">
        <f>'MONTHLY STATS'!$K$91*0.21</f>
        <v>4030922.8196999999</v>
      </c>
      <c r="L32" s="89">
        <f>'MONTHLY STATS'!$K$100*0.21</f>
        <v>677192.16389999993</v>
      </c>
      <c r="M32" s="89">
        <f>'MONTHLY STATS'!$K$109*0.21</f>
        <v>5128975.6055999994</v>
      </c>
      <c r="N32" s="89">
        <f>'MONTHLY STATS'!$K$118*0.21</f>
        <v>825367.23360000004</v>
      </c>
      <c r="O32" s="90">
        <f t="shared" si="2"/>
        <v>32051570.323499996</v>
      </c>
      <c r="P32" s="83"/>
    </row>
    <row r="33" spans="1:16" ht="15.75" x14ac:dyDescent="0.25">
      <c r="A33" s="88">
        <f>DATE(2021,9,1)</f>
        <v>44440</v>
      </c>
      <c r="B33" s="89">
        <f>'MONTHLY STATS'!$K$11*0.21</f>
        <v>2914050.8711999999</v>
      </c>
      <c r="C33" s="89">
        <f>'MONTHLY STATS'!$K$20*0.21</f>
        <v>1602237.4431</v>
      </c>
      <c r="D33" s="89">
        <f>'MONTHLY STATS'!$K$29*0.21</f>
        <v>858189.42090000003</v>
      </c>
      <c r="E33" s="89">
        <f>'MONTHLY STATS'!$K$38*0.21</f>
        <v>4071781.6902000001</v>
      </c>
      <c r="F33" s="89">
        <f>'MONTHLY STATS'!$K$47*0.21</f>
        <v>3042866.5427999999</v>
      </c>
      <c r="G33" s="89">
        <f>'MONTHLY STATS'!$K$56*0.21</f>
        <v>1257725.1036</v>
      </c>
      <c r="H33" s="89">
        <f>'MONTHLY STATS'!$K$65*0.21</f>
        <v>2110648.4133000001</v>
      </c>
      <c r="I33" s="89">
        <f>'MONTHLY STATS'!$K$74*0.21</f>
        <v>2545471.0763999997</v>
      </c>
      <c r="J33" s="89">
        <f>'MONTHLY STATS'!$K$83*0.21</f>
        <v>3038934.9794999999</v>
      </c>
      <c r="K33" s="89">
        <f>'MONTHLY STATS'!$K$92*0.21</f>
        <v>4090020.0474</v>
      </c>
      <c r="L33" s="89">
        <f>'MONTHLY STATS'!$K$101*0.21</f>
        <v>660366.03149999992</v>
      </c>
      <c r="M33" s="89">
        <f>'MONTHLY STATS'!$K$110*0.21</f>
        <v>4989167.7905999999</v>
      </c>
      <c r="N33" s="89">
        <f>'MONTHLY STATS'!$K$119*0.21</f>
        <v>763495.29269999999</v>
      </c>
      <c r="O33" s="90">
        <f t="shared" si="2"/>
        <v>31944954.703200005</v>
      </c>
      <c r="P33" s="83"/>
    </row>
    <row r="34" spans="1:16" ht="15.75" x14ac:dyDescent="0.25">
      <c r="A34" s="88">
        <f>DATE(2021,10,1)</f>
        <v>44470</v>
      </c>
      <c r="B34" s="89">
        <f>'MONTHLY STATS'!$K$12*0.21</f>
        <v>3202283.8911000001</v>
      </c>
      <c r="C34" s="89">
        <f>'MONTHLY STATS'!$K$21*0.21</f>
        <v>1646199.1895999999</v>
      </c>
      <c r="D34" s="89">
        <f>'MONTHLY STATS'!$K$30*0.21</f>
        <v>861622.56809999992</v>
      </c>
      <c r="E34" s="89">
        <f>'MONTHLY STATS'!$K$39*0.21</f>
        <v>4026629.2458000001</v>
      </c>
      <c r="F34" s="89">
        <f>'MONTHLY STATS'!$K$48*0.21</f>
        <v>3131092.1816999996</v>
      </c>
      <c r="G34" s="89">
        <f>'MONTHLY STATS'!$K$57*0.21</f>
        <v>1210593.4700999998</v>
      </c>
      <c r="H34" s="89">
        <f>'MONTHLY STATS'!$K$66*0.21</f>
        <v>2183798.0156999999</v>
      </c>
      <c r="I34" s="89">
        <f>'MONTHLY STATS'!$K$75*0.21</f>
        <v>2694564.7301999996</v>
      </c>
      <c r="J34" s="89">
        <f>'MONTHLY STATS'!$K$84*0.21</f>
        <v>3463632.4316999996</v>
      </c>
      <c r="K34" s="89">
        <f>'MONTHLY STATS'!$K$93*0.21</f>
        <v>4415796.3128999993</v>
      </c>
      <c r="L34" s="89">
        <f>'MONTHLY STATS'!$K$102*0.21</f>
        <v>733979.07030000002</v>
      </c>
      <c r="M34" s="89">
        <f>'MONTHLY STATS'!$K$111*0.21</f>
        <v>5592505.1048999997</v>
      </c>
      <c r="N34" s="89">
        <f>'MONTHLY STATS'!$K$120*0.21</f>
        <v>865800.27659999998</v>
      </c>
      <c r="O34" s="90">
        <f t="shared" si="2"/>
        <v>34028496.488699995</v>
      </c>
      <c r="P34" s="83"/>
    </row>
    <row r="35" spans="1:16" ht="15.75" x14ac:dyDescent="0.25">
      <c r="A35" s="88">
        <f>DATE(2021,11,1)</f>
        <v>44501</v>
      </c>
      <c r="B35" s="89">
        <f>'MONTHLY STATS'!$K$13*0.21</f>
        <v>2842089.2094000001</v>
      </c>
      <c r="C35" s="89">
        <f>'MONTHLY STATS'!$K$22*0.21</f>
        <v>1427173.0493999999</v>
      </c>
      <c r="D35" s="89">
        <f>'MONTHLY STATS'!$K$31*0.21</f>
        <v>776239.16579999996</v>
      </c>
      <c r="E35" s="89">
        <f>'MONTHLY STATS'!$K$40*0.21</f>
        <v>3955215.5244</v>
      </c>
      <c r="F35" s="89">
        <f>'MONTHLY STATS'!$K$49*0.21</f>
        <v>3166545.8832</v>
      </c>
      <c r="G35" s="89">
        <f>'MONTHLY STATS'!$K$58*0.21</f>
        <v>1193974.2254999999</v>
      </c>
      <c r="H35" s="89">
        <f>'MONTHLY STATS'!$K$67*0.21</f>
        <v>2017320.8328</v>
      </c>
      <c r="I35" s="89">
        <f>'MONTHLY STATS'!$K$76*0.21</f>
        <v>2493711.2319</v>
      </c>
      <c r="J35" s="89">
        <f>'MONTHLY STATS'!$K$85*0.21</f>
        <v>3372650.1543000001</v>
      </c>
      <c r="K35" s="89">
        <f>'MONTHLY STATS'!$K$94*0.21</f>
        <v>4165210.1063999999</v>
      </c>
      <c r="L35" s="89">
        <f>'MONTHLY STATS'!$K$103*0.21</f>
        <v>670322.16090000002</v>
      </c>
      <c r="M35" s="89">
        <f>'MONTHLY STATS'!$K$112*0.21</f>
        <v>5014684.2563999994</v>
      </c>
      <c r="N35" s="89">
        <f>'MONTHLY STATS'!$K$121*0.21</f>
        <v>786496.28610000003</v>
      </c>
      <c r="O35" s="90">
        <f t="shared" si="2"/>
        <v>31881632.086499996</v>
      </c>
      <c r="P35" s="83"/>
    </row>
    <row r="36" spans="1:16" ht="15.75" x14ac:dyDescent="0.25">
      <c r="A36" s="88">
        <f>DATE(2021,12,1)</f>
        <v>44531</v>
      </c>
      <c r="B36" s="89">
        <f>'MONTHLY STATS'!$K$14*0.21</f>
        <v>3068615.6969999997</v>
      </c>
      <c r="C36" s="89">
        <f>'MONTHLY STATS'!$K$23*0.21</f>
        <v>1551523.8689999999</v>
      </c>
      <c r="D36" s="89">
        <f>'MONTHLY STATS'!$K$32*0.21</f>
        <v>826341.04559999995</v>
      </c>
      <c r="E36" s="89">
        <f>'MONTHLY STATS'!$K$41*0.21</f>
        <v>4273948.5011999998</v>
      </c>
      <c r="F36" s="89">
        <f>'MONTHLY STATS'!$K$50*0.21</f>
        <v>3112628.6519999998</v>
      </c>
      <c r="G36" s="89">
        <f>'MONTHLY STATS'!$K$59*0.21</f>
        <v>1324283.4968999999</v>
      </c>
      <c r="H36" s="89">
        <f>'MONTHLY STATS'!$K$68*0.21</f>
        <v>2139857.8067999999</v>
      </c>
      <c r="I36" s="89">
        <f>'MONTHLY STATS'!$K$77*0.21</f>
        <v>2634099.6296999999</v>
      </c>
      <c r="J36" s="89">
        <f>'MONTHLY STATS'!$K$86*0.21</f>
        <v>3519519.1373999999</v>
      </c>
      <c r="K36" s="89">
        <f>'MONTHLY STATS'!$K$95*0.21</f>
        <v>4594717.4280000003</v>
      </c>
      <c r="L36" s="89">
        <f>'MONTHLY STATS'!$K$104*0.21</f>
        <v>666192.61589999998</v>
      </c>
      <c r="M36" s="89">
        <f>'MONTHLY STATS'!$K$113*0.21</f>
        <v>5722533.9569999995</v>
      </c>
      <c r="N36" s="89">
        <f>'MONTHLY STATS'!$K$122*0.21</f>
        <v>864892.68180000002</v>
      </c>
      <c r="O36" s="90">
        <f t="shared" si="2"/>
        <v>34299154.518299997</v>
      </c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18540415.572000001</v>
      </c>
      <c r="C44" s="90">
        <f t="shared" si="3"/>
        <v>9429440.8256999999</v>
      </c>
      <c r="D44" s="90">
        <f t="shared" si="3"/>
        <v>5094395.3927999996</v>
      </c>
      <c r="E44" s="90">
        <f t="shared" si="3"/>
        <v>24078458.346599996</v>
      </c>
      <c r="F44" s="90">
        <f t="shared" si="3"/>
        <v>18669169.740899999</v>
      </c>
      <c r="G44" s="90">
        <f t="shared" si="3"/>
        <v>7577900.9081999986</v>
      </c>
      <c r="H44" s="90">
        <f t="shared" si="3"/>
        <v>12438398.105700001</v>
      </c>
      <c r="I44" s="90">
        <f>SUM(I31:I42)</f>
        <v>16236240.069</v>
      </c>
      <c r="J44" s="90">
        <f t="shared" si="3"/>
        <v>20617132.7355</v>
      </c>
      <c r="K44" s="90">
        <f>SUM(K31:K42)</f>
        <v>25525831.174199998</v>
      </c>
      <c r="L44" s="90">
        <f t="shared" si="3"/>
        <v>4171781.8526999997</v>
      </c>
      <c r="M44" s="90">
        <f t="shared" si="3"/>
        <v>32008585.261799999</v>
      </c>
      <c r="N44" s="90">
        <f t="shared" si="3"/>
        <v>4965234.1305</v>
      </c>
      <c r="O44" s="90">
        <f t="shared" si="3"/>
        <v>199352984.11559999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31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DATE(2021,7,1)</f>
        <v>44378</v>
      </c>
      <c r="C9" s="204">
        <v>13122165.060000001</v>
      </c>
      <c r="D9" s="204">
        <v>2401856.06</v>
      </c>
      <c r="E9" s="204">
        <v>1959351.91</v>
      </c>
      <c r="F9" s="132">
        <f t="shared" ref="F9:F14" si="0">(+D9-E9)/E9</f>
        <v>0.22584210000336294</v>
      </c>
      <c r="G9" s="215">
        <f t="shared" ref="G9:G14" si="1">D9/C9</f>
        <v>0.18303809234358159</v>
      </c>
      <c r="H9" s="123"/>
    </row>
    <row r="10" spans="1:8" ht="15.75" x14ac:dyDescent="0.25">
      <c r="A10" s="130"/>
      <c r="B10" s="131">
        <f>DATE(2021,8,1)</f>
        <v>44409</v>
      </c>
      <c r="C10" s="204">
        <v>12766088.5</v>
      </c>
      <c r="D10" s="204">
        <v>2504601.5</v>
      </c>
      <c r="E10" s="204">
        <v>1563543</v>
      </c>
      <c r="F10" s="132">
        <f t="shared" si="0"/>
        <v>0.60187567594879066</v>
      </c>
      <c r="G10" s="215">
        <f t="shared" si="1"/>
        <v>0.19619177009465349</v>
      </c>
      <c r="H10" s="123"/>
    </row>
    <row r="11" spans="1:8" ht="15.75" x14ac:dyDescent="0.25">
      <c r="A11" s="130"/>
      <c r="B11" s="131">
        <f>DATE(2021,9,1)</f>
        <v>44440</v>
      </c>
      <c r="C11" s="204">
        <v>12839885</v>
      </c>
      <c r="D11" s="204">
        <v>1944156.5</v>
      </c>
      <c r="E11" s="204">
        <v>1378249</v>
      </c>
      <c r="F11" s="132">
        <f t="shared" si="0"/>
        <v>0.41059888307555459</v>
      </c>
      <c r="G11" s="215">
        <f t="shared" si="1"/>
        <v>0.15141541376733514</v>
      </c>
      <c r="H11" s="123"/>
    </row>
    <row r="12" spans="1:8" ht="15.75" x14ac:dyDescent="0.25">
      <c r="A12" s="130"/>
      <c r="B12" s="131">
        <f>DATE(2021,10,1)</f>
        <v>44470</v>
      </c>
      <c r="C12" s="204">
        <v>12492840</v>
      </c>
      <c r="D12" s="204">
        <v>2656668</v>
      </c>
      <c r="E12" s="204">
        <v>1495832.5</v>
      </c>
      <c r="F12" s="132">
        <f t="shared" si="0"/>
        <v>0.77604644905094655</v>
      </c>
      <c r="G12" s="215">
        <f t="shared" si="1"/>
        <v>0.21265524892658516</v>
      </c>
      <c r="H12" s="123"/>
    </row>
    <row r="13" spans="1:8" ht="15.75" x14ac:dyDescent="0.25">
      <c r="A13" s="130"/>
      <c r="B13" s="131">
        <f>DATE(2021,11,1)</f>
        <v>44501</v>
      </c>
      <c r="C13" s="204">
        <v>11905927</v>
      </c>
      <c r="D13" s="204">
        <v>2254397</v>
      </c>
      <c r="E13" s="204">
        <v>1446618</v>
      </c>
      <c r="F13" s="132">
        <f t="shared" si="0"/>
        <v>0.55839136523947575</v>
      </c>
      <c r="G13" s="215">
        <f t="shared" si="1"/>
        <v>0.1893508166142796</v>
      </c>
      <c r="H13" s="123"/>
    </row>
    <row r="14" spans="1:8" ht="15.75" x14ac:dyDescent="0.25">
      <c r="A14" s="130"/>
      <c r="B14" s="131">
        <f>DATE(2021,12,1)</f>
        <v>44531</v>
      </c>
      <c r="C14" s="204">
        <v>13044632</v>
      </c>
      <c r="D14" s="204">
        <v>2279304.5</v>
      </c>
      <c r="E14" s="204">
        <v>1661463</v>
      </c>
      <c r="F14" s="132">
        <f t="shared" si="0"/>
        <v>0.37186593983736022</v>
      </c>
      <c r="G14" s="215">
        <f t="shared" si="1"/>
        <v>0.17473122277424155</v>
      </c>
      <c r="H14" s="123"/>
    </row>
    <row r="15" spans="1:8" ht="15.75" thickBot="1" x14ac:dyDescent="0.25">
      <c r="A15" s="133"/>
      <c r="B15" s="134"/>
      <c r="C15" s="204"/>
      <c r="D15" s="204"/>
      <c r="E15" s="204"/>
      <c r="F15" s="132"/>
      <c r="G15" s="215"/>
      <c r="H15" s="123"/>
    </row>
    <row r="16" spans="1:8" ht="17.25" thickTop="1" thickBot="1" x14ac:dyDescent="0.3">
      <c r="A16" s="135" t="s">
        <v>14</v>
      </c>
      <c r="B16" s="136"/>
      <c r="C16" s="201">
        <f>SUM(C9:C15)</f>
        <v>76171537.560000002</v>
      </c>
      <c r="D16" s="201">
        <f>SUM(D9:D15)</f>
        <v>14040983.560000001</v>
      </c>
      <c r="E16" s="201">
        <f>SUM(E9:E15)</f>
        <v>9505057.4100000001</v>
      </c>
      <c r="F16" s="137">
        <f>(+D16-E16)/E16</f>
        <v>0.47721186252151215</v>
      </c>
      <c r="G16" s="212">
        <f>D16/C16</f>
        <v>0.18433372897245215</v>
      </c>
      <c r="H16" s="123"/>
    </row>
    <row r="17" spans="1:8" ht="15.75" customHeight="1" thickTop="1" x14ac:dyDescent="0.25">
      <c r="A17" s="138"/>
      <c r="B17" s="139"/>
      <c r="C17" s="205"/>
      <c r="D17" s="205"/>
      <c r="E17" s="205"/>
      <c r="F17" s="140"/>
      <c r="G17" s="216"/>
      <c r="H17" s="123"/>
    </row>
    <row r="18" spans="1:8" ht="15.75" x14ac:dyDescent="0.25">
      <c r="A18" s="19" t="s">
        <v>15</v>
      </c>
      <c r="B18" s="131">
        <f>DATE(2021,7,1)</f>
        <v>44378</v>
      </c>
      <c r="C18" s="204">
        <v>2659715</v>
      </c>
      <c r="D18" s="204">
        <v>753311.5</v>
      </c>
      <c r="E18" s="204">
        <v>547209</v>
      </c>
      <c r="F18" s="132">
        <f t="shared" ref="F18:F23" si="2">(+D18-E18)/E18</f>
        <v>0.37664311076754953</v>
      </c>
      <c r="G18" s="215">
        <f t="shared" ref="G18:G23" si="3">D18/C18</f>
        <v>0.28323015811844504</v>
      </c>
      <c r="H18" s="123"/>
    </row>
    <row r="19" spans="1:8" ht="15.75" x14ac:dyDescent="0.25">
      <c r="A19" s="19"/>
      <c r="B19" s="131">
        <f>DATE(2021,8,1)</f>
        <v>44409</v>
      </c>
      <c r="C19" s="204">
        <v>2802417</v>
      </c>
      <c r="D19" s="204">
        <v>615974.5</v>
      </c>
      <c r="E19" s="204">
        <v>526001.5</v>
      </c>
      <c r="F19" s="132">
        <f t="shared" si="2"/>
        <v>0.17105084301090395</v>
      </c>
      <c r="G19" s="215">
        <f t="shared" si="3"/>
        <v>0.21980115735809483</v>
      </c>
      <c r="H19" s="123"/>
    </row>
    <row r="20" spans="1:8" ht="15.75" x14ac:dyDescent="0.25">
      <c r="A20" s="19"/>
      <c r="B20" s="131">
        <f>DATE(2021,9,1)</f>
        <v>44440</v>
      </c>
      <c r="C20" s="204">
        <v>2513978</v>
      </c>
      <c r="D20" s="204">
        <v>858656</v>
      </c>
      <c r="E20" s="204">
        <v>401819.5</v>
      </c>
      <c r="F20" s="132">
        <f t="shared" si="2"/>
        <v>1.1369196865756888</v>
      </c>
      <c r="G20" s="215">
        <f t="shared" si="3"/>
        <v>0.34155271048513552</v>
      </c>
      <c r="H20" s="123"/>
    </row>
    <row r="21" spans="1:8" ht="15.75" x14ac:dyDescent="0.25">
      <c r="A21" s="19"/>
      <c r="B21" s="131">
        <f>DATE(2021,10,1)</f>
        <v>44470</v>
      </c>
      <c r="C21" s="204">
        <v>2807049</v>
      </c>
      <c r="D21" s="204">
        <v>649914</v>
      </c>
      <c r="E21" s="204">
        <v>612154.5</v>
      </c>
      <c r="F21" s="132">
        <f t="shared" si="2"/>
        <v>6.1682957488673203E-2</v>
      </c>
      <c r="G21" s="215">
        <f t="shared" si="3"/>
        <v>0.23152926792514131</v>
      </c>
      <c r="H21" s="123"/>
    </row>
    <row r="22" spans="1:8" ht="15.75" x14ac:dyDescent="0.25">
      <c r="A22" s="19"/>
      <c r="B22" s="131">
        <f>DATE(2021,11,1)</f>
        <v>44501</v>
      </c>
      <c r="C22" s="204">
        <v>2435882</v>
      </c>
      <c r="D22" s="204">
        <v>707738</v>
      </c>
      <c r="E22" s="204">
        <v>534831.5</v>
      </c>
      <c r="F22" s="132">
        <f t="shared" si="2"/>
        <v>0.32329154135461358</v>
      </c>
      <c r="G22" s="215">
        <f t="shared" si="3"/>
        <v>0.29054691483413403</v>
      </c>
      <c r="H22" s="123"/>
    </row>
    <row r="23" spans="1:8" ht="15.75" x14ac:dyDescent="0.25">
      <c r="A23" s="19"/>
      <c r="B23" s="131">
        <f>DATE(2021,12,1)</f>
        <v>44531</v>
      </c>
      <c r="C23" s="204">
        <v>2813282</v>
      </c>
      <c r="D23" s="204">
        <v>706014</v>
      </c>
      <c r="E23" s="204">
        <v>508771</v>
      </c>
      <c r="F23" s="132">
        <f t="shared" si="2"/>
        <v>0.38768522576955056</v>
      </c>
      <c r="G23" s="215">
        <f t="shared" si="3"/>
        <v>0.25095742268283094</v>
      </c>
      <c r="H23" s="123"/>
    </row>
    <row r="24" spans="1:8" ht="15.75" thickBot="1" x14ac:dyDescent="0.25">
      <c r="A24" s="133"/>
      <c r="B24" s="131"/>
      <c r="C24" s="204"/>
      <c r="D24" s="204"/>
      <c r="E24" s="204"/>
      <c r="F24" s="132"/>
      <c r="G24" s="215"/>
      <c r="H24" s="123"/>
    </row>
    <row r="25" spans="1:8" ht="17.25" thickTop="1" thickBot="1" x14ac:dyDescent="0.3">
      <c r="A25" s="135" t="s">
        <v>14</v>
      </c>
      <c r="B25" s="136"/>
      <c r="C25" s="201">
        <f>SUM(C18:C24)</f>
        <v>16032323</v>
      </c>
      <c r="D25" s="201">
        <f>SUM(D18:D24)</f>
        <v>4291608</v>
      </c>
      <c r="E25" s="201">
        <f>SUM(E18:E24)</f>
        <v>3130787</v>
      </c>
      <c r="F25" s="137">
        <f>(+D25-E25)/E25</f>
        <v>0.37077610198330324</v>
      </c>
      <c r="G25" s="212">
        <f>D25/C25</f>
        <v>0.26768472666125803</v>
      </c>
      <c r="H25" s="123"/>
    </row>
    <row r="26" spans="1:8" ht="15.75" customHeight="1" thickTop="1" x14ac:dyDescent="0.25">
      <c r="A26" s="255"/>
      <c r="B26" s="139"/>
      <c r="C26" s="205"/>
      <c r="D26" s="205"/>
      <c r="E26" s="205"/>
      <c r="F26" s="140"/>
      <c r="G26" s="219"/>
      <c r="H26" s="123"/>
    </row>
    <row r="27" spans="1:8" ht="15.75" x14ac:dyDescent="0.25">
      <c r="A27" s="19" t="s">
        <v>64</v>
      </c>
      <c r="B27" s="131">
        <f>DATE(2021,7,1)</f>
        <v>44378</v>
      </c>
      <c r="C27" s="204">
        <v>1594658</v>
      </c>
      <c r="D27" s="204">
        <v>420154</v>
      </c>
      <c r="E27" s="204">
        <v>362069</v>
      </c>
      <c r="F27" s="132">
        <f t="shared" ref="F27:F32" si="4">(+D27-E27)/E27</f>
        <v>0.16042522281664545</v>
      </c>
      <c r="G27" s="215">
        <f t="shared" ref="G27:G32" si="5">D27/C27</f>
        <v>0.26347593026216282</v>
      </c>
      <c r="H27" s="123"/>
    </row>
    <row r="28" spans="1:8" ht="15.75" x14ac:dyDescent="0.25">
      <c r="A28" s="19"/>
      <c r="B28" s="131">
        <f>DATE(2021,8,1)</f>
        <v>44409</v>
      </c>
      <c r="C28" s="204">
        <v>1384308</v>
      </c>
      <c r="D28" s="204">
        <v>283741.5</v>
      </c>
      <c r="E28" s="204">
        <v>264520</v>
      </c>
      <c r="F28" s="132">
        <f t="shared" si="4"/>
        <v>7.2665582942688642E-2</v>
      </c>
      <c r="G28" s="215">
        <f t="shared" si="5"/>
        <v>0.20496991998890421</v>
      </c>
      <c r="H28" s="123"/>
    </row>
    <row r="29" spans="1:8" ht="15.75" x14ac:dyDescent="0.25">
      <c r="A29" s="19"/>
      <c r="B29" s="131">
        <f>DATE(2021,9,1)</f>
        <v>44440</v>
      </c>
      <c r="C29" s="204">
        <v>1364005</v>
      </c>
      <c r="D29" s="204">
        <v>271461</v>
      </c>
      <c r="E29" s="204">
        <v>282126.5</v>
      </c>
      <c r="F29" s="132">
        <f t="shared" si="4"/>
        <v>-3.780396382473819E-2</v>
      </c>
      <c r="G29" s="215">
        <f t="shared" si="5"/>
        <v>0.1990175989090949</v>
      </c>
      <c r="H29" s="123"/>
    </row>
    <row r="30" spans="1:8" ht="15.75" x14ac:dyDescent="0.25">
      <c r="A30" s="19"/>
      <c r="B30" s="131">
        <f>DATE(2021,10,1)</f>
        <v>44470</v>
      </c>
      <c r="C30" s="204">
        <v>1507535</v>
      </c>
      <c r="D30" s="204">
        <v>344180</v>
      </c>
      <c r="E30" s="204">
        <v>409251</v>
      </c>
      <c r="F30" s="132">
        <f t="shared" si="4"/>
        <v>-0.15900022235742858</v>
      </c>
      <c r="G30" s="215">
        <f t="shared" si="5"/>
        <v>0.22830647381321165</v>
      </c>
      <c r="H30" s="123"/>
    </row>
    <row r="31" spans="1:8" ht="15.75" x14ac:dyDescent="0.25">
      <c r="A31" s="19"/>
      <c r="B31" s="131">
        <f>DATE(2021,11,1)</f>
        <v>44501</v>
      </c>
      <c r="C31" s="204">
        <v>1413355</v>
      </c>
      <c r="D31" s="204">
        <v>349298.5</v>
      </c>
      <c r="E31" s="204">
        <v>302858</v>
      </c>
      <c r="F31" s="132">
        <f t="shared" si="4"/>
        <v>0.15334083960139736</v>
      </c>
      <c r="G31" s="215">
        <f t="shared" si="5"/>
        <v>0.24714137637040942</v>
      </c>
      <c r="H31" s="123"/>
    </row>
    <row r="32" spans="1:8" ht="15.75" x14ac:dyDescent="0.25">
      <c r="A32" s="19"/>
      <c r="B32" s="131">
        <f>DATE(2021,12,1)</f>
        <v>44531</v>
      </c>
      <c r="C32" s="204">
        <v>1438471</v>
      </c>
      <c r="D32" s="204">
        <v>335226</v>
      </c>
      <c r="E32" s="204">
        <v>403813</v>
      </c>
      <c r="F32" s="132">
        <f t="shared" si="4"/>
        <v>-0.16984841993695102</v>
      </c>
      <c r="G32" s="215">
        <f t="shared" si="5"/>
        <v>0.23304327998270385</v>
      </c>
      <c r="H32" s="123"/>
    </row>
    <row r="33" spans="1:8" ht="15.75" thickBot="1" x14ac:dyDescent="0.25">
      <c r="A33" s="133"/>
      <c r="B33" s="131"/>
      <c r="C33" s="204"/>
      <c r="D33" s="204"/>
      <c r="E33" s="204"/>
      <c r="F33" s="132"/>
      <c r="G33" s="215"/>
      <c r="H33" s="123"/>
    </row>
    <row r="34" spans="1:8" ht="17.25" thickTop="1" thickBot="1" x14ac:dyDescent="0.3">
      <c r="A34" s="141" t="s">
        <v>14</v>
      </c>
      <c r="B34" s="142"/>
      <c r="C34" s="206">
        <f>SUM(C27:C33)</f>
        <v>8702332</v>
      </c>
      <c r="D34" s="206">
        <f>SUM(D27:D33)</f>
        <v>2004061</v>
      </c>
      <c r="E34" s="206">
        <f>SUM(E27:E33)</f>
        <v>2024637.5</v>
      </c>
      <c r="F34" s="143">
        <f>(+D34-E34)/E34</f>
        <v>-1.0163053880015559E-2</v>
      </c>
      <c r="G34" s="217">
        <f>D34/C34</f>
        <v>0.23029011074272965</v>
      </c>
      <c r="H34" s="123"/>
    </row>
    <row r="35" spans="1:8" ht="15.75" thickTop="1" x14ac:dyDescent="0.2">
      <c r="A35" s="133"/>
      <c r="B35" s="134"/>
      <c r="C35" s="204"/>
      <c r="D35" s="204"/>
      <c r="E35" s="204"/>
      <c r="F35" s="132"/>
      <c r="G35" s="218"/>
      <c r="H35" s="123"/>
    </row>
    <row r="36" spans="1:8" ht="15.75" x14ac:dyDescent="0.25">
      <c r="A36" s="177" t="s">
        <v>59</v>
      </c>
      <c r="B36" s="131">
        <f>DATE(2021,7,1)</f>
        <v>44378</v>
      </c>
      <c r="C36" s="204">
        <v>13087616</v>
      </c>
      <c r="D36" s="204">
        <v>2503983</v>
      </c>
      <c r="E36" s="204">
        <v>1708169.06</v>
      </c>
      <c r="F36" s="132">
        <f t="shared" ref="F36:F41" si="6">(+D36-E36)/E36</f>
        <v>0.4658871060455807</v>
      </c>
      <c r="G36" s="215">
        <f t="shared" ref="G36:G41" si="7">D36/C36</f>
        <v>0.19132460793470712</v>
      </c>
      <c r="H36" s="123"/>
    </row>
    <row r="37" spans="1:8" ht="15.75" x14ac:dyDescent="0.25">
      <c r="A37" s="177"/>
      <c r="B37" s="131">
        <f>DATE(2021,8,1)</f>
        <v>44409</v>
      </c>
      <c r="C37" s="204">
        <v>12295504</v>
      </c>
      <c r="D37" s="204">
        <v>2387806</v>
      </c>
      <c r="E37" s="204">
        <v>2028826.5</v>
      </c>
      <c r="F37" s="132">
        <f t="shared" si="6"/>
        <v>0.1769394770819486</v>
      </c>
      <c r="G37" s="215">
        <f t="shared" si="7"/>
        <v>0.1942015553002138</v>
      </c>
      <c r="H37" s="123"/>
    </row>
    <row r="38" spans="1:8" ht="15.75" x14ac:dyDescent="0.25">
      <c r="A38" s="177"/>
      <c r="B38" s="131">
        <f>DATE(2021,9,1)</f>
        <v>44440</v>
      </c>
      <c r="C38" s="204">
        <v>13803172</v>
      </c>
      <c r="D38" s="204">
        <v>2689723.5</v>
      </c>
      <c r="E38" s="204">
        <v>2149169</v>
      </c>
      <c r="F38" s="132">
        <f t="shared" si="6"/>
        <v>0.25151791227213866</v>
      </c>
      <c r="G38" s="215">
        <f t="shared" si="7"/>
        <v>0.19486270981771436</v>
      </c>
      <c r="H38" s="123"/>
    </row>
    <row r="39" spans="1:8" ht="15.75" x14ac:dyDescent="0.25">
      <c r="A39" s="177"/>
      <c r="B39" s="131">
        <f>DATE(2021,10,1)</f>
        <v>44470</v>
      </c>
      <c r="C39" s="204">
        <v>13466637</v>
      </c>
      <c r="D39" s="204">
        <v>2470116.0299999998</v>
      </c>
      <c r="E39" s="204">
        <v>2042559.98</v>
      </c>
      <c r="F39" s="132">
        <f t="shared" si="6"/>
        <v>0.20932362045005887</v>
      </c>
      <c r="G39" s="215">
        <f t="shared" si="7"/>
        <v>0.18342486175278949</v>
      </c>
      <c r="H39" s="123"/>
    </row>
    <row r="40" spans="1:8" ht="15.75" x14ac:dyDescent="0.25">
      <c r="A40" s="177"/>
      <c r="B40" s="131">
        <f>DATE(2021,11,1)</f>
        <v>44501</v>
      </c>
      <c r="C40" s="204">
        <v>13753377</v>
      </c>
      <c r="D40" s="204">
        <v>3414579.43</v>
      </c>
      <c r="E40" s="204">
        <v>2060677.45</v>
      </c>
      <c r="F40" s="132">
        <f t="shared" si="6"/>
        <v>0.6570179044760257</v>
      </c>
      <c r="G40" s="215">
        <f t="shared" si="7"/>
        <v>0.24827207383321204</v>
      </c>
      <c r="H40" s="123"/>
    </row>
    <row r="41" spans="1:8" ht="15.75" x14ac:dyDescent="0.25">
      <c r="A41" s="177"/>
      <c r="B41" s="131">
        <f>DATE(2021,12,1)</f>
        <v>44531</v>
      </c>
      <c r="C41" s="204">
        <v>14064831.5</v>
      </c>
      <c r="D41" s="204">
        <v>3251944</v>
      </c>
      <c r="E41" s="204">
        <v>2612129.91</v>
      </c>
      <c r="F41" s="132">
        <f t="shared" si="6"/>
        <v>0.24493961328286304</v>
      </c>
      <c r="G41" s="215">
        <f t="shared" si="7"/>
        <v>0.23121101735203867</v>
      </c>
      <c r="H41" s="123"/>
    </row>
    <row r="42" spans="1:8" ht="15.75" customHeight="1" thickBot="1" x14ac:dyDescent="0.25">
      <c r="A42" s="133"/>
      <c r="B42" s="134"/>
      <c r="C42" s="204"/>
      <c r="D42" s="204"/>
      <c r="E42" s="204"/>
      <c r="F42" s="132"/>
      <c r="G42" s="215"/>
      <c r="H42" s="123"/>
    </row>
    <row r="43" spans="1:8" ht="17.25" customHeight="1" thickTop="1" thickBot="1" x14ac:dyDescent="0.3">
      <c r="A43" s="141" t="s">
        <v>14</v>
      </c>
      <c r="B43" s="142"/>
      <c r="C43" s="206">
        <f>SUM(C36:C42)</f>
        <v>80471137.5</v>
      </c>
      <c r="D43" s="206">
        <f>SUM(D36:D42)</f>
        <v>16718151.959999999</v>
      </c>
      <c r="E43" s="206">
        <f>SUM(E36:E42)</f>
        <v>12601531.9</v>
      </c>
      <c r="F43" s="143">
        <f>(+D43-E43)/E43</f>
        <v>0.32667616069757349</v>
      </c>
      <c r="G43" s="217">
        <f>D43/C43</f>
        <v>0.20775339431482498</v>
      </c>
      <c r="H43" s="123"/>
    </row>
    <row r="44" spans="1:8" ht="15.75" customHeight="1" thickTop="1" x14ac:dyDescent="0.2">
      <c r="A44" s="133"/>
      <c r="B44" s="134"/>
      <c r="C44" s="204"/>
      <c r="D44" s="204"/>
      <c r="E44" s="204"/>
      <c r="F44" s="132"/>
      <c r="G44" s="218"/>
      <c r="H44" s="123"/>
    </row>
    <row r="45" spans="1:8" ht="15" customHeight="1" x14ac:dyDescent="0.25">
      <c r="A45" s="130" t="s">
        <v>62</v>
      </c>
      <c r="B45" s="131">
        <f>DATE(2021,7,1)</f>
        <v>44378</v>
      </c>
      <c r="C45" s="204">
        <v>14071705.5</v>
      </c>
      <c r="D45" s="204">
        <v>3475895.5</v>
      </c>
      <c r="E45" s="204">
        <v>2410424.5</v>
      </c>
      <c r="F45" s="132">
        <f t="shared" ref="F45:F50" si="8">(+D45-E45)/E45</f>
        <v>0.44202629038992924</v>
      </c>
      <c r="G45" s="215">
        <f t="shared" ref="G45:G50" si="9">D45/C45</f>
        <v>0.2470130930468947</v>
      </c>
      <c r="H45" s="123"/>
    </row>
    <row r="46" spans="1:8" ht="15" customHeight="1" x14ac:dyDescent="0.25">
      <c r="A46" s="130"/>
      <c r="B46" s="131">
        <f>DATE(2021,8,1)</f>
        <v>44409</v>
      </c>
      <c r="C46" s="204">
        <v>13718026</v>
      </c>
      <c r="D46" s="204">
        <v>1742952</v>
      </c>
      <c r="E46" s="204">
        <v>3089213</v>
      </c>
      <c r="F46" s="132">
        <f t="shared" si="8"/>
        <v>-0.43579416505109875</v>
      </c>
      <c r="G46" s="215">
        <f t="shared" si="9"/>
        <v>0.1270555982325737</v>
      </c>
      <c r="H46" s="123"/>
    </row>
    <row r="47" spans="1:8" ht="15" customHeight="1" x14ac:dyDescent="0.25">
      <c r="A47" s="130"/>
      <c r="B47" s="131">
        <f>DATE(2021,9,1)</f>
        <v>44440</v>
      </c>
      <c r="C47" s="204">
        <v>12923567</v>
      </c>
      <c r="D47" s="204">
        <v>3305560.5</v>
      </c>
      <c r="E47" s="204">
        <v>3482637.89</v>
      </c>
      <c r="F47" s="132">
        <f t="shared" si="8"/>
        <v>-5.0845765650358823E-2</v>
      </c>
      <c r="G47" s="215">
        <f t="shared" si="9"/>
        <v>0.25577771988182518</v>
      </c>
      <c r="H47" s="123"/>
    </row>
    <row r="48" spans="1:8" ht="15" customHeight="1" x14ac:dyDescent="0.25">
      <c r="A48" s="130"/>
      <c r="B48" s="131">
        <f>DATE(2021,10,1)</f>
        <v>44470</v>
      </c>
      <c r="C48" s="204">
        <v>12696171.5</v>
      </c>
      <c r="D48" s="204">
        <v>3513957.5</v>
      </c>
      <c r="E48" s="204">
        <v>3513244</v>
      </c>
      <c r="F48" s="132">
        <f t="shared" si="8"/>
        <v>2.0308865538516539E-4</v>
      </c>
      <c r="G48" s="215">
        <f t="shared" si="9"/>
        <v>0.27677300200300542</v>
      </c>
      <c r="H48" s="123"/>
    </row>
    <row r="49" spans="1:8" ht="15" customHeight="1" x14ac:dyDescent="0.25">
      <c r="A49" s="130"/>
      <c r="B49" s="131">
        <f>DATE(2021,11,1)</f>
        <v>44501</v>
      </c>
      <c r="C49" s="204">
        <v>13220454</v>
      </c>
      <c r="D49" s="204">
        <v>3943943</v>
      </c>
      <c r="E49" s="204">
        <v>2437183.5</v>
      </c>
      <c r="F49" s="132">
        <f t="shared" si="8"/>
        <v>0.61823801941872658</v>
      </c>
      <c r="G49" s="215">
        <f t="shared" si="9"/>
        <v>0.2983212981944493</v>
      </c>
      <c r="H49" s="123"/>
    </row>
    <row r="50" spans="1:8" ht="15" customHeight="1" x14ac:dyDescent="0.25">
      <c r="A50" s="130"/>
      <c r="B50" s="131">
        <f>DATE(2021,12,1)</f>
        <v>44531</v>
      </c>
      <c r="C50" s="204">
        <v>14266562</v>
      </c>
      <c r="D50" s="204">
        <v>2828634.5</v>
      </c>
      <c r="E50" s="204">
        <v>2589172</v>
      </c>
      <c r="F50" s="132">
        <f t="shared" si="8"/>
        <v>9.248613070124348E-2</v>
      </c>
      <c r="G50" s="215">
        <f t="shared" si="9"/>
        <v>0.19827022796382199</v>
      </c>
      <c r="H50" s="123"/>
    </row>
    <row r="51" spans="1:8" ht="15.75" thickBot="1" x14ac:dyDescent="0.25">
      <c r="A51" s="133"/>
      <c r="B51" s="131"/>
      <c r="C51" s="204"/>
      <c r="D51" s="204"/>
      <c r="E51" s="204"/>
      <c r="F51" s="132"/>
      <c r="G51" s="215"/>
      <c r="H51" s="123"/>
    </row>
    <row r="52" spans="1:8" ht="17.25" customHeight="1" thickTop="1" thickBot="1" x14ac:dyDescent="0.3">
      <c r="A52" s="141" t="s">
        <v>14</v>
      </c>
      <c r="B52" s="142"/>
      <c r="C52" s="207">
        <f>SUM(C45:C51)</f>
        <v>80896486</v>
      </c>
      <c r="D52" s="261">
        <f>SUM(D45:D51)</f>
        <v>18810943</v>
      </c>
      <c r="E52" s="206">
        <f>SUM(E45:E51)</f>
        <v>17521874.890000001</v>
      </c>
      <c r="F52" s="268">
        <f>(+D52-E52)/E52</f>
        <v>7.3569073977105617E-2</v>
      </c>
      <c r="G52" s="267">
        <f>D52/C52</f>
        <v>0.23253102736749282</v>
      </c>
      <c r="H52" s="123"/>
    </row>
    <row r="53" spans="1:8" ht="15.75" customHeight="1" thickTop="1" x14ac:dyDescent="0.25">
      <c r="A53" s="130"/>
      <c r="B53" s="134"/>
      <c r="C53" s="204"/>
      <c r="D53" s="204"/>
      <c r="E53" s="204"/>
      <c r="F53" s="132"/>
      <c r="G53" s="218"/>
      <c r="H53" s="123"/>
    </row>
    <row r="54" spans="1:8" ht="15.75" x14ac:dyDescent="0.25">
      <c r="A54" s="130" t="s">
        <v>66</v>
      </c>
      <c r="B54" s="131">
        <f>DATE(2021,7,1)</f>
        <v>44378</v>
      </c>
      <c r="C54" s="204">
        <v>3514368</v>
      </c>
      <c r="D54" s="204">
        <v>729030</v>
      </c>
      <c r="E54" s="204">
        <v>572750</v>
      </c>
      <c r="F54" s="132">
        <f t="shared" ref="F54:F59" si="10">(+D54-E54)/E54</f>
        <v>0.27285901353120906</v>
      </c>
      <c r="G54" s="215">
        <f t="shared" ref="G54:G59" si="11">D54/C54</f>
        <v>0.2074427037805944</v>
      </c>
      <c r="H54" s="123"/>
    </row>
    <row r="55" spans="1:8" ht="15.75" x14ac:dyDescent="0.25">
      <c r="A55" s="130"/>
      <c r="B55" s="131">
        <f>DATE(2021,8,1)</f>
        <v>44409</v>
      </c>
      <c r="C55" s="204">
        <v>2699849</v>
      </c>
      <c r="D55" s="204">
        <v>844084.5</v>
      </c>
      <c r="E55" s="204">
        <v>629353.5</v>
      </c>
      <c r="F55" s="132">
        <f t="shared" si="10"/>
        <v>0.34119298613577265</v>
      </c>
      <c r="G55" s="215">
        <f t="shared" si="11"/>
        <v>0.31264137364719286</v>
      </c>
      <c r="H55" s="123"/>
    </row>
    <row r="56" spans="1:8" ht="15.75" x14ac:dyDescent="0.25">
      <c r="A56" s="130"/>
      <c r="B56" s="131">
        <f>DATE(2021,9,1)</f>
        <v>44440</v>
      </c>
      <c r="C56" s="204">
        <v>2582290</v>
      </c>
      <c r="D56" s="204">
        <v>707619</v>
      </c>
      <c r="E56" s="204">
        <v>564621.5</v>
      </c>
      <c r="F56" s="132">
        <f t="shared" si="10"/>
        <v>0.2532625838725589</v>
      </c>
      <c r="G56" s="215">
        <f t="shared" si="11"/>
        <v>0.27402770409210431</v>
      </c>
      <c r="H56" s="123"/>
    </row>
    <row r="57" spans="1:8" ht="15.75" x14ac:dyDescent="0.25">
      <c r="A57" s="130"/>
      <c r="B57" s="131">
        <f>DATE(2021,10,1)</f>
        <v>44470</v>
      </c>
      <c r="C57" s="204">
        <v>2647781</v>
      </c>
      <c r="D57" s="204">
        <v>435392</v>
      </c>
      <c r="E57" s="204">
        <v>553335.5</v>
      </c>
      <c r="F57" s="132">
        <f t="shared" si="10"/>
        <v>-0.21315006899069372</v>
      </c>
      <c r="G57" s="215">
        <f t="shared" si="11"/>
        <v>0.16443656027443357</v>
      </c>
      <c r="H57" s="123"/>
    </row>
    <row r="58" spans="1:8" ht="15.75" x14ac:dyDescent="0.25">
      <c r="A58" s="130"/>
      <c r="B58" s="131">
        <f>DATE(2021,11,1)</f>
        <v>44501</v>
      </c>
      <c r="C58" s="204">
        <v>2909471</v>
      </c>
      <c r="D58" s="204">
        <v>706210</v>
      </c>
      <c r="E58" s="204">
        <v>402553.5</v>
      </c>
      <c r="F58" s="132">
        <f t="shared" si="10"/>
        <v>0.75432582253042146</v>
      </c>
      <c r="G58" s="215">
        <f t="shared" si="11"/>
        <v>0.24272797357320283</v>
      </c>
      <c r="H58" s="123"/>
    </row>
    <row r="59" spans="1:8" ht="15.75" x14ac:dyDescent="0.25">
      <c r="A59" s="130"/>
      <c r="B59" s="131">
        <f>DATE(2021,12,1)</f>
        <v>44531</v>
      </c>
      <c r="C59" s="204">
        <v>3194523</v>
      </c>
      <c r="D59" s="204">
        <v>737876.5</v>
      </c>
      <c r="E59" s="204">
        <v>614666.5</v>
      </c>
      <c r="F59" s="132">
        <f t="shared" si="10"/>
        <v>0.20045016281186628</v>
      </c>
      <c r="G59" s="215">
        <f t="shared" si="11"/>
        <v>0.23098174594454321</v>
      </c>
      <c r="H59" s="123"/>
    </row>
    <row r="60" spans="1:8" ht="15.75" customHeight="1" thickBot="1" x14ac:dyDescent="0.3">
      <c r="A60" s="130"/>
      <c r="B60" s="131"/>
      <c r="C60" s="204"/>
      <c r="D60" s="204"/>
      <c r="E60" s="204"/>
      <c r="F60" s="132"/>
      <c r="G60" s="215"/>
      <c r="H60" s="123"/>
    </row>
    <row r="61" spans="1:8" ht="17.25" thickTop="1" thickBot="1" x14ac:dyDescent="0.3">
      <c r="A61" s="141" t="s">
        <v>14</v>
      </c>
      <c r="B61" s="142"/>
      <c r="C61" s="207">
        <f>SUM(C54:C60)</f>
        <v>17548282</v>
      </c>
      <c r="D61" s="261">
        <f>SUM(D54:D60)</f>
        <v>4160212</v>
      </c>
      <c r="E61" s="207">
        <f>SUM(E54:E60)</f>
        <v>3337280.5</v>
      </c>
      <c r="F61" s="268">
        <f>(+D61-E61)/E61</f>
        <v>0.24658745346697708</v>
      </c>
      <c r="G61" s="267">
        <f>D61/C61</f>
        <v>0.23707232423094182</v>
      </c>
      <c r="H61" s="123"/>
    </row>
    <row r="62" spans="1:8" ht="15.75" customHeight="1" thickTop="1" x14ac:dyDescent="0.25">
      <c r="A62" s="130"/>
      <c r="B62" s="134"/>
      <c r="C62" s="204"/>
      <c r="D62" s="204"/>
      <c r="E62" s="204"/>
      <c r="F62" s="132"/>
      <c r="G62" s="218"/>
      <c r="H62" s="123"/>
    </row>
    <row r="63" spans="1:8" ht="15.75" x14ac:dyDescent="0.25">
      <c r="A63" s="130" t="s">
        <v>70</v>
      </c>
      <c r="B63" s="131">
        <f>DATE(2021,7,1)</f>
        <v>44378</v>
      </c>
      <c r="C63" s="204">
        <v>6154700</v>
      </c>
      <c r="D63" s="204">
        <v>1067621</v>
      </c>
      <c r="E63" s="204">
        <v>248731.5</v>
      </c>
      <c r="F63" s="132">
        <f t="shared" ref="F63:F68" si="12">(+D63-E63)/E63</f>
        <v>3.2922629421685632</v>
      </c>
      <c r="G63" s="215">
        <f t="shared" ref="G63:G68" si="13">D63/C63</f>
        <v>0.17346434432222529</v>
      </c>
      <c r="H63" s="123"/>
    </row>
    <row r="64" spans="1:8" ht="15.75" x14ac:dyDescent="0.25">
      <c r="A64" s="130"/>
      <c r="B64" s="131">
        <f>DATE(2021,8,1)</f>
        <v>44409</v>
      </c>
      <c r="C64" s="204">
        <v>5891930</v>
      </c>
      <c r="D64" s="204">
        <v>666603.5</v>
      </c>
      <c r="E64" s="204">
        <v>268487</v>
      </c>
      <c r="F64" s="132">
        <f t="shared" si="12"/>
        <v>1.4828148104005037</v>
      </c>
      <c r="G64" s="215">
        <f t="shared" si="13"/>
        <v>0.11313839438010974</v>
      </c>
      <c r="H64" s="123"/>
    </row>
    <row r="65" spans="1:8" ht="15.75" x14ac:dyDescent="0.25">
      <c r="A65" s="130"/>
      <c r="B65" s="131">
        <f>DATE(2021,9,1)</f>
        <v>44440</v>
      </c>
      <c r="C65" s="204">
        <v>7061445</v>
      </c>
      <c r="D65" s="204">
        <v>1135711.5</v>
      </c>
      <c r="E65" s="204">
        <v>277957.5</v>
      </c>
      <c r="F65" s="132">
        <f t="shared" si="12"/>
        <v>3.0859178111761691</v>
      </c>
      <c r="G65" s="215">
        <f t="shared" si="13"/>
        <v>0.16083273324369163</v>
      </c>
      <c r="H65" s="123"/>
    </row>
    <row r="66" spans="1:8" ht="15.75" x14ac:dyDescent="0.25">
      <c r="A66" s="130"/>
      <c r="B66" s="131">
        <f>DATE(2021,10,1)</f>
        <v>44470</v>
      </c>
      <c r="C66" s="204">
        <v>7202787</v>
      </c>
      <c r="D66" s="204">
        <v>1168170.5</v>
      </c>
      <c r="E66" s="204">
        <v>306011.5</v>
      </c>
      <c r="F66" s="132">
        <f t="shared" si="12"/>
        <v>2.8174071889455137</v>
      </c>
      <c r="G66" s="215">
        <f t="shared" si="13"/>
        <v>0.16218312439337718</v>
      </c>
      <c r="H66" s="123"/>
    </row>
    <row r="67" spans="1:8" ht="15.75" x14ac:dyDescent="0.25">
      <c r="A67" s="130"/>
      <c r="B67" s="131">
        <f>DATE(2021,11,1)</f>
        <v>44501</v>
      </c>
      <c r="C67" s="204">
        <v>6938331</v>
      </c>
      <c r="D67" s="204">
        <v>1094072</v>
      </c>
      <c r="E67" s="204">
        <v>264033.5</v>
      </c>
      <c r="F67" s="132">
        <f t="shared" si="12"/>
        <v>3.1436863125323113</v>
      </c>
      <c r="G67" s="215">
        <f t="shared" si="13"/>
        <v>0.15768518394409262</v>
      </c>
      <c r="H67" s="123"/>
    </row>
    <row r="68" spans="1:8" ht="15.75" x14ac:dyDescent="0.25">
      <c r="A68" s="130"/>
      <c r="B68" s="131">
        <f>DATE(2021,12,1)</f>
        <v>44531</v>
      </c>
      <c r="C68" s="204">
        <v>7475553</v>
      </c>
      <c r="D68" s="204">
        <v>924398</v>
      </c>
      <c r="E68" s="204">
        <v>310571</v>
      </c>
      <c r="F68" s="132">
        <f t="shared" si="12"/>
        <v>1.976446609631936</v>
      </c>
      <c r="G68" s="215">
        <f t="shared" si="13"/>
        <v>0.12365613620825108</v>
      </c>
      <c r="H68" s="123"/>
    </row>
    <row r="69" spans="1:8" ht="15.75" customHeight="1" thickBot="1" x14ac:dyDescent="0.3">
      <c r="A69" s="130"/>
      <c r="B69" s="131"/>
      <c r="C69" s="204"/>
      <c r="D69" s="204"/>
      <c r="E69" s="204"/>
      <c r="F69" s="132"/>
      <c r="G69" s="215"/>
      <c r="H69" s="123"/>
    </row>
    <row r="70" spans="1:8" ht="17.25" thickTop="1" thickBot="1" x14ac:dyDescent="0.3">
      <c r="A70" s="141" t="s">
        <v>14</v>
      </c>
      <c r="B70" s="142"/>
      <c r="C70" s="207">
        <f>SUM(C63:C69)</f>
        <v>40724746</v>
      </c>
      <c r="D70" s="261">
        <f>SUM(D63:D69)</f>
        <v>6056576.5</v>
      </c>
      <c r="E70" s="207">
        <f>SUM(E63:E69)</f>
        <v>1675792</v>
      </c>
      <c r="F70" s="269">
        <f>(+D70-E70)/E70</f>
        <v>2.6141576639582955</v>
      </c>
      <c r="G70" s="267">
        <f>D70/C70</f>
        <v>0.14871981030894582</v>
      </c>
      <c r="H70" s="123"/>
    </row>
    <row r="71" spans="1:8" ht="15.75" customHeight="1" thickTop="1" x14ac:dyDescent="0.25">
      <c r="A71" s="130"/>
      <c r="B71" s="139"/>
      <c r="C71" s="205"/>
      <c r="D71" s="205"/>
      <c r="E71" s="205"/>
      <c r="F71" s="140"/>
      <c r="G71" s="216"/>
      <c r="H71" s="123"/>
    </row>
    <row r="72" spans="1:8" ht="15.75" x14ac:dyDescent="0.25">
      <c r="A72" s="130" t="s">
        <v>52</v>
      </c>
      <c r="B72" s="131">
        <f>DATE(2021,7,1)</f>
        <v>44378</v>
      </c>
      <c r="C72" s="204">
        <v>6084758</v>
      </c>
      <c r="D72" s="204">
        <v>1287648</v>
      </c>
      <c r="E72" s="204">
        <v>671384</v>
      </c>
      <c r="F72" s="132">
        <f t="shared" ref="F72:F77" si="14">(+D72-E72)/E72</f>
        <v>0.91790093299810538</v>
      </c>
      <c r="G72" s="215">
        <f t="shared" ref="G72:G77" si="15">D72/C72</f>
        <v>0.21161860504559096</v>
      </c>
      <c r="H72" s="123"/>
    </row>
    <row r="73" spans="1:8" ht="15.75" x14ac:dyDescent="0.25">
      <c r="A73" s="130"/>
      <c r="B73" s="131">
        <f>DATE(2021,8,1)</f>
        <v>44409</v>
      </c>
      <c r="C73" s="204">
        <v>5252172</v>
      </c>
      <c r="D73" s="204">
        <v>1323019.5</v>
      </c>
      <c r="E73" s="204">
        <v>647438.06000000006</v>
      </c>
      <c r="F73" s="132">
        <f t="shared" si="14"/>
        <v>1.043468837775771</v>
      </c>
      <c r="G73" s="215">
        <f t="shared" si="15"/>
        <v>0.25189949986405624</v>
      </c>
      <c r="H73" s="123"/>
    </row>
    <row r="74" spans="1:8" ht="15.75" x14ac:dyDescent="0.25">
      <c r="A74" s="130"/>
      <c r="B74" s="131">
        <f>DATE(2021,9,1)</f>
        <v>44440</v>
      </c>
      <c r="C74" s="204">
        <v>4855923</v>
      </c>
      <c r="D74" s="204">
        <v>858985.36</v>
      </c>
      <c r="E74" s="204">
        <v>476389</v>
      </c>
      <c r="F74" s="132">
        <f t="shared" si="14"/>
        <v>0.80311753629911686</v>
      </c>
      <c r="G74" s="215">
        <f t="shared" si="15"/>
        <v>0.17689435355544147</v>
      </c>
      <c r="H74" s="123"/>
    </row>
    <row r="75" spans="1:8" ht="15.75" x14ac:dyDescent="0.25">
      <c r="A75" s="130"/>
      <c r="B75" s="131">
        <f>DATE(2021,10,1)</f>
        <v>44470</v>
      </c>
      <c r="C75" s="204">
        <v>5531948</v>
      </c>
      <c r="D75" s="204">
        <v>980676.58</v>
      </c>
      <c r="E75" s="204">
        <v>822284.63</v>
      </c>
      <c r="F75" s="132">
        <f t="shared" si="14"/>
        <v>0.19262423766816603</v>
      </c>
      <c r="G75" s="215">
        <f t="shared" si="15"/>
        <v>0.17727509007676862</v>
      </c>
      <c r="H75" s="123"/>
    </row>
    <row r="76" spans="1:8" ht="15.75" x14ac:dyDescent="0.25">
      <c r="A76" s="130"/>
      <c r="B76" s="131">
        <f>DATE(2021,11,1)</f>
        <v>44501</v>
      </c>
      <c r="C76" s="204">
        <v>4904264</v>
      </c>
      <c r="D76" s="204">
        <v>1337612.57</v>
      </c>
      <c r="E76" s="204">
        <v>587592.5</v>
      </c>
      <c r="F76" s="132">
        <f t="shared" si="14"/>
        <v>1.2764289367206016</v>
      </c>
      <c r="G76" s="215">
        <f t="shared" si="15"/>
        <v>0.27274481349291146</v>
      </c>
      <c r="H76" s="123"/>
    </row>
    <row r="77" spans="1:8" ht="15.75" x14ac:dyDescent="0.25">
      <c r="A77" s="130"/>
      <c r="B77" s="131">
        <f>DATE(2021,12,1)</f>
        <v>44531</v>
      </c>
      <c r="C77" s="204">
        <v>5252655</v>
      </c>
      <c r="D77" s="204">
        <v>927044</v>
      </c>
      <c r="E77" s="204">
        <v>844069.86</v>
      </c>
      <c r="F77" s="132">
        <f t="shared" si="14"/>
        <v>9.830245567588447E-2</v>
      </c>
      <c r="G77" s="215">
        <f t="shared" si="15"/>
        <v>0.17649055572848399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SUM(C72:C78)</f>
        <v>31881720</v>
      </c>
      <c r="D79" s="206">
        <f>SUM(D72:D78)</f>
        <v>6714986.0099999998</v>
      </c>
      <c r="E79" s="206">
        <f>SUM(E72:E78)</f>
        <v>4049158.05</v>
      </c>
      <c r="F79" s="143">
        <f>(+D79-E79)/E79</f>
        <v>0.65836599290067233</v>
      </c>
      <c r="G79" s="217">
        <f>D79/C79</f>
        <v>0.21062182372845631</v>
      </c>
      <c r="H79" s="123"/>
    </row>
    <row r="80" spans="1:8" ht="15.75" customHeight="1" thickTop="1" x14ac:dyDescent="0.25">
      <c r="A80" s="138"/>
      <c r="B80" s="139"/>
      <c r="C80" s="205"/>
      <c r="D80" s="205"/>
      <c r="E80" s="205"/>
      <c r="F80" s="140"/>
      <c r="G80" s="216"/>
      <c r="H80" s="123"/>
    </row>
    <row r="81" spans="1:8" ht="15.75" x14ac:dyDescent="0.25">
      <c r="A81" s="130" t="s">
        <v>16</v>
      </c>
      <c r="B81" s="131">
        <f>DATE(2021,7,1)</f>
        <v>44378</v>
      </c>
      <c r="C81" s="204">
        <v>10188404</v>
      </c>
      <c r="D81" s="204">
        <v>1960105</v>
      </c>
      <c r="E81" s="204">
        <v>1702806.5</v>
      </c>
      <c r="F81" s="132">
        <f t="shared" ref="F81:F86" si="16">(+D81-E81)/E81</f>
        <v>0.15110260619747459</v>
      </c>
      <c r="G81" s="215">
        <f t="shared" ref="G81:G86" si="17">D81/C81</f>
        <v>0.19238587319466327</v>
      </c>
      <c r="H81" s="123"/>
    </row>
    <row r="82" spans="1:8" ht="15.75" x14ac:dyDescent="0.25">
      <c r="A82" s="130"/>
      <c r="B82" s="131">
        <f>DATE(2021,8,1)</f>
        <v>44409</v>
      </c>
      <c r="C82" s="204">
        <v>8876957</v>
      </c>
      <c r="D82" s="204">
        <v>2276188.5</v>
      </c>
      <c r="E82" s="204">
        <v>1570570.5</v>
      </c>
      <c r="F82" s="132">
        <f t="shared" si="16"/>
        <v>0.44927496091388447</v>
      </c>
      <c r="G82" s="215">
        <f t="shared" si="17"/>
        <v>0.25641540226003123</v>
      </c>
      <c r="H82" s="123"/>
    </row>
    <row r="83" spans="1:8" ht="15.75" x14ac:dyDescent="0.25">
      <c r="A83" s="130"/>
      <c r="B83" s="131">
        <f>DATE(2021,9,1)</f>
        <v>44440</v>
      </c>
      <c r="C83" s="204">
        <v>8784096</v>
      </c>
      <c r="D83" s="204">
        <v>937001</v>
      </c>
      <c r="E83" s="204">
        <v>1447626.5</v>
      </c>
      <c r="F83" s="132">
        <f t="shared" si="16"/>
        <v>-0.35273290451646194</v>
      </c>
      <c r="G83" s="215">
        <f t="shared" si="17"/>
        <v>0.10667016844988944</v>
      </c>
      <c r="H83" s="123"/>
    </row>
    <row r="84" spans="1:8" ht="15.75" x14ac:dyDescent="0.25">
      <c r="A84" s="130"/>
      <c r="B84" s="131">
        <f>DATE(2021,10,1)</f>
        <v>44470</v>
      </c>
      <c r="C84" s="204">
        <v>9422231</v>
      </c>
      <c r="D84" s="204">
        <v>1775955</v>
      </c>
      <c r="E84" s="204">
        <v>1659455</v>
      </c>
      <c r="F84" s="132">
        <f t="shared" si="16"/>
        <v>7.0203771720233454E-2</v>
      </c>
      <c r="G84" s="215">
        <f t="shared" si="17"/>
        <v>0.18848561450042989</v>
      </c>
      <c r="H84" s="123"/>
    </row>
    <row r="85" spans="1:8" ht="15.75" x14ac:dyDescent="0.25">
      <c r="A85" s="130"/>
      <c r="B85" s="131">
        <f>DATE(2021,11,1)</f>
        <v>44501</v>
      </c>
      <c r="C85" s="204">
        <v>10195584</v>
      </c>
      <c r="D85" s="204">
        <v>2249032.5</v>
      </c>
      <c r="E85" s="204">
        <v>1564224</v>
      </c>
      <c r="F85" s="132">
        <f t="shared" si="16"/>
        <v>0.43779439517613844</v>
      </c>
      <c r="G85" s="215">
        <f t="shared" si="17"/>
        <v>0.22058888436405408</v>
      </c>
      <c r="H85" s="123"/>
    </row>
    <row r="86" spans="1:8" ht="15.75" x14ac:dyDescent="0.25">
      <c r="A86" s="130"/>
      <c r="B86" s="131">
        <f>DATE(2021,12,1)</f>
        <v>44531</v>
      </c>
      <c r="C86" s="204">
        <v>10435449</v>
      </c>
      <c r="D86" s="204">
        <v>1878218</v>
      </c>
      <c r="E86" s="204">
        <v>1930831.5</v>
      </c>
      <c r="F86" s="132">
        <f t="shared" si="16"/>
        <v>-2.7249141108377402E-2</v>
      </c>
      <c r="G86" s="215">
        <f t="shared" si="17"/>
        <v>0.17998439741308686</v>
      </c>
      <c r="H86" s="123"/>
    </row>
    <row r="87" spans="1:8" ht="15.75" customHeight="1" thickBot="1" x14ac:dyDescent="0.3">
      <c r="A87" s="130"/>
      <c r="B87" s="131"/>
      <c r="C87" s="204"/>
      <c r="D87" s="204"/>
      <c r="E87" s="204"/>
      <c r="F87" s="132"/>
      <c r="G87" s="215"/>
      <c r="H87" s="123"/>
    </row>
    <row r="88" spans="1:8" ht="17.25" thickTop="1" thickBot="1" x14ac:dyDescent="0.3">
      <c r="A88" s="141" t="s">
        <v>14</v>
      </c>
      <c r="B88" s="142"/>
      <c r="C88" s="206">
        <f>SUM(C81:C87)</f>
        <v>57902721</v>
      </c>
      <c r="D88" s="206">
        <f>SUM(D81:D87)</f>
        <v>11076500</v>
      </c>
      <c r="E88" s="206">
        <f>SUM(E81:E87)</f>
        <v>9875514</v>
      </c>
      <c r="F88" s="143">
        <f>(+D88-E88)/E88</f>
        <v>0.12161250543516014</v>
      </c>
      <c r="G88" s="217">
        <f>D88/C88</f>
        <v>0.19129498249313706</v>
      </c>
      <c r="H88" s="123"/>
    </row>
    <row r="89" spans="1:8" ht="15.75" customHeight="1" thickTop="1" x14ac:dyDescent="0.25">
      <c r="A89" s="138"/>
      <c r="B89" s="139"/>
      <c r="C89" s="205"/>
      <c r="D89" s="205"/>
      <c r="E89" s="205"/>
      <c r="F89" s="140"/>
      <c r="G89" s="216"/>
      <c r="H89" s="123"/>
    </row>
    <row r="90" spans="1:8" ht="15.75" x14ac:dyDescent="0.25">
      <c r="A90" s="130" t="s">
        <v>54</v>
      </c>
      <c r="B90" s="131">
        <f>DATE(2021,7,1)</f>
        <v>44378</v>
      </c>
      <c r="C90" s="204">
        <v>12892239.5</v>
      </c>
      <c r="D90" s="204">
        <v>2503594.66</v>
      </c>
      <c r="E90" s="204">
        <v>1922906.33</v>
      </c>
      <c r="F90" s="132">
        <f t="shared" ref="F90:F95" si="18">(+D90-E90)/E90</f>
        <v>0.30198472018135175</v>
      </c>
      <c r="G90" s="215">
        <f t="shared" ref="G90:G95" si="19">D90/C90</f>
        <v>0.19419393038734661</v>
      </c>
      <c r="H90" s="123"/>
    </row>
    <row r="91" spans="1:8" ht="15.75" x14ac:dyDescent="0.25">
      <c r="A91" s="130"/>
      <c r="B91" s="131">
        <f>DATE(2021,8,1)</f>
        <v>44409</v>
      </c>
      <c r="C91" s="204">
        <v>12937175</v>
      </c>
      <c r="D91" s="204">
        <v>2041955.48</v>
      </c>
      <c r="E91" s="204">
        <v>2698345.86</v>
      </c>
      <c r="F91" s="132">
        <f t="shared" si="18"/>
        <v>-0.24325657793919714</v>
      </c>
      <c r="G91" s="215">
        <f t="shared" si="19"/>
        <v>0.15783627260201705</v>
      </c>
      <c r="H91" s="123"/>
    </row>
    <row r="92" spans="1:8" ht="15.75" x14ac:dyDescent="0.25">
      <c r="A92" s="130"/>
      <c r="B92" s="131">
        <f>DATE(2021,9,1)</f>
        <v>44440</v>
      </c>
      <c r="C92" s="204">
        <v>13265484</v>
      </c>
      <c r="D92" s="204">
        <v>2713567.27</v>
      </c>
      <c r="E92" s="204">
        <v>2773332.44</v>
      </c>
      <c r="F92" s="132">
        <f t="shared" si="18"/>
        <v>-2.1549948047339007E-2</v>
      </c>
      <c r="G92" s="215">
        <f t="shared" si="19"/>
        <v>0.20455848199733986</v>
      </c>
      <c r="H92" s="123"/>
    </row>
    <row r="93" spans="1:8" ht="15.75" x14ac:dyDescent="0.25">
      <c r="A93" s="130"/>
      <c r="B93" s="131">
        <f>DATE(2021,10,1)</f>
        <v>44470</v>
      </c>
      <c r="C93" s="204">
        <v>14843224</v>
      </c>
      <c r="D93" s="204">
        <v>2659301.4700000002</v>
      </c>
      <c r="E93" s="204">
        <v>2099358.0099999998</v>
      </c>
      <c r="F93" s="132">
        <f t="shared" si="18"/>
        <v>0.26672128209328172</v>
      </c>
      <c r="G93" s="215">
        <f t="shared" si="19"/>
        <v>0.17915928978771728</v>
      </c>
      <c r="H93" s="123"/>
    </row>
    <row r="94" spans="1:8" ht="15.75" x14ac:dyDescent="0.25">
      <c r="A94" s="130"/>
      <c r="B94" s="131">
        <f>DATE(2021,11,1)</f>
        <v>44501</v>
      </c>
      <c r="C94" s="204">
        <v>13846501</v>
      </c>
      <c r="D94" s="204">
        <v>2735220.29</v>
      </c>
      <c r="E94" s="204">
        <v>2138602.36</v>
      </c>
      <c r="F94" s="132">
        <f t="shared" si="18"/>
        <v>0.2789756249965048</v>
      </c>
      <c r="G94" s="215">
        <f t="shared" si="19"/>
        <v>0.19753873487605281</v>
      </c>
      <c r="H94" s="123"/>
    </row>
    <row r="95" spans="1:8" ht="15.75" x14ac:dyDescent="0.25">
      <c r="A95" s="130"/>
      <c r="B95" s="131">
        <f>DATE(2021,12,1)</f>
        <v>44531</v>
      </c>
      <c r="C95" s="204">
        <v>15351934</v>
      </c>
      <c r="D95" s="204">
        <v>3183682.5</v>
      </c>
      <c r="E95" s="204">
        <v>1971253.86</v>
      </c>
      <c r="F95" s="132">
        <f t="shared" si="18"/>
        <v>0.61505454198577947</v>
      </c>
      <c r="G95" s="215">
        <f t="shared" si="19"/>
        <v>0.20737989754255068</v>
      </c>
      <c r="H95" s="123"/>
    </row>
    <row r="96" spans="1:8" ht="15.75" thickBot="1" x14ac:dyDescent="0.25">
      <c r="A96" s="133"/>
      <c r="B96" s="131"/>
      <c r="C96" s="204"/>
      <c r="D96" s="204"/>
      <c r="E96" s="204"/>
      <c r="F96" s="132"/>
      <c r="G96" s="215"/>
      <c r="H96" s="123"/>
    </row>
    <row r="97" spans="1:8" ht="17.25" thickTop="1" thickBot="1" x14ac:dyDescent="0.3">
      <c r="A97" s="141" t="s">
        <v>14</v>
      </c>
      <c r="B97" s="142"/>
      <c r="C97" s="207">
        <f>SUM(C90:C96)</f>
        <v>83136557.5</v>
      </c>
      <c r="D97" s="207">
        <f>SUM(D90:D96)</f>
        <v>15837321.670000002</v>
      </c>
      <c r="E97" s="207">
        <f>SUM(E90:E96)</f>
        <v>13603798.859999998</v>
      </c>
      <c r="F97" s="143">
        <f>(+D97-E97)/E97</f>
        <v>0.16418375727146003</v>
      </c>
      <c r="G97" s="267">
        <f>D97/C97</f>
        <v>0.19049768412650478</v>
      </c>
      <c r="H97" s="123"/>
    </row>
    <row r="98" spans="1:8" ht="15.75" customHeight="1" thickTop="1" x14ac:dyDescent="0.25">
      <c r="A98" s="138"/>
      <c r="B98" s="139"/>
      <c r="C98" s="205"/>
      <c r="D98" s="205"/>
      <c r="E98" s="205"/>
      <c r="F98" s="140"/>
      <c r="G98" s="219"/>
      <c r="H98" s="123"/>
    </row>
    <row r="99" spans="1:8" ht="15.75" x14ac:dyDescent="0.25">
      <c r="A99" s="130" t="s">
        <v>55</v>
      </c>
      <c r="B99" s="131">
        <f>DATE(2021,7,1)</f>
        <v>44378</v>
      </c>
      <c r="C99" s="204">
        <v>371140</v>
      </c>
      <c r="D99" s="204">
        <v>95940.5</v>
      </c>
      <c r="E99" s="204">
        <v>188605.5</v>
      </c>
      <c r="F99" s="132">
        <f t="shared" ref="F99:F104" si="20">(+D99-E99)/E99</f>
        <v>-0.49131653106616724</v>
      </c>
      <c r="G99" s="215">
        <f t="shared" ref="G99:G104" si="21">D99/C99</f>
        <v>0.25850218246483808</v>
      </c>
      <c r="H99" s="123"/>
    </row>
    <row r="100" spans="1:8" ht="15.75" x14ac:dyDescent="0.25">
      <c r="A100" s="130"/>
      <c r="B100" s="131">
        <f>DATE(2021,8,1)</f>
        <v>44409</v>
      </c>
      <c r="C100" s="204">
        <v>365006</v>
      </c>
      <c r="D100" s="204">
        <v>109429</v>
      </c>
      <c r="E100" s="204">
        <v>111546</v>
      </c>
      <c r="F100" s="132">
        <f t="shared" si="20"/>
        <v>-1.8978717300485899E-2</v>
      </c>
      <c r="G100" s="215">
        <f t="shared" si="21"/>
        <v>0.29980055122381549</v>
      </c>
      <c r="H100" s="123"/>
    </row>
    <row r="101" spans="1:8" ht="15.75" x14ac:dyDescent="0.25">
      <c r="A101" s="130"/>
      <c r="B101" s="131">
        <f>DATE(2021,9,1)</f>
        <v>44440</v>
      </c>
      <c r="C101" s="204">
        <v>306911</v>
      </c>
      <c r="D101" s="204">
        <v>101758.5</v>
      </c>
      <c r="E101" s="204">
        <v>108554</v>
      </c>
      <c r="F101" s="132">
        <f t="shared" si="20"/>
        <v>-6.2600180555299673E-2</v>
      </c>
      <c r="G101" s="215">
        <f t="shared" si="21"/>
        <v>0.33155703119145291</v>
      </c>
      <c r="H101" s="123"/>
    </row>
    <row r="102" spans="1:8" ht="15.75" x14ac:dyDescent="0.25">
      <c r="A102" s="130"/>
      <c r="B102" s="131">
        <f>DATE(2021,10,1)</f>
        <v>44470</v>
      </c>
      <c r="C102" s="204">
        <v>384507</v>
      </c>
      <c r="D102" s="204">
        <v>79721.5</v>
      </c>
      <c r="E102" s="204">
        <v>95084.5</v>
      </c>
      <c r="F102" s="132">
        <f t="shared" si="20"/>
        <v>-0.16157207536454418</v>
      </c>
      <c r="G102" s="215">
        <f t="shared" si="21"/>
        <v>0.207334326813296</v>
      </c>
      <c r="H102" s="123"/>
    </row>
    <row r="103" spans="1:8" ht="15.75" x14ac:dyDescent="0.25">
      <c r="A103" s="130"/>
      <c r="B103" s="131">
        <f>DATE(2021,11,1)</f>
        <v>44501</v>
      </c>
      <c r="C103" s="204">
        <v>305940</v>
      </c>
      <c r="D103" s="204">
        <v>65199</v>
      </c>
      <c r="E103" s="204">
        <v>102680.5</v>
      </c>
      <c r="F103" s="132">
        <f t="shared" si="20"/>
        <v>-0.3650303611688685</v>
      </c>
      <c r="G103" s="215">
        <f t="shared" si="21"/>
        <v>0.21311041380662876</v>
      </c>
      <c r="H103" s="123"/>
    </row>
    <row r="104" spans="1:8" ht="15.75" x14ac:dyDescent="0.25">
      <c r="A104" s="130"/>
      <c r="B104" s="131">
        <f>DATE(2021,12,1)</f>
        <v>44531</v>
      </c>
      <c r="C104" s="204">
        <v>301496</v>
      </c>
      <c r="D104" s="204">
        <v>91444</v>
      </c>
      <c r="E104" s="204">
        <v>47733</v>
      </c>
      <c r="F104" s="132">
        <f t="shared" si="20"/>
        <v>0.91573963505331746</v>
      </c>
      <c r="G104" s="215">
        <f t="shared" si="21"/>
        <v>0.30330087298007269</v>
      </c>
      <c r="H104" s="123"/>
    </row>
    <row r="105" spans="1:8" ht="15.75" thickBot="1" x14ac:dyDescent="0.25">
      <c r="A105" s="133"/>
      <c r="B105" s="134"/>
      <c r="C105" s="204"/>
      <c r="D105" s="204"/>
      <c r="E105" s="204"/>
      <c r="F105" s="132"/>
      <c r="G105" s="215"/>
      <c r="H105" s="123"/>
    </row>
    <row r="106" spans="1:8" ht="17.25" thickTop="1" thickBot="1" x14ac:dyDescent="0.3">
      <c r="A106" s="144" t="s">
        <v>14</v>
      </c>
      <c r="B106" s="145"/>
      <c r="C106" s="207">
        <f>SUM(C99:C105)</f>
        <v>2035000</v>
      </c>
      <c r="D106" s="207">
        <f>SUM(D99:D105)</f>
        <v>543492.5</v>
      </c>
      <c r="E106" s="207">
        <f>SUM(E99:E105)</f>
        <v>654203.5</v>
      </c>
      <c r="F106" s="143">
        <f>(+D106-E106)/E106</f>
        <v>-0.16923021659162629</v>
      </c>
      <c r="G106" s="217">
        <f>D106/C106</f>
        <v>0.26707248157248159</v>
      </c>
      <c r="H106" s="123"/>
    </row>
    <row r="107" spans="1:8" ht="15.75" customHeight="1" thickTop="1" x14ac:dyDescent="0.25">
      <c r="A107" s="130"/>
      <c r="B107" s="134"/>
      <c r="C107" s="204"/>
      <c r="D107" s="204"/>
      <c r="E107" s="204"/>
      <c r="F107" s="132"/>
      <c r="G107" s="218"/>
      <c r="H107" s="123"/>
    </row>
    <row r="108" spans="1:8" ht="15.75" x14ac:dyDescent="0.25">
      <c r="A108" s="130" t="s">
        <v>37</v>
      </c>
      <c r="B108" s="131">
        <f>DATE(2021,7,1)</f>
        <v>44378</v>
      </c>
      <c r="C108" s="204">
        <v>21135748</v>
      </c>
      <c r="D108" s="204">
        <v>4828759.4400000004</v>
      </c>
      <c r="E108" s="204">
        <v>4944391.55</v>
      </c>
      <c r="F108" s="132">
        <f t="shared" ref="F108:F113" si="22">(+D108-E108)/E108</f>
        <v>-2.33865196214081E-2</v>
      </c>
      <c r="G108" s="215">
        <f t="shared" ref="G108:G113" si="23">D108/C108</f>
        <v>0.22846409031750381</v>
      </c>
      <c r="H108" s="123"/>
    </row>
    <row r="109" spans="1:8" ht="15.75" x14ac:dyDescent="0.25">
      <c r="A109" s="130"/>
      <c r="B109" s="131">
        <f>DATE(2021,8,1)</f>
        <v>44409</v>
      </c>
      <c r="C109" s="204">
        <v>21125231</v>
      </c>
      <c r="D109" s="204">
        <v>4617763.22</v>
      </c>
      <c r="E109" s="204">
        <v>3489579.3</v>
      </c>
      <c r="F109" s="132">
        <f t="shared" si="22"/>
        <v>0.32330084030473244</v>
      </c>
      <c r="G109" s="215">
        <f t="shared" si="23"/>
        <v>0.21858995151342958</v>
      </c>
      <c r="H109" s="123"/>
    </row>
    <row r="110" spans="1:8" ht="15.75" x14ac:dyDescent="0.25">
      <c r="A110" s="130"/>
      <c r="B110" s="131">
        <f>DATE(2021,9,1)</f>
        <v>44440</v>
      </c>
      <c r="C110" s="204">
        <v>19406042</v>
      </c>
      <c r="D110" s="204">
        <v>4146063.59</v>
      </c>
      <c r="E110" s="204">
        <v>3694673.89</v>
      </c>
      <c r="F110" s="132">
        <f t="shared" si="22"/>
        <v>0.12217308304847432</v>
      </c>
      <c r="G110" s="215">
        <f t="shared" si="23"/>
        <v>0.21364807877876385</v>
      </c>
      <c r="H110" s="123"/>
    </row>
    <row r="111" spans="1:8" ht="15.75" x14ac:dyDescent="0.25">
      <c r="A111" s="130"/>
      <c r="B111" s="131">
        <f>DATE(2021,10,1)</f>
        <v>44470</v>
      </c>
      <c r="C111" s="204">
        <v>22309255.5</v>
      </c>
      <c r="D111" s="204">
        <v>5459139.5700000003</v>
      </c>
      <c r="E111" s="204">
        <v>4159604.05</v>
      </c>
      <c r="F111" s="132">
        <f t="shared" si="22"/>
        <v>0.31241808219703038</v>
      </c>
      <c r="G111" s="215">
        <f t="shared" si="23"/>
        <v>0.24470290234472417</v>
      </c>
      <c r="H111" s="123"/>
    </row>
    <row r="112" spans="1:8" ht="15.75" x14ac:dyDescent="0.25">
      <c r="A112" s="130"/>
      <c r="B112" s="131">
        <f>DATE(2021,11,1)</f>
        <v>44501</v>
      </c>
      <c r="C112" s="204">
        <v>22481941</v>
      </c>
      <c r="D112" s="204">
        <v>4253233.6500000004</v>
      </c>
      <c r="E112" s="204">
        <v>3752761.48</v>
      </c>
      <c r="F112" s="132">
        <f t="shared" si="22"/>
        <v>0.13336103897549076</v>
      </c>
      <c r="G112" s="215">
        <f t="shared" si="23"/>
        <v>0.18918445031058487</v>
      </c>
      <c r="H112" s="123"/>
    </row>
    <row r="113" spans="1:8" ht="15.75" x14ac:dyDescent="0.25">
      <c r="A113" s="130"/>
      <c r="B113" s="131">
        <f>DATE(2021,12,1)</f>
        <v>44531</v>
      </c>
      <c r="C113" s="204">
        <v>24035711</v>
      </c>
      <c r="D113" s="204">
        <v>5369859.7400000002</v>
      </c>
      <c r="E113" s="204">
        <v>4490962</v>
      </c>
      <c r="F113" s="132">
        <f t="shared" si="22"/>
        <v>0.19570366883531862</v>
      </c>
      <c r="G113" s="215">
        <f t="shared" si="23"/>
        <v>0.223411728490162</v>
      </c>
      <c r="H113" s="123"/>
    </row>
    <row r="114" spans="1:8" ht="15.75" thickBot="1" x14ac:dyDescent="0.25">
      <c r="A114" s="133"/>
      <c r="B114" s="134"/>
      <c r="C114" s="204"/>
      <c r="D114" s="204"/>
      <c r="E114" s="204"/>
      <c r="F114" s="132"/>
      <c r="G114" s="215"/>
      <c r="H114" s="123"/>
    </row>
    <row r="115" spans="1:8" ht="17.25" thickTop="1" thickBot="1" x14ac:dyDescent="0.3">
      <c r="A115" s="141" t="s">
        <v>14</v>
      </c>
      <c r="B115" s="142"/>
      <c r="C115" s="206">
        <f>SUM(C108:C114)</f>
        <v>130493928.5</v>
      </c>
      <c r="D115" s="207">
        <f>SUM(D108:D114)</f>
        <v>28674819.210000001</v>
      </c>
      <c r="E115" s="206">
        <f>SUM(E108:E114)</f>
        <v>24531972.27</v>
      </c>
      <c r="F115" s="143">
        <f>(+D115-E115)/E115</f>
        <v>0.168875412641252</v>
      </c>
      <c r="G115" s="217">
        <f>D115/C115</f>
        <v>0.21974063881447176</v>
      </c>
      <c r="H115" s="123"/>
    </row>
    <row r="116" spans="1:8" ht="15.75" customHeight="1" thickTop="1" x14ac:dyDescent="0.25">
      <c r="A116" s="130"/>
      <c r="B116" s="134"/>
      <c r="C116" s="204"/>
      <c r="D116" s="204"/>
      <c r="E116" s="204"/>
      <c r="F116" s="132"/>
      <c r="G116" s="218"/>
      <c r="H116" s="123"/>
    </row>
    <row r="117" spans="1:8" ht="15.75" x14ac:dyDescent="0.25">
      <c r="A117" s="130" t="s">
        <v>58</v>
      </c>
      <c r="B117" s="131">
        <f>DATE(2021,7,1)</f>
        <v>44378</v>
      </c>
      <c r="C117" s="204">
        <v>576838</v>
      </c>
      <c r="D117" s="204">
        <v>127439.5</v>
      </c>
      <c r="E117" s="204">
        <v>155770.5</v>
      </c>
      <c r="F117" s="132">
        <f t="shared" ref="F117:F122" si="24">(+D117-E117)/E117</f>
        <v>-0.18187654273434314</v>
      </c>
      <c r="G117" s="215">
        <f t="shared" ref="G117:G122" si="25">D117/C117</f>
        <v>0.22092771280671522</v>
      </c>
      <c r="H117" s="123"/>
    </row>
    <row r="118" spans="1:8" ht="15.75" x14ac:dyDescent="0.25">
      <c r="A118" s="130"/>
      <c r="B118" s="131">
        <f>DATE(2021,8,1)</f>
        <v>44409</v>
      </c>
      <c r="C118" s="204">
        <v>465052</v>
      </c>
      <c r="D118" s="204">
        <v>132624</v>
      </c>
      <c r="E118" s="204">
        <v>187855</v>
      </c>
      <c r="F118" s="132">
        <f t="shared" si="24"/>
        <v>-0.29400867690505977</v>
      </c>
      <c r="G118" s="215">
        <f t="shared" si="25"/>
        <v>0.2851810120158606</v>
      </c>
      <c r="H118" s="123"/>
    </row>
    <row r="119" spans="1:8" ht="15.75" x14ac:dyDescent="0.25">
      <c r="A119" s="130"/>
      <c r="B119" s="131">
        <f>DATE(2021,9,1)</f>
        <v>44440</v>
      </c>
      <c r="C119" s="204">
        <v>546162</v>
      </c>
      <c r="D119" s="204">
        <v>116203.5</v>
      </c>
      <c r="E119" s="204">
        <v>175772.5</v>
      </c>
      <c r="F119" s="132">
        <f t="shared" si="24"/>
        <v>-0.338898291826082</v>
      </c>
      <c r="G119" s="215">
        <f t="shared" si="25"/>
        <v>0.21276379535742143</v>
      </c>
      <c r="H119" s="123"/>
    </row>
    <row r="120" spans="1:8" ht="15.75" x14ac:dyDescent="0.25">
      <c r="A120" s="130"/>
      <c r="B120" s="131">
        <f>DATE(2021,10,1)</f>
        <v>44470</v>
      </c>
      <c r="C120" s="204">
        <v>611813</v>
      </c>
      <c r="D120" s="204">
        <v>167500.5</v>
      </c>
      <c r="E120" s="204">
        <v>128393</v>
      </c>
      <c r="F120" s="132">
        <f t="shared" si="24"/>
        <v>0.30459215066241929</v>
      </c>
      <c r="G120" s="215">
        <f t="shared" si="25"/>
        <v>0.27377728162036441</v>
      </c>
      <c r="H120" s="123"/>
    </row>
    <row r="121" spans="1:8" ht="15.75" x14ac:dyDescent="0.25">
      <c r="A121" s="130"/>
      <c r="B121" s="131">
        <f>DATE(2021,11,1)</f>
        <v>44501</v>
      </c>
      <c r="C121" s="204">
        <v>574384</v>
      </c>
      <c r="D121" s="204">
        <v>144385.5</v>
      </c>
      <c r="E121" s="204">
        <v>162751.5</v>
      </c>
      <c r="F121" s="132">
        <f t="shared" si="24"/>
        <v>-0.11284688620381379</v>
      </c>
      <c r="G121" s="215">
        <f t="shared" si="25"/>
        <v>0.2513745160032313</v>
      </c>
      <c r="H121" s="123"/>
    </row>
    <row r="122" spans="1:8" ht="15.75" x14ac:dyDescent="0.25">
      <c r="A122" s="130"/>
      <c r="B122" s="131">
        <f>DATE(2021,12,1)</f>
        <v>44531</v>
      </c>
      <c r="C122" s="204">
        <v>651978</v>
      </c>
      <c r="D122" s="204">
        <v>189046.5</v>
      </c>
      <c r="E122" s="204">
        <v>165476</v>
      </c>
      <c r="F122" s="132">
        <f t="shared" si="24"/>
        <v>0.14244059561507408</v>
      </c>
      <c r="G122" s="215">
        <f t="shared" si="25"/>
        <v>0.28995840350441271</v>
      </c>
      <c r="H122" s="123"/>
    </row>
    <row r="123" spans="1:8" ht="15.75" thickBot="1" x14ac:dyDescent="0.25">
      <c r="A123" s="133"/>
      <c r="B123" s="134"/>
      <c r="C123" s="204"/>
      <c r="D123" s="204"/>
      <c r="E123" s="204"/>
      <c r="F123" s="132"/>
      <c r="G123" s="215"/>
      <c r="H123" s="123"/>
    </row>
    <row r="124" spans="1:8" ht="17.25" thickTop="1" thickBot="1" x14ac:dyDescent="0.3">
      <c r="A124" s="135" t="s">
        <v>14</v>
      </c>
      <c r="B124" s="136"/>
      <c r="C124" s="201">
        <f>SUM(C117:C123)</f>
        <v>3426227</v>
      </c>
      <c r="D124" s="207">
        <f>SUM(D117:D123)</f>
        <v>877199.5</v>
      </c>
      <c r="E124" s="207">
        <f>SUM(E117:E123)</f>
        <v>976018.5</v>
      </c>
      <c r="F124" s="143">
        <f>(+D124-E124)/E124</f>
        <v>-0.10124705628018321</v>
      </c>
      <c r="G124" s="217">
        <f>D124/C124</f>
        <v>0.25602492187470355</v>
      </c>
      <c r="H124" s="123"/>
    </row>
    <row r="125" spans="1:8" ht="16.5" thickTop="1" thickBot="1" x14ac:dyDescent="0.25">
      <c r="A125" s="146"/>
      <c r="B125" s="139"/>
      <c r="C125" s="205"/>
      <c r="D125" s="205"/>
      <c r="E125" s="205"/>
      <c r="F125" s="140"/>
      <c r="G125" s="216"/>
      <c r="H125" s="123"/>
    </row>
    <row r="126" spans="1:8" ht="17.25" thickTop="1" thickBot="1" x14ac:dyDescent="0.3">
      <c r="A126" s="147" t="s">
        <v>38</v>
      </c>
      <c r="B126" s="121"/>
      <c r="C126" s="201">
        <f>C124+C115+C88+C70+C52+C34+C16+C43+C106+C25+C79+C97+C61</f>
        <v>629422998.05999994</v>
      </c>
      <c r="D126" s="201">
        <f>D124+D115+D88+D70+D52+D34+D16+D43+D106+D25+D79+D97+D61</f>
        <v>129806854.91000001</v>
      </c>
      <c r="E126" s="201">
        <f>E124+E115+E88+E70+E52+E34+E16+E43+E106+E25+E79+E97+E61</f>
        <v>103487626.38</v>
      </c>
      <c r="F126" s="137">
        <f>(+D126-E126)/E126</f>
        <v>0.25432246782197399</v>
      </c>
      <c r="G126" s="212">
        <f>D126/C126</f>
        <v>0.20623150935076912</v>
      </c>
      <c r="H126" s="123"/>
    </row>
    <row r="127" spans="1:8" ht="17.25" thickTop="1" thickBot="1" x14ac:dyDescent="0.3">
      <c r="A127" s="147"/>
      <c r="B127" s="121"/>
      <c r="C127" s="201"/>
      <c r="D127" s="201"/>
      <c r="E127" s="201"/>
      <c r="F127" s="137"/>
      <c r="G127" s="212"/>
      <c r="H127" s="123"/>
    </row>
    <row r="128" spans="1:8" ht="17.25" thickTop="1" thickBot="1" x14ac:dyDescent="0.3">
      <c r="A128" s="265" t="s">
        <v>39</v>
      </c>
      <c r="B128" s="266"/>
      <c r="C128" s="206">
        <f>SUM(C14+C23+C32+C41+C50+C59+C68+C77+C86+C95+C104+C113+C122)</f>
        <v>112327077.5</v>
      </c>
      <c r="D128" s="206">
        <f>SUM(D14+D23+D32+D41+D50+D59+D68+D77+D86+D95+D104+D113+D122)</f>
        <v>22702692.240000002</v>
      </c>
      <c r="E128" s="206">
        <f>SUM(E14+E23+E32+E41+E50+E59+E68+E77+E86+E95+E104+E113+E122)</f>
        <v>18150912.629999999</v>
      </c>
      <c r="F128" s="268">
        <f>(+D128-E128)/E128</f>
        <v>0.25077414578464663</v>
      </c>
      <c r="G128" s="217">
        <f>D128/C128</f>
        <v>0.2021123734835886</v>
      </c>
      <c r="H128" s="123"/>
    </row>
    <row r="129" spans="1:8" ht="16.5" thickTop="1" x14ac:dyDescent="0.25">
      <c r="A129" s="256"/>
      <c r="B129" s="258"/>
      <c r="C129" s="259"/>
      <c r="D129" s="259"/>
      <c r="E129" s="259"/>
      <c r="F129" s="260"/>
      <c r="G129" s="257"/>
      <c r="H129" s="257"/>
    </row>
    <row r="130" spans="1:8" ht="18.75" x14ac:dyDescent="0.3">
      <c r="A130" s="263" t="s">
        <v>40</v>
      </c>
      <c r="B130" s="117"/>
      <c r="C130" s="208"/>
      <c r="D130" s="208"/>
      <c r="E130" s="208"/>
      <c r="F130" s="148"/>
      <c r="G130" s="220"/>
    </row>
    <row r="131" spans="1:8" ht="15.75" x14ac:dyDescent="0.25">
      <c r="A131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2" max="7" man="1"/>
    <brk id="9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67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68</v>
      </c>
      <c r="E8" s="224" t="s">
        <v>68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DATE(21,8,1)</f>
        <v>7884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DATE(21,9,1)</f>
        <v>7915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DATE(21,10,1)</f>
        <v>7945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x14ac:dyDescent="0.25">
      <c r="A14" s="164"/>
      <c r="B14" s="165">
        <f>DATE(21,11,1)</f>
        <v>7976</v>
      </c>
      <c r="C14" s="226">
        <v>1095526.05</v>
      </c>
      <c r="D14" s="226">
        <v>51101.03</v>
      </c>
      <c r="E14" s="226">
        <v>0</v>
      </c>
      <c r="F14" s="166">
        <v>1</v>
      </c>
      <c r="G14" s="241">
        <f>+D14/C14</f>
        <v>4.6645198441424555E-2</v>
      </c>
      <c r="H14" s="289">
        <f>1-G14</f>
        <v>0.95335480155857544</v>
      </c>
    </row>
    <row r="15" spans="1:8" ht="15.75" x14ac:dyDescent="0.25">
      <c r="A15" s="164"/>
      <c r="B15" s="165">
        <f>DATE(21,12,1)</f>
        <v>8006</v>
      </c>
      <c r="C15" s="226">
        <v>2814957.88</v>
      </c>
      <c r="D15" s="226">
        <v>90195.59</v>
      </c>
      <c r="E15" s="226">
        <v>0</v>
      </c>
      <c r="F15" s="166">
        <v>1</v>
      </c>
      <c r="G15" s="241">
        <f>+D15/C15</f>
        <v>3.204154159493143E-2</v>
      </c>
      <c r="H15" s="289">
        <f>1-G15</f>
        <v>0.96795845840506856</v>
      </c>
    </row>
    <row r="16" spans="1:8" ht="15.75" thickBot="1" x14ac:dyDescent="0.25">
      <c r="A16" s="167"/>
      <c r="B16" s="168"/>
      <c r="C16" s="226"/>
      <c r="D16" s="226"/>
      <c r="E16" s="226"/>
      <c r="F16" s="166"/>
      <c r="G16" s="241"/>
      <c r="H16" s="242"/>
    </row>
    <row r="17" spans="1:8" ht="17.25" thickTop="1" thickBot="1" x14ac:dyDescent="0.3">
      <c r="A17" s="169" t="s">
        <v>14</v>
      </c>
      <c r="B17" s="155"/>
      <c r="C17" s="223">
        <f>SUM(C10:C16)</f>
        <v>3910483.9299999997</v>
      </c>
      <c r="D17" s="223">
        <f>SUM(D10:D16)</f>
        <v>141296.62</v>
      </c>
      <c r="E17" s="223">
        <f>SUM(E10:E16)</f>
        <v>0</v>
      </c>
      <c r="F17" s="170">
        <v>1</v>
      </c>
      <c r="G17" s="245">
        <f>+D17/C17</f>
        <v>3.613277091257603E-2</v>
      </c>
      <c r="H17" s="246">
        <f>1-G17</f>
        <v>0.96386722908742395</v>
      </c>
    </row>
    <row r="18" spans="1:8" ht="15.75" thickTop="1" x14ac:dyDescent="0.2">
      <c r="A18" s="171"/>
      <c r="B18" s="172"/>
      <c r="C18" s="227"/>
      <c r="D18" s="227"/>
      <c r="E18" s="227"/>
      <c r="F18" s="173"/>
      <c r="G18" s="243"/>
      <c r="H18" s="244"/>
    </row>
    <row r="19" spans="1:8" ht="15.75" x14ac:dyDescent="0.25">
      <c r="A19" s="19" t="s">
        <v>48</v>
      </c>
      <c r="B19" s="165">
        <f>DATE(21,7,1)</f>
        <v>7853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9"/>
      <c r="B20" s="165">
        <f>DATE(21,8,1)</f>
        <v>7884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DATE(21,9,1)</f>
        <v>7915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DATE(21,10,1)</f>
        <v>7945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DATE(21,11,1)</f>
        <v>7976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DATE(21,12,1)</f>
        <v>8006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thickBot="1" x14ac:dyDescent="0.25">
      <c r="A25" s="167"/>
      <c r="B25" s="165"/>
      <c r="C25" s="226"/>
      <c r="D25" s="226"/>
      <c r="E25" s="226"/>
      <c r="F25" s="166"/>
      <c r="G25" s="241"/>
      <c r="H25" s="242"/>
    </row>
    <row r="26" spans="1:8" ht="17.25" thickTop="1" thickBot="1" x14ac:dyDescent="0.3">
      <c r="A26" s="169" t="s">
        <v>14</v>
      </c>
      <c r="B26" s="155"/>
      <c r="C26" s="223">
        <f>SUM(C19:C25)</f>
        <v>0</v>
      </c>
      <c r="D26" s="223">
        <f>SUM(D19:D25)</f>
        <v>0</v>
      </c>
      <c r="E26" s="223">
        <f>SUM(E19:E25)</f>
        <v>0</v>
      </c>
      <c r="F26" s="170">
        <v>0</v>
      </c>
      <c r="G26" s="236">
        <v>0</v>
      </c>
      <c r="H26" s="237">
        <v>0</v>
      </c>
    </row>
    <row r="27" spans="1:8" ht="15.75" thickTop="1" x14ac:dyDescent="0.2">
      <c r="A27" s="171"/>
      <c r="B27" s="172"/>
      <c r="C27" s="227"/>
      <c r="D27" s="227"/>
      <c r="E27" s="227"/>
      <c r="F27" s="173"/>
      <c r="G27" s="243"/>
      <c r="H27" s="244"/>
    </row>
    <row r="28" spans="1:8" ht="15.75" x14ac:dyDescent="0.25">
      <c r="A28" s="19" t="s">
        <v>64</v>
      </c>
      <c r="B28" s="165">
        <f>DATE(21,7,1)</f>
        <v>7853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DATE(21,8,1)</f>
        <v>7884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DATE(21,9,1)</f>
        <v>7915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9"/>
      <c r="B31" s="165">
        <f>DATE(21,10,1)</f>
        <v>7945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9"/>
      <c r="B32" s="165">
        <f>DATE(21,11,1)</f>
        <v>7976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DATE(21,12,1)</f>
        <v>8006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thickBot="1" x14ac:dyDescent="0.25">
      <c r="A34" s="167"/>
      <c r="B34" s="165"/>
      <c r="C34" s="226"/>
      <c r="D34" s="226"/>
      <c r="E34" s="226"/>
      <c r="F34" s="166"/>
      <c r="G34" s="241"/>
      <c r="H34" s="242"/>
    </row>
    <row r="35" spans="1:8" ht="17.25" thickTop="1" thickBot="1" x14ac:dyDescent="0.3">
      <c r="A35" s="174" t="s">
        <v>14</v>
      </c>
      <c r="B35" s="175"/>
      <c r="C35" s="228">
        <f>SUM(C28:C34)</f>
        <v>0</v>
      </c>
      <c r="D35" s="228">
        <f>SUM(D28:D34)</f>
        <v>0</v>
      </c>
      <c r="E35" s="228">
        <f>SUM(E28:E34)</f>
        <v>0</v>
      </c>
      <c r="F35" s="176">
        <v>0</v>
      </c>
      <c r="G35" s="245">
        <v>0</v>
      </c>
      <c r="H35" s="246">
        <v>0</v>
      </c>
    </row>
    <row r="36" spans="1:8" ht="15.75" thickTop="1" x14ac:dyDescent="0.2">
      <c r="A36" s="167"/>
      <c r="B36" s="168"/>
      <c r="C36" s="226"/>
      <c r="D36" s="226"/>
      <c r="E36" s="226"/>
      <c r="F36" s="166"/>
      <c r="G36" s="241"/>
      <c r="H36" s="242"/>
    </row>
    <row r="37" spans="1:8" ht="15.75" x14ac:dyDescent="0.25">
      <c r="A37" s="177" t="s">
        <v>59</v>
      </c>
      <c r="B37" s="165">
        <f>DATE(21,7,1)</f>
        <v>7853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77"/>
      <c r="B38" s="165">
        <f>DATE(21,8,1)</f>
        <v>7884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77"/>
      <c r="B39" s="165">
        <f>DATE(21,9,1)</f>
        <v>7915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77"/>
      <c r="B40" s="165">
        <f>DATE(21,10,1)</f>
        <v>7945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77"/>
      <c r="B41" s="165">
        <f>DATE(21,11,1)</f>
        <v>7976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77"/>
      <c r="B42" s="165">
        <f>DATE(21,12,1)</f>
        <v>8006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thickBot="1" x14ac:dyDescent="0.25">
      <c r="A43" s="167"/>
      <c r="B43" s="168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78"/>
      <c r="C44" s="228">
        <f>SUM(C37:C43)</f>
        <v>0</v>
      </c>
      <c r="D44" s="228">
        <f>SUM(D37:D43)</f>
        <v>0</v>
      </c>
      <c r="E44" s="228">
        <f>SUM(E37:E43)</f>
        <v>0</v>
      </c>
      <c r="F44" s="176">
        <v>0</v>
      </c>
      <c r="G44" s="245">
        <v>0</v>
      </c>
      <c r="H44" s="246">
        <v>0</v>
      </c>
    </row>
    <row r="45" spans="1:8" ht="15.75" thickTop="1" x14ac:dyDescent="0.2">
      <c r="A45" s="167"/>
      <c r="B45" s="168"/>
      <c r="C45" s="226"/>
      <c r="D45" s="226"/>
      <c r="E45" s="226"/>
      <c r="F45" s="166"/>
      <c r="G45" s="241"/>
      <c r="H45" s="242"/>
    </row>
    <row r="46" spans="1:8" ht="15.75" x14ac:dyDescent="0.25">
      <c r="A46" s="164" t="s">
        <v>62</v>
      </c>
      <c r="B46" s="165">
        <f>DATE(21,7,1)</f>
        <v>7853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64"/>
      <c r="B47" s="165">
        <f>DATE(21,8,1)</f>
        <v>7884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64"/>
      <c r="B48" s="165">
        <f>DATE(21,9,1)</f>
        <v>7915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x14ac:dyDescent="0.25">
      <c r="A49" s="164"/>
      <c r="B49" s="165">
        <f>DATE(21,10,1)</f>
        <v>7945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.75" x14ac:dyDescent="0.25">
      <c r="A50" s="164"/>
      <c r="B50" s="165">
        <f>DATE(21,11,1)</f>
        <v>7976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DATE(21,12,1)</f>
        <v>8006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 thickBot="1" x14ac:dyDescent="0.25">
      <c r="A52" s="167"/>
      <c r="B52" s="165"/>
      <c r="C52" s="226"/>
      <c r="D52" s="226"/>
      <c r="E52" s="226"/>
      <c r="F52" s="166"/>
      <c r="G52" s="241"/>
      <c r="H52" s="242"/>
    </row>
    <row r="53" spans="1:8" ht="17.25" thickTop="1" thickBot="1" x14ac:dyDescent="0.3">
      <c r="A53" s="174" t="s">
        <v>14</v>
      </c>
      <c r="B53" s="175"/>
      <c r="C53" s="228">
        <f>SUM(C46:C52)</f>
        <v>0</v>
      </c>
      <c r="D53" s="230">
        <f>SUM(D46:D52)</f>
        <v>0</v>
      </c>
      <c r="E53" s="271">
        <f>SUM(E46:E52)</f>
        <v>0</v>
      </c>
      <c r="F53" s="176">
        <v>0</v>
      </c>
      <c r="G53" s="245">
        <v>0</v>
      </c>
      <c r="H53" s="246">
        <v>0</v>
      </c>
    </row>
    <row r="54" spans="1:8" ht="15.75" thickTop="1" x14ac:dyDescent="0.2">
      <c r="A54" s="167"/>
      <c r="B54" s="168"/>
      <c r="C54" s="226"/>
      <c r="D54" s="226"/>
      <c r="E54" s="226"/>
      <c r="F54" s="166"/>
      <c r="G54" s="241"/>
      <c r="H54" s="242"/>
    </row>
    <row r="55" spans="1:8" ht="15.75" x14ac:dyDescent="0.25">
      <c r="A55" s="164" t="s">
        <v>66</v>
      </c>
      <c r="B55" s="165">
        <f>DATE(21,7,1)</f>
        <v>7853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DATE(21,8,1)</f>
        <v>7884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x14ac:dyDescent="0.25">
      <c r="A57" s="164"/>
      <c r="B57" s="165">
        <f>DATE(21,9,1)</f>
        <v>7915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.75" x14ac:dyDescent="0.25">
      <c r="A58" s="164"/>
      <c r="B58" s="165">
        <f>DATE(21,10,1)</f>
        <v>7945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DATE(21,11,1)</f>
        <v>7976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DATE(21,12,1)</f>
        <v>8006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thickBot="1" x14ac:dyDescent="0.25">
      <c r="A61" s="167"/>
      <c r="B61" s="165"/>
      <c r="C61" s="226"/>
      <c r="D61" s="226"/>
      <c r="E61" s="226"/>
      <c r="F61" s="166"/>
      <c r="G61" s="241"/>
      <c r="H61" s="242"/>
    </row>
    <row r="62" spans="1:8" ht="17.25" thickTop="1" thickBot="1" x14ac:dyDescent="0.3">
      <c r="A62" s="174" t="s">
        <v>14</v>
      </c>
      <c r="B62" s="175"/>
      <c r="C62" s="228">
        <f>SUM(C55:C61)</f>
        <v>0</v>
      </c>
      <c r="D62" s="230">
        <f>SUM(D55:D61)</f>
        <v>0</v>
      </c>
      <c r="E62" s="271">
        <f>SUM(E55:E61)</f>
        <v>0</v>
      </c>
      <c r="F62" s="176">
        <v>0</v>
      </c>
      <c r="G62" s="245">
        <v>0</v>
      </c>
      <c r="H62" s="246">
        <v>0</v>
      </c>
    </row>
    <row r="63" spans="1:8" ht="15.75" thickTop="1" x14ac:dyDescent="0.2">
      <c r="A63" s="167"/>
      <c r="B63" s="168"/>
      <c r="C63" s="226"/>
      <c r="D63" s="226"/>
      <c r="E63" s="226"/>
      <c r="F63" s="166"/>
      <c r="G63" s="241"/>
      <c r="H63" s="242"/>
    </row>
    <row r="64" spans="1:8" ht="15.75" x14ac:dyDescent="0.25">
      <c r="A64" s="164" t="s">
        <v>70</v>
      </c>
      <c r="B64" s="165">
        <f>DATE(21,7,1)</f>
        <v>7853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DATE(21,8,1)</f>
        <v>7884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DATE(21,9,1)</f>
        <v>7915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DATE(21,10,1)</f>
        <v>7945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DATE(21,11,1)</f>
        <v>7976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DATE(21,12,1)</f>
        <v>8006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thickBot="1" x14ac:dyDescent="0.25">
      <c r="A70" s="167"/>
      <c r="B70" s="165"/>
      <c r="C70" s="226"/>
      <c r="D70" s="226"/>
      <c r="E70" s="226"/>
      <c r="F70" s="166"/>
      <c r="G70" s="241"/>
      <c r="H70" s="242"/>
    </row>
    <row r="71" spans="1:8" ht="17.25" thickTop="1" thickBot="1" x14ac:dyDescent="0.3">
      <c r="A71" s="174" t="s">
        <v>14</v>
      </c>
      <c r="B71" s="175"/>
      <c r="C71" s="228">
        <f>SUM(C64:C70)</f>
        <v>0</v>
      </c>
      <c r="D71" s="230">
        <f>SUM(D64:D70)</f>
        <v>0</v>
      </c>
      <c r="E71" s="271">
        <f>SUM(E64:E70)</f>
        <v>0</v>
      </c>
      <c r="F71" s="176">
        <v>0</v>
      </c>
      <c r="G71" s="245">
        <v>0</v>
      </c>
      <c r="H71" s="246">
        <v>0</v>
      </c>
    </row>
    <row r="72" spans="1:8" ht="15.75" thickTop="1" x14ac:dyDescent="0.2">
      <c r="A72" s="167"/>
      <c r="B72" s="168"/>
      <c r="C72" s="226"/>
      <c r="D72" s="226"/>
      <c r="E72" s="226"/>
      <c r="F72" s="166"/>
      <c r="G72" s="241"/>
      <c r="H72" s="242"/>
    </row>
    <row r="73" spans="1:8" ht="15.75" x14ac:dyDescent="0.25">
      <c r="A73" s="164" t="s">
        <v>60</v>
      </c>
      <c r="B73" s="165">
        <f>DATE(21,7,1)</f>
        <v>7853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DATE(21,8,1)</f>
        <v>7884</v>
      </c>
      <c r="C74" s="226">
        <v>0</v>
      </c>
      <c r="D74" s="226">
        <v>0</v>
      </c>
      <c r="E74" s="226">
        <v>118455</v>
      </c>
      <c r="F74" s="166">
        <v>-1</v>
      </c>
      <c r="G74" s="241">
        <v>0</v>
      </c>
      <c r="H74" s="242">
        <v>0</v>
      </c>
    </row>
    <row r="75" spans="1:8" ht="15.75" x14ac:dyDescent="0.25">
      <c r="A75" s="164"/>
      <c r="B75" s="165">
        <f>DATE(21,9,1)</f>
        <v>7915</v>
      </c>
      <c r="C75" s="226">
        <v>0</v>
      </c>
      <c r="D75" s="226">
        <v>0</v>
      </c>
      <c r="E75" s="226">
        <v>106241</v>
      </c>
      <c r="F75" s="166">
        <v>-1</v>
      </c>
      <c r="G75" s="241">
        <v>0</v>
      </c>
      <c r="H75" s="242">
        <v>0</v>
      </c>
    </row>
    <row r="76" spans="1:8" ht="15.75" x14ac:dyDescent="0.25">
      <c r="A76" s="164"/>
      <c r="B76" s="165">
        <f>DATE(21,10,1)</f>
        <v>7945</v>
      </c>
      <c r="C76" s="226">
        <v>0</v>
      </c>
      <c r="D76" s="226">
        <v>0</v>
      </c>
      <c r="E76" s="226">
        <v>82618</v>
      </c>
      <c r="F76" s="166">
        <v>-1</v>
      </c>
      <c r="G76" s="241">
        <v>0</v>
      </c>
      <c r="H76" s="242">
        <v>0</v>
      </c>
    </row>
    <row r="77" spans="1:8" ht="15.75" x14ac:dyDescent="0.25">
      <c r="A77" s="164"/>
      <c r="B77" s="165">
        <f>DATE(21,11,1)</f>
        <v>7976</v>
      </c>
      <c r="C77" s="226">
        <v>0</v>
      </c>
      <c r="D77" s="226">
        <v>0</v>
      </c>
      <c r="E77" s="226">
        <v>81702.080000000002</v>
      </c>
      <c r="F77" s="166">
        <v>-1</v>
      </c>
      <c r="G77" s="241">
        <v>0</v>
      </c>
      <c r="H77" s="242">
        <v>0</v>
      </c>
    </row>
    <row r="78" spans="1:8" ht="15.75" x14ac:dyDescent="0.25">
      <c r="A78" s="164"/>
      <c r="B78" s="165">
        <f>DATE(21,12,1)</f>
        <v>8006</v>
      </c>
      <c r="C78" s="226">
        <v>0</v>
      </c>
      <c r="D78" s="226">
        <v>0</v>
      </c>
      <c r="E78" s="226">
        <v>84775</v>
      </c>
      <c r="F78" s="166">
        <v>-1</v>
      </c>
      <c r="G78" s="241">
        <v>0</v>
      </c>
      <c r="H78" s="242">
        <v>0</v>
      </c>
    </row>
    <row r="79" spans="1:8" ht="15.75" thickBot="1" x14ac:dyDescent="0.25">
      <c r="A79" s="167"/>
      <c r="B79" s="165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75"/>
      <c r="C80" s="228">
        <f>SUM(C73:C79)</f>
        <v>0</v>
      </c>
      <c r="D80" s="230">
        <f>SUM(D73:D79)</f>
        <v>0</v>
      </c>
      <c r="E80" s="271">
        <f>SUM(E73:E79)</f>
        <v>473791.08</v>
      </c>
      <c r="F80" s="176">
        <f>+(D80-E80)/E80</f>
        <v>-1</v>
      </c>
      <c r="G80" s="249">
        <v>0</v>
      </c>
      <c r="H80" s="270">
        <v>0</v>
      </c>
    </row>
    <row r="81" spans="1:8" ht="15.75" thickTop="1" x14ac:dyDescent="0.2">
      <c r="A81" s="167"/>
      <c r="B81" s="179"/>
      <c r="C81" s="229"/>
      <c r="D81" s="229"/>
      <c r="E81" s="229"/>
      <c r="F81" s="180"/>
      <c r="G81" s="247"/>
      <c r="H81" s="248"/>
    </row>
    <row r="82" spans="1:8" ht="15.75" x14ac:dyDescent="0.25">
      <c r="A82" s="164" t="s">
        <v>16</v>
      </c>
      <c r="B82" s="165">
        <f>DATE(21,7,1)</f>
        <v>7853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DATE(21,8,1)</f>
        <v>7884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DATE(21,9,1)</f>
        <v>7915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DATE(21,10,1)</f>
        <v>7945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DATE(21,11,1)</f>
        <v>7976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x14ac:dyDescent="0.25">
      <c r="A87" s="164"/>
      <c r="B87" s="165">
        <f>DATE(21,12,1)</f>
        <v>8006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6.5" thickBot="1" x14ac:dyDescent="0.3">
      <c r="A88" s="164"/>
      <c r="B88" s="165"/>
      <c r="C88" s="226"/>
      <c r="D88" s="226"/>
      <c r="E88" s="226"/>
      <c r="F88" s="166"/>
      <c r="G88" s="241"/>
      <c r="H88" s="242"/>
    </row>
    <row r="89" spans="1:8" ht="17.25" thickTop="1" thickBot="1" x14ac:dyDescent="0.3">
      <c r="A89" s="174" t="s">
        <v>14</v>
      </c>
      <c r="B89" s="181"/>
      <c r="C89" s="228">
        <f>SUM(C82:C88)</f>
        <v>0</v>
      </c>
      <c r="D89" s="228">
        <f>SUM(D82:D88)</f>
        <v>0</v>
      </c>
      <c r="E89" s="228">
        <f>SUM(E82:E88)</f>
        <v>0</v>
      </c>
      <c r="F89" s="176">
        <v>0</v>
      </c>
      <c r="G89" s="245">
        <v>0</v>
      </c>
      <c r="H89" s="246">
        <v>0</v>
      </c>
    </row>
    <row r="90" spans="1:8" ht="15.75" thickTop="1" x14ac:dyDescent="0.2">
      <c r="A90" s="171"/>
      <c r="B90" s="172"/>
      <c r="C90" s="227"/>
      <c r="D90" s="227"/>
      <c r="E90" s="227"/>
      <c r="F90" s="173"/>
      <c r="G90" s="243"/>
      <c r="H90" s="244"/>
    </row>
    <row r="91" spans="1:8" ht="15.75" x14ac:dyDescent="0.25">
      <c r="A91" s="164" t="s">
        <v>54</v>
      </c>
      <c r="B91" s="165">
        <f>DATE(21,7,1)</f>
        <v>7853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 x14ac:dyDescent="0.25">
      <c r="A92" s="164"/>
      <c r="B92" s="165">
        <f>DATE(21,8,1)</f>
        <v>7884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 x14ac:dyDescent="0.25">
      <c r="A93" s="164"/>
      <c r="B93" s="165">
        <f>DATE(21,9,1)</f>
        <v>7915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 x14ac:dyDescent="0.25">
      <c r="A94" s="164"/>
      <c r="B94" s="165">
        <f>DATE(21,10,1)</f>
        <v>7945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DATE(21,11,1)</f>
        <v>7976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DATE(21,12,1)</f>
        <v>8006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thickBot="1" x14ac:dyDescent="0.25">
      <c r="A97" s="167"/>
      <c r="B97" s="168"/>
      <c r="C97" s="226"/>
      <c r="D97" s="226"/>
      <c r="E97" s="226"/>
      <c r="F97" s="166"/>
      <c r="G97" s="241"/>
      <c r="H97" s="242"/>
    </row>
    <row r="98" spans="1:8" ht="17.25" thickTop="1" thickBot="1" x14ac:dyDescent="0.3">
      <c r="A98" s="174" t="s">
        <v>14</v>
      </c>
      <c r="B98" s="175"/>
      <c r="C98" s="228">
        <f>SUM(C91:C97)</f>
        <v>0</v>
      </c>
      <c r="D98" s="228">
        <f>SUM(D91:D97)</f>
        <v>0</v>
      </c>
      <c r="E98" s="228">
        <f>SUM(E91:E97)</f>
        <v>0</v>
      </c>
      <c r="F98" s="176">
        <v>0</v>
      </c>
      <c r="G98" s="245">
        <v>0</v>
      </c>
      <c r="H98" s="246">
        <v>0</v>
      </c>
    </row>
    <row r="99" spans="1:8" ht="15.75" thickTop="1" x14ac:dyDescent="0.2">
      <c r="A99" s="167"/>
      <c r="B99" s="168"/>
      <c r="C99" s="226"/>
      <c r="D99" s="226"/>
      <c r="E99" s="226"/>
      <c r="F99" s="166"/>
      <c r="G99" s="241"/>
      <c r="H99" s="242"/>
    </row>
    <row r="100" spans="1:8" ht="15.75" x14ac:dyDescent="0.25">
      <c r="A100" s="164" t="s">
        <v>55</v>
      </c>
      <c r="B100" s="165">
        <f>DATE(21,7,1)</f>
        <v>7853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DATE(21,8,1)</f>
        <v>7884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DATE(21,9,1)</f>
        <v>7915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DATE(21,10,1)</f>
        <v>7945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DATE(21,11,1)</f>
        <v>7976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x14ac:dyDescent="0.25">
      <c r="A105" s="164"/>
      <c r="B105" s="165">
        <f>DATE(21,12,1)</f>
        <v>8006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.75" thickBot="1" x14ac:dyDescent="0.25">
      <c r="A106" s="167"/>
      <c r="B106" s="168"/>
      <c r="C106" s="226"/>
      <c r="D106" s="226"/>
      <c r="E106" s="226"/>
      <c r="F106" s="166"/>
      <c r="G106" s="241"/>
      <c r="H106" s="242"/>
    </row>
    <row r="107" spans="1:8" ht="17.25" thickTop="1" thickBot="1" x14ac:dyDescent="0.3">
      <c r="A107" s="182" t="s">
        <v>14</v>
      </c>
      <c r="B107" s="183"/>
      <c r="C107" s="230">
        <f>SUM(C100:C106)</f>
        <v>0</v>
      </c>
      <c r="D107" s="230">
        <f>SUM(D100:D106)</f>
        <v>0</v>
      </c>
      <c r="E107" s="230">
        <f>SUM(E100:E106)</f>
        <v>0</v>
      </c>
      <c r="F107" s="176">
        <v>0</v>
      </c>
      <c r="G107" s="245">
        <v>0</v>
      </c>
      <c r="H107" s="246">
        <v>0</v>
      </c>
    </row>
    <row r="108" spans="1:8" ht="15.75" thickTop="1" x14ac:dyDescent="0.2">
      <c r="A108" s="167"/>
      <c r="B108" s="168"/>
      <c r="C108" s="226"/>
      <c r="D108" s="226"/>
      <c r="E108" s="226"/>
      <c r="F108" s="166"/>
      <c r="G108" s="241"/>
      <c r="H108" s="242"/>
    </row>
    <row r="109" spans="1:8" ht="15.75" x14ac:dyDescent="0.25">
      <c r="A109" s="164" t="s">
        <v>37</v>
      </c>
      <c r="B109" s="165">
        <f>DATE(21,7,1)</f>
        <v>7853</v>
      </c>
      <c r="C109" s="226">
        <v>4521310.28</v>
      </c>
      <c r="D109" s="226">
        <v>209181.95</v>
      </c>
      <c r="E109" s="226">
        <v>0</v>
      </c>
      <c r="F109" s="166">
        <v>1</v>
      </c>
      <c r="G109" s="241">
        <f t="shared" ref="G109:G114" si="0">+D109/C109</f>
        <v>4.6265780724078068E-2</v>
      </c>
      <c r="H109" s="289">
        <f t="shared" ref="H109:H114" si="1">1-G109</f>
        <v>0.95373421927592195</v>
      </c>
    </row>
    <row r="110" spans="1:8" ht="15.75" x14ac:dyDescent="0.25">
      <c r="A110" s="164"/>
      <c r="B110" s="165">
        <f>DATE(21,8,1)</f>
        <v>7884</v>
      </c>
      <c r="C110" s="226">
        <v>3704866.99</v>
      </c>
      <c r="D110" s="226">
        <v>126701.54</v>
      </c>
      <c r="E110" s="226">
        <v>0</v>
      </c>
      <c r="F110" s="166">
        <v>1</v>
      </c>
      <c r="G110" s="241">
        <f t="shared" si="0"/>
        <v>3.4198674430684486E-2</v>
      </c>
      <c r="H110" s="289">
        <f t="shared" si="1"/>
        <v>0.96580132556931553</v>
      </c>
    </row>
    <row r="111" spans="1:8" ht="15.75" x14ac:dyDescent="0.25">
      <c r="A111" s="164"/>
      <c r="B111" s="165">
        <f>DATE(21,9,1)</f>
        <v>7915</v>
      </c>
      <c r="C111" s="226">
        <v>3225792.95</v>
      </c>
      <c r="D111" s="226">
        <v>145306.89000000001</v>
      </c>
      <c r="E111" s="226">
        <v>0</v>
      </c>
      <c r="F111" s="166">
        <v>1</v>
      </c>
      <c r="G111" s="241">
        <f t="shared" si="0"/>
        <v>4.5045324437205436E-2</v>
      </c>
      <c r="H111" s="289">
        <f t="shared" si="1"/>
        <v>0.95495467556279456</v>
      </c>
    </row>
    <row r="112" spans="1:8" ht="15.75" x14ac:dyDescent="0.25">
      <c r="A112" s="164"/>
      <c r="B112" s="165">
        <f>DATE(21,10,1)</f>
        <v>7945</v>
      </c>
      <c r="C112" s="226">
        <v>4369745.4400000004</v>
      </c>
      <c r="D112" s="226">
        <v>179665.17</v>
      </c>
      <c r="E112" s="226">
        <v>0</v>
      </c>
      <c r="F112" s="166">
        <v>1</v>
      </c>
      <c r="G112" s="241">
        <f t="shared" si="0"/>
        <v>4.1115706273269777E-2</v>
      </c>
      <c r="H112" s="289">
        <f t="shared" si="1"/>
        <v>0.95888429372673023</v>
      </c>
    </row>
    <row r="113" spans="1:8" ht="15.75" x14ac:dyDescent="0.25">
      <c r="A113" s="164"/>
      <c r="B113" s="165">
        <f>DATE(21,11,1)</f>
        <v>7976</v>
      </c>
      <c r="C113" s="226">
        <v>5826637.7300000004</v>
      </c>
      <c r="D113" s="226">
        <v>200635.43</v>
      </c>
      <c r="E113" s="226">
        <v>0</v>
      </c>
      <c r="F113" s="166">
        <v>1</v>
      </c>
      <c r="G113" s="241">
        <f t="shared" si="0"/>
        <v>3.4434169292347612E-2</v>
      </c>
      <c r="H113" s="289">
        <f t="shared" si="1"/>
        <v>0.96556583070765234</v>
      </c>
    </row>
    <row r="114" spans="1:8" ht="15.75" x14ac:dyDescent="0.25">
      <c r="A114" s="164"/>
      <c r="B114" s="165">
        <f>DATE(21,12,1)</f>
        <v>8006</v>
      </c>
      <c r="C114" s="226">
        <v>6300712.0499999998</v>
      </c>
      <c r="D114" s="226">
        <v>258639.24</v>
      </c>
      <c r="E114" s="226">
        <v>0</v>
      </c>
      <c r="F114" s="166">
        <v>1</v>
      </c>
      <c r="G114" s="241">
        <f t="shared" si="0"/>
        <v>4.104920808117235E-2</v>
      </c>
      <c r="H114" s="289">
        <f t="shared" si="1"/>
        <v>0.95895079191882759</v>
      </c>
    </row>
    <row r="115" spans="1:8" ht="15.75" thickBot="1" x14ac:dyDescent="0.25">
      <c r="A115" s="167"/>
      <c r="B115" s="168"/>
      <c r="C115" s="226"/>
      <c r="D115" s="226"/>
      <c r="E115" s="226"/>
      <c r="F115" s="166"/>
      <c r="G115" s="241"/>
      <c r="H115" s="242"/>
    </row>
    <row r="116" spans="1:8" ht="17.25" thickTop="1" thickBot="1" x14ac:dyDescent="0.3">
      <c r="A116" s="174" t="s">
        <v>14</v>
      </c>
      <c r="B116" s="175"/>
      <c r="C116" s="228">
        <f>SUM(C109:C115)</f>
        <v>27949065.440000001</v>
      </c>
      <c r="D116" s="228">
        <f>SUM(D109:D115)</f>
        <v>1120130.22</v>
      </c>
      <c r="E116" s="228">
        <f>SUM(E109:E115)</f>
        <v>0</v>
      </c>
      <c r="F116" s="176">
        <v>1</v>
      </c>
      <c r="G116" s="245">
        <f>+D116/C116</f>
        <v>4.0077555451886335E-2</v>
      </c>
      <c r="H116" s="246">
        <f>1-G116</f>
        <v>0.95992244454811371</v>
      </c>
    </row>
    <row r="117" spans="1:8" ht="15.75" thickTop="1" x14ac:dyDescent="0.2">
      <c r="A117" s="167"/>
      <c r="B117" s="168"/>
      <c r="C117" s="226"/>
      <c r="D117" s="226"/>
      <c r="E117" s="226"/>
      <c r="F117" s="166"/>
      <c r="G117" s="241"/>
      <c r="H117" s="242"/>
    </row>
    <row r="118" spans="1:8" ht="15.75" x14ac:dyDescent="0.25">
      <c r="A118" s="164" t="s">
        <v>58</v>
      </c>
      <c r="B118" s="165">
        <f>DATE(21,7,1)</f>
        <v>7853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 x14ac:dyDescent="0.25">
      <c r="A119" s="164"/>
      <c r="B119" s="165">
        <f>DATE(21,8,1)</f>
        <v>7884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.75" x14ac:dyDescent="0.25">
      <c r="A120" s="164"/>
      <c r="B120" s="165">
        <f>DATE(21,9,1)</f>
        <v>7915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DATE(21,10,1)</f>
        <v>7945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DATE(21,11,1)</f>
        <v>7976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DATE(21,12,1)</f>
        <v>8006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thickBot="1" x14ac:dyDescent="0.25">
      <c r="A124" s="167"/>
      <c r="B124" s="168"/>
      <c r="C124" s="226"/>
      <c r="D124" s="226"/>
      <c r="E124" s="226"/>
      <c r="F124" s="166"/>
      <c r="G124" s="241"/>
      <c r="H124" s="242"/>
    </row>
    <row r="125" spans="1:8" ht="17.25" thickTop="1" thickBot="1" x14ac:dyDescent="0.3">
      <c r="A125" s="169" t="s">
        <v>14</v>
      </c>
      <c r="B125" s="155"/>
      <c r="C125" s="223">
        <f>SUM(C118:C124)</f>
        <v>0</v>
      </c>
      <c r="D125" s="223">
        <f>SUM(D118:D124)</f>
        <v>0</v>
      </c>
      <c r="E125" s="223">
        <f>SUM(E118:E124)</f>
        <v>0</v>
      </c>
      <c r="F125" s="176">
        <v>0</v>
      </c>
      <c r="G125" s="245">
        <v>0</v>
      </c>
      <c r="H125" s="246">
        <v>0</v>
      </c>
    </row>
    <row r="126" spans="1:8" ht="16.5" thickTop="1" thickBot="1" x14ac:dyDescent="0.25">
      <c r="A126" s="171"/>
      <c r="B126" s="172"/>
      <c r="C126" s="227"/>
      <c r="D126" s="227"/>
      <c r="E126" s="227"/>
      <c r="F126" s="173"/>
      <c r="G126" s="243"/>
      <c r="H126" s="244"/>
    </row>
    <row r="127" spans="1:8" ht="17.25" thickTop="1" thickBot="1" x14ac:dyDescent="0.3">
      <c r="A127" s="184" t="s">
        <v>38</v>
      </c>
      <c r="B127" s="155"/>
      <c r="C127" s="223">
        <f>C125+C116+C89+C71+C53+C35+C17+C44+C107+C26+C80+C98+C62</f>
        <v>31859549.370000001</v>
      </c>
      <c r="D127" s="223">
        <f>D125+D116+D89+D71+D53+D35+D17+D44+D107+D26+D80+D98+D62</f>
        <v>1261426.8399999999</v>
      </c>
      <c r="E127" s="223">
        <f>E125+E116+E89+E71+E53+E35+E17+E44+E107+E26+E80+E98+E62</f>
        <v>473791.08</v>
      </c>
      <c r="F127" s="176">
        <f>+(D127-E127)/E127</f>
        <v>1.6624115422350285</v>
      </c>
      <c r="G127" s="236">
        <f>D127/C127</f>
        <v>3.9593367293129414E-2</v>
      </c>
      <c r="H127" s="237">
        <f>1-G127</f>
        <v>0.96040663270687054</v>
      </c>
    </row>
    <row r="128" spans="1:8" ht="17.25" thickTop="1" thickBot="1" x14ac:dyDescent="0.3">
      <c r="A128" s="184"/>
      <c r="B128" s="155"/>
      <c r="C128" s="223"/>
      <c r="D128" s="223"/>
      <c r="E128" s="223"/>
      <c r="F128" s="170"/>
      <c r="G128" s="236"/>
      <c r="H128" s="237"/>
    </row>
    <row r="129" spans="1:8" ht="17.25" thickTop="1" thickBot="1" x14ac:dyDescent="0.3">
      <c r="A129" s="184" t="s">
        <v>39</v>
      </c>
      <c r="B129" s="155"/>
      <c r="C129" s="223">
        <f>SUM(C15+C24+C33+C42+C51+C60+C69+C78+C87+C96+C105+C114+C123)</f>
        <v>9115669.9299999997</v>
      </c>
      <c r="D129" s="223">
        <f>SUM(D15+D24+D33+D42+D51+D60+D69+D78+D87+D96+D105+D114+D123)</f>
        <v>348834.82999999996</v>
      </c>
      <c r="E129" s="223">
        <f>SUM(E15+E24+E33+E42+E51+E60+E69+E78+E87+E96+E105+E114+E123)</f>
        <v>84775</v>
      </c>
      <c r="F129" s="176">
        <f>+(D129-E129)/E129</f>
        <v>3.1148313771748741</v>
      </c>
      <c r="G129" s="236">
        <f>D129/C129</f>
        <v>3.8267602126747909E-2</v>
      </c>
      <c r="H129" s="246">
        <f>1-G129</f>
        <v>0.96173239787325204</v>
      </c>
    </row>
    <row r="130" spans="1:8" ht="16.5" thickTop="1" x14ac:dyDescent="0.25">
      <c r="A130" s="185"/>
      <c r="B130" s="186"/>
      <c r="C130" s="231"/>
      <c r="D130" s="231"/>
      <c r="E130" s="231"/>
      <c r="F130" s="187"/>
      <c r="G130" s="250"/>
      <c r="H130" s="250"/>
    </row>
    <row r="131" spans="1:8" ht="18.75" x14ac:dyDescent="0.3">
      <c r="A131" s="188" t="s">
        <v>49</v>
      </c>
      <c r="B131" s="189"/>
      <c r="C131" s="232"/>
      <c r="D131" s="232"/>
      <c r="E131" s="232"/>
      <c r="F131" s="190"/>
      <c r="G131" s="251"/>
      <c r="H131" s="251"/>
    </row>
    <row r="132" spans="1:8" ht="15.75" x14ac:dyDescent="0.25">
      <c r="A132" s="191"/>
      <c r="B132" s="189"/>
      <c r="C132" s="232"/>
      <c r="D132" s="232"/>
      <c r="E132" s="232"/>
      <c r="F132" s="190"/>
      <c r="G132" s="257"/>
      <c r="H132" s="257"/>
    </row>
  </sheetData>
  <printOptions horizontalCentered="1"/>
  <pageMargins left="0.7" right="0.45" top="0.25" bottom="0.25" header="0.3" footer="0.3"/>
  <pageSetup scale="65" orientation="landscape" r:id="rId1"/>
  <rowBreaks count="2" manualBreakCount="2">
    <brk id="53" max="16383" man="1"/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33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DATE(21,7,1)</f>
        <v>7853</v>
      </c>
      <c r="C10" s="226">
        <v>137710679.78</v>
      </c>
      <c r="D10" s="226">
        <v>13537622.550000001</v>
      </c>
      <c r="E10" s="226">
        <v>11655862.98</v>
      </c>
      <c r="F10" s="166">
        <f t="shared" ref="F10:F15" si="0">(+D10-E10)/E10</f>
        <v>0.16144317870147099</v>
      </c>
      <c r="G10" s="241">
        <f t="shared" ref="G10:G15" si="1">D10/C10</f>
        <v>9.830481246354357E-2</v>
      </c>
      <c r="H10" s="242">
        <f t="shared" ref="H10:H15" si="2">1-G10</f>
        <v>0.90169518753645639</v>
      </c>
      <c r="I10" s="157"/>
    </row>
    <row r="11" spans="1:9" ht="15.75" x14ac:dyDescent="0.25">
      <c r="A11" s="164"/>
      <c r="B11" s="165">
        <f>DATE(21,8,1)</f>
        <v>7884</v>
      </c>
      <c r="C11" s="226">
        <v>128391630.95</v>
      </c>
      <c r="D11" s="226">
        <v>12571995.619999999</v>
      </c>
      <c r="E11" s="226">
        <v>11056944.539999999</v>
      </c>
      <c r="F11" s="166">
        <f t="shared" si="0"/>
        <v>0.1370225811044902</v>
      </c>
      <c r="G11" s="241">
        <f t="shared" si="1"/>
        <v>9.7919120794531814E-2</v>
      </c>
      <c r="H11" s="242">
        <f t="shared" si="2"/>
        <v>0.9020808792054682</v>
      </c>
      <c r="I11" s="157"/>
    </row>
    <row r="12" spans="1:9" ht="15.75" x14ac:dyDescent="0.25">
      <c r="A12" s="164"/>
      <c r="B12" s="165">
        <f>DATE(21,9,1)</f>
        <v>7915</v>
      </c>
      <c r="C12" s="226">
        <v>124375181.01000001</v>
      </c>
      <c r="D12" s="226">
        <v>11932276.220000001</v>
      </c>
      <c r="E12" s="226">
        <v>11050997.59</v>
      </c>
      <c r="F12" s="166">
        <f t="shared" si="0"/>
        <v>7.9746522684745316E-2</v>
      </c>
      <c r="G12" s="241">
        <f t="shared" si="1"/>
        <v>9.5937759632612099E-2</v>
      </c>
      <c r="H12" s="242">
        <f t="shared" si="2"/>
        <v>0.90406224036738791</v>
      </c>
      <c r="I12" s="157"/>
    </row>
    <row r="13" spans="1:9" ht="15.75" x14ac:dyDescent="0.25">
      <c r="A13" s="164"/>
      <c r="B13" s="165">
        <f>DATE(21,10,1)</f>
        <v>7945</v>
      </c>
      <c r="C13" s="226">
        <v>130707452.04000001</v>
      </c>
      <c r="D13" s="226">
        <v>12592302.91</v>
      </c>
      <c r="E13" s="226">
        <v>11431719.140000001</v>
      </c>
      <c r="F13" s="166">
        <f t="shared" si="0"/>
        <v>0.10152311789563433</v>
      </c>
      <c r="G13" s="241">
        <f t="shared" si="1"/>
        <v>9.6339594364875353E-2</v>
      </c>
      <c r="H13" s="242">
        <f t="shared" si="2"/>
        <v>0.90366040563512462</v>
      </c>
      <c r="I13" s="157"/>
    </row>
    <row r="14" spans="1:9" ht="15.75" x14ac:dyDescent="0.25">
      <c r="A14" s="164"/>
      <c r="B14" s="165">
        <f>DATE(21,11,1)</f>
        <v>7976</v>
      </c>
      <c r="C14" s="226">
        <v>116416163.67</v>
      </c>
      <c r="D14" s="226">
        <v>11228260.109999999</v>
      </c>
      <c r="E14" s="226">
        <v>9830852.8200000003</v>
      </c>
      <c r="F14" s="166">
        <f t="shared" si="0"/>
        <v>0.14214507282187133</v>
      </c>
      <c r="G14" s="241">
        <f t="shared" si="1"/>
        <v>9.6449322465463436E-2</v>
      </c>
      <c r="H14" s="242">
        <f t="shared" si="2"/>
        <v>0.90355067753453655</v>
      </c>
      <c r="I14" s="157"/>
    </row>
    <row r="15" spans="1:9" ht="15.75" x14ac:dyDescent="0.25">
      <c r="A15" s="164"/>
      <c r="B15" s="165">
        <f>DATE(21,12,1)</f>
        <v>8006</v>
      </c>
      <c r="C15" s="226">
        <v>125465546.67</v>
      </c>
      <c r="D15" s="226">
        <v>12242955.609999999</v>
      </c>
      <c r="E15" s="226">
        <v>10848180.109999999</v>
      </c>
      <c r="F15" s="166">
        <f t="shared" si="0"/>
        <v>0.1285723029906442</v>
      </c>
      <c r="G15" s="241">
        <f t="shared" si="1"/>
        <v>9.7580219709251903E-2</v>
      </c>
      <c r="H15" s="242">
        <f t="shared" si="2"/>
        <v>0.9024197802907481</v>
      </c>
      <c r="I15" s="157"/>
    </row>
    <row r="16" spans="1:9" ht="15.75" thickBot="1" x14ac:dyDescent="0.25">
      <c r="A16" s="167"/>
      <c r="B16" s="168"/>
      <c r="C16" s="226"/>
      <c r="D16" s="226"/>
      <c r="E16" s="226"/>
      <c r="F16" s="166"/>
      <c r="G16" s="241"/>
      <c r="H16" s="242"/>
      <c r="I16" s="157"/>
    </row>
    <row r="17" spans="1:9" ht="17.25" thickTop="1" thickBot="1" x14ac:dyDescent="0.3">
      <c r="A17" s="169" t="s">
        <v>14</v>
      </c>
      <c r="B17" s="155"/>
      <c r="C17" s="223">
        <f>SUM(C10:C16)</f>
        <v>763066654.12</v>
      </c>
      <c r="D17" s="223">
        <f>SUM(D10:D16)</f>
        <v>74105413.019999996</v>
      </c>
      <c r="E17" s="223">
        <f>SUM(E10:E16)</f>
        <v>65874557.18</v>
      </c>
      <c r="F17" s="170">
        <f>(+D17-E17)/E17</f>
        <v>0.12494741812851146</v>
      </c>
      <c r="G17" s="236">
        <f>D17/C17</f>
        <v>9.711525542347467E-2</v>
      </c>
      <c r="H17" s="237">
        <f>1-G17</f>
        <v>0.90288474457652534</v>
      </c>
      <c r="I17" s="157"/>
    </row>
    <row r="18" spans="1:9" ht="15.75" thickTop="1" x14ac:dyDescent="0.2">
      <c r="A18" s="171"/>
      <c r="B18" s="172"/>
      <c r="C18" s="227"/>
      <c r="D18" s="227"/>
      <c r="E18" s="227"/>
      <c r="F18" s="173"/>
      <c r="G18" s="243"/>
      <c r="H18" s="244"/>
      <c r="I18" s="157"/>
    </row>
    <row r="19" spans="1:9" ht="15.75" x14ac:dyDescent="0.25">
      <c r="A19" s="19" t="s">
        <v>48</v>
      </c>
      <c r="B19" s="165">
        <f>DATE(21,7,1)</f>
        <v>7853</v>
      </c>
      <c r="C19" s="226">
        <v>73584363.370000005</v>
      </c>
      <c r="D19" s="226">
        <v>7305624.1500000004</v>
      </c>
      <c r="E19" s="226">
        <v>5066109.03</v>
      </c>
      <c r="F19" s="166">
        <f t="shared" ref="F19:F24" si="3">(+D19-E19)/E19</f>
        <v>0.44205821602698508</v>
      </c>
      <c r="G19" s="241">
        <f t="shared" ref="G19:G24" si="4">D19/C19</f>
        <v>9.928229063103465E-2</v>
      </c>
      <c r="H19" s="242">
        <f t="shared" ref="H19:H24" si="5">1-G19</f>
        <v>0.90071770936896534</v>
      </c>
      <c r="I19" s="157"/>
    </row>
    <row r="20" spans="1:9" ht="15.75" x14ac:dyDescent="0.25">
      <c r="A20" s="19"/>
      <c r="B20" s="165">
        <f>DATE(21,8,1)</f>
        <v>7884</v>
      </c>
      <c r="C20" s="226">
        <v>67816496.489999995</v>
      </c>
      <c r="D20" s="226">
        <v>6574172.1100000003</v>
      </c>
      <c r="E20" s="226">
        <v>5468550.7300000004</v>
      </c>
      <c r="F20" s="166">
        <f t="shared" si="3"/>
        <v>0.20217813358384989</v>
      </c>
      <c r="G20" s="241">
        <f t="shared" si="4"/>
        <v>9.6940603691749352E-2</v>
      </c>
      <c r="H20" s="242">
        <f t="shared" si="5"/>
        <v>0.90305939630825061</v>
      </c>
      <c r="I20" s="157"/>
    </row>
    <row r="21" spans="1:9" ht="15.75" x14ac:dyDescent="0.25">
      <c r="A21" s="19"/>
      <c r="B21" s="165">
        <f>DATE(21,9,1)</f>
        <v>7915</v>
      </c>
      <c r="C21" s="226">
        <v>67990554.870000005</v>
      </c>
      <c r="D21" s="226">
        <v>6771046.1100000003</v>
      </c>
      <c r="E21" s="226">
        <v>5506925.1600000001</v>
      </c>
      <c r="F21" s="166">
        <f t="shared" si="3"/>
        <v>0.22955114029550389</v>
      </c>
      <c r="G21" s="241">
        <f t="shared" si="4"/>
        <v>9.9588040176263382E-2</v>
      </c>
      <c r="H21" s="242">
        <f t="shared" si="5"/>
        <v>0.90041195982373656</v>
      </c>
      <c r="I21" s="157"/>
    </row>
    <row r="22" spans="1:9" ht="15.75" x14ac:dyDescent="0.25">
      <c r="A22" s="19"/>
      <c r="B22" s="165">
        <f>DATE(21,10,1)</f>
        <v>7945</v>
      </c>
      <c r="C22" s="226">
        <v>70153959.480000004</v>
      </c>
      <c r="D22" s="226">
        <v>7189129.7599999998</v>
      </c>
      <c r="E22" s="226">
        <v>5104255.3899999997</v>
      </c>
      <c r="F22" s="166">
        <f t="shared" si="3"/>
        <v>0.40845808265875194</v>
      </c>
      <c r="G22" s="241">
        <f t="shared" si="4"/>
        <v>0.10247646481093528</v>
      </c>
      <c r="H22" s="242">
        <f t="shared" si="5"/>
        <v>0.89752353518906469</v>
      </c>
      <c r="I22" s="157"/>
    </row>
    <row r="23" spans="1:9" ht="15.75" x14ac:dyDescent="0.25">
      <c r="A23" s="19"/>
      <c r="B23" s="165">
        <f>DATE(21,11,1)</f>
        <v>7976</v>
      </c>
      <c r="C23" s="226">
        <v>61861650.840000004</v>
      </c>
      <c r="D23" s="226">
        <v>6088324.1399999997</v>
      </c>
      <c r="E23" s="226">
        <v>4814628.37</v>
      </c>
      <c r="F23" s="166">
        <f t="shared" si="3"/>
        <v>0.26454705786565197</v>
      </c>
      <c r="G23" s="241">
        <f t="shared" si="4"/>
        <v>9.8418390995528751E-2</v>
      </c>
      <c r="H23" s="242">
        <f t="shared" si="5"/>
        <v>0.90158160900447126</v>
      </c>
      <c r="I23" s="157"/>
    </row>
    <row r="24" spans="1:9" ht="15.75" x14ac:dyDescent="0.25">
      <c r="A24" s="19"/>
      <c r="B24" s="165">
        <f>DATE(21,12,1)</f>
        <v>8006</v>
      </c>
      <c r="C24" s="226">
        <v>69301193.799999997</v>
      </c>
      <c r="D24" s="226">
        <v>6682194.9000000004</v>
      </c>
      <c r="E24" s="226">
        <v>5255704.49</v>
      </c>
      <c r="F24" s="166">
        <f t="shared" si="3"/>
        <v>0.27141754501497861</v>
      </c>
      <c r="G24" s="241">
        <f t="shared" si="4"/>
        <v>9.6422507803898758E-2</v>
      </c>
      <c r="H24" s="242">
        <f t="shared" si="5"/>
        <v>0.90357749219610128</v>
      </c>
      <c r="I24" s="157"/>
    </row>
    <row r="25" spans="1:9" ht="15.75" thickBot="1" x14ac:dyDescent="0.25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Top="1" thickBot="1" x14ac:dyDescent="0.3">
      <c r="A26" s="169" t="s">
        <v>14</v>
      </c>
      <c r="B26" s="155"/>
      <c r="C26" s="223">
        <f>SUM(C19:C25)</f>
        <v>410708218.85000008</v>
      </c>
      <c r="D26" s="223">
        <f>SUM(D19:D25)</f>
        <v>40610491.170000002</v>
      </c>
      <c r="E26" s="223">
        <f>SUM(E19:E25)</f>
        <v>31216173.170000002</v>
      </c>
      <c r="F26" s="170">
        <f>(+D26-E26)/E26</f>
        <v>0.30094393533888764</v>
      </c>
      <c r="G26" s="236">
        <f>D26/C26</f>
        <v>9.887917822465557E-2</v>
      </c>
      <c r="H26" s="237">
        <f>1-G26</f>
        <v>0.90112082177534447</v>
      </c>
      <c r="I26" s="157"/>
    </row>
    <row r="27" spans="1:9" ht="15.75" thickTop="1" x14ac:dyDescent="0.2">
      <c r="A27" s="171"/>
      <c r="B27" s="172"/>
      <c r="C27" s="227"/>
      <c r="D27" s="227"/>
      <c r="E27" s="227"/>
      <c r="F27" s="173"/>
      <c r="G27" s="243"/>
      <c r="H27" s="244"/>
      <c r="I27" s="157"/>
    </row>
    <row r="28" spans="1:9" ht="15.75" x14ac:dyDescent="0.25">
      <c r="A28" s="19" t="s">
        <v>64</v>
      </c>
      <c r="B28" s="165">
        <f>DATE(21,7,1)</f>
        <v>7853</v>
      </c>
      <c r="C28" s="226">
        <v>41344494.670000002</v>
      </c>
      <c r="D28" s="226">
        <v>4179858.95</v>
      </c>
      <c r="E28" s="226">
        <v>3105687.6</v>
      </c>
      <c r="F28" s="166">
        <f t="shared" ref="F28:F33" si="6">(+D28-E28)/E28</f>
        <v>0.34587231181912825</v>
      </c>
      <c r="G28" s="241">
        <f t="shared" ref="G28:G33" si="7">D28/C28</f>
        <v>0.10109831994229088</v>
      </c>
      <c r="H28" s="242">
        <f t="shared" ref="H28:H33" si="8">1-G28</f>
        <v>0.8989016800577091</v>
      </c>
      <c r="I28" s="157"/>
    </row>
    <row r="29" spans="1:9" ht="15.75" x14ac:dyDescent="0.25">
      <c r="A29" s="19"/>
      <c r="B29" s="165">
        <f>DATE(21,8,1)</f>
        <v>7884</v>
      </c>
      <c r="C29" s="226">
        <v>34738721.109999999</v>
      </c>
      <c r="D29" s="226">
        <v>3554355.99</v>
      </c>
      <c r="E29" s="226">
        <v>3031801</v>
      </c>
      <c r="F29" s="166">
        <f t="shared" si="6"/>
        <v>0.17235794499704968</v>
      </c>
      <c r="G29" s="241">
        <f t="shared" si="7"/>
        <v>0.10231683482950188</v>
      </c>
      <c r="H29" s="242">
        <f t="shared" si="8"/>
        <v>0.89768316517049818</v>
      </c>
      <c r="I29" s="157"/>
    </row>
    <row r="30" spans="1:9" ht="15.75" x14ac:dyDescent="0.25">
      <c r="A30" s="19"/>
      <c r="B30" s="165">
        <f>DATE(21,9,1)</f>
        <v>7915</v>
      </c>
      <c r="C30" s="226">
        <v>35864944.780000001</v>
      </c>
      <c r="D30" s="226">
        <v>3815155.29</v>
      </c>
      <c r="E30" s="226">
        <v>2818231.18</v>
      </c>
      <c r="F30" s="166">
        <f t="shared" si="6"/>
        <v>0.35374106889272294</v>
      </c>
      <c r="G30" s="241">
        <f t="shared" si="7"/>
        <v>0.10637560752993303</v>
      </c>
      <c r="H30" s="242">
        <f t="shared" si="8"/>
        <v>0.89362439247006697</v>
      </c>
      <c r="I30" s="157"/>
    </row>
    <row r="31" spans="1:9" ht="15.75" x14ac:dyDescent="0.25">
      <c r="A31" s="19"/>
      <c r="B31" s="165">
        <f>DATE(21,10,1)</f>
        <v>7945</v>
      </c>
      <c r="C31" s="226">
        <v>35456144.609999999</v>
      </c>
      <c r="D31" s="226">
        <v>3758784.61</v>
      </c>
      <c r="E31" s="226">
        <v>2969140.93</v>
      </c>
      <c r="F31" s="166">
        <f t="shared" si="6"/>
        <v>0.26595021880621872</v>
      </c>
      <c r="G31" s="241">
        <f t="shared" si="7"/>
        <v>0.10601222020455878</v>
      </c>
      <c r="H31" s="242">
        <f t="shared" si="8"/>
        <v>0.8939877797954412</v>
      </c>
      <c r="I31" s="157"/>
    </row>
    <row r="32" spans="1:9" ht="15.75" x14ac:dyDescent="0.25">
      <c r="A32" s="19"/>
      <c r="B32" s="165">
        <f>DATE(21,11,1)</f>
        <v>7976</v>
      </c>
      <c r="C32" s="226">
        <v>31753102.989999998</v>
      </c>
      <c r="D32" s="226">
        <v>3347078.48</v>
      </c>
      <c r="E32" s="226">
        <v>2745164.62</v>
      </c>
      <c r="F32" s="166">
        <f t="shared" si="6"/>
        <v>0.21926330232246685</v>
      </c>
      <c r="G32" s="241">
        <f t="shared" si="7"/>
        <v>0.10540949276844204</v>
      </c>
      <c r="H32" s="242">
        <f t="shared" si="8"/>
        <v>0.89459050723155797</v>
      </c>
      <c r="I32" s="157"/>
    </row>
    <row r="33" spans="1:9" ht="15.75" x14ac:dyDescent="0.25">
      <c r="A33" s="19"/>
      <c r="B33" s="165">
        <f>DATE(21,12,1)</f>
        <v>8006</v>
      </c>
      <c r="C33" s="226">
        <v>36776952.969999999</v>
      </c>
      <c r="D33" s="226">
        <v>3599731.36</v>
      </c>
      <c r="E33" s="226">
        <v>2957388.53</v>
      </c>
      <c r="F33" s="166">
        <f t="shared" si="6"/>
        <v>0.21719933768729405</v>
      </c>
      <c r="G33" s="241">
        <f t="shared" si="7"/>
        <v>9.7880087100647037E-2</v>
      </c>
      <c r="H33" s="242">
        <f t="shared" si="8"/>
        <v>0.902119912899353</v>
      </c>
      <c r="I33" s="157"/>
    </row>
    <row r="34" spans="1:9" ht="15.75" thickBot="1" x14ac:dyDescent="0.25">
      <c r="A34" s="167"/>
      <c r="B34" s="165"/>
      <c r="C34" s="226"/>
      <c r="D34" s="226"/>
      <c r="E34" s="226"/>
      <c r="F34" s="166"/>
      <c r="G34" s="241"/>
      <c r="H34" s="242"/>
      <c r="I34" s="157"/>
    </row>
    <row r="35" spans="1:9" ht="17.25" thickTop="1" thickBot="1" x14ac:dyDescent="0.3">
      <c r="A35" s="174" t="s">
        <v>14</v>
      </c>
      <c r="B35" s="175"/>
      <c r="C35" s="228">
        <f>SUM(C28:C34)</f>
        <v>215934361.13000003</v>
      </c>
      <c r="D35" s="228">
        <f>SUM(D28:D34)</f>
        <v>22254964.68</v>
      </c>
      <c r="E35" s="228">
        <f>SUM(E28:E34)</f>
        <v>17627413.859999999</v>
      </c>
      <c r="F35" s="176">
        <f>(+D35-E35)/E35</f>
        <v>0.26252012103152611</v>
      </c>
      <c r="G35" s="245">
        <f>D35/C35</f>
        <v>0.10306356322142604</v>
      </c>
      <c r="H35" s="246">
        <f>1-G35</f>
        <v>0.89693643677857393</v>
      </c>
      <c r="I35" s="157"/>
    </row>
    <row r="36" spans="1:9" ht="15.75" thickTop="1" x14ac:dyDescent="0.2">
      <c r="A36" s="167"/>
      <c r="B36" s="168"/>
      <c r="C36" s="226"/>
      <c r="D36" s="226"/>
      <c r="E36" s="226"/>
      <c r="F36" s="166"/>
      <c r="G36" s="241"/>
      <c r="H36" s="242"/>
      <c r="I36" s="157"/>
    </row>
    <row r="37" spans="1:9" ht="15.75" x14ac:dyDescent="0.25">
      <c r="A37" s="177" t="s">
        <v>59</v>
      </c>
      <c r="B37" s="165">
        <f>DATE(21,7,1)</f>
        <v>7853</v>
      </c>
      <c r="C37" s="226">
        <v>184241191.87</v>
      </c>
      <c r="D37" s="226">
        <v>16788708.57</v>
      </c>
      <c r="E37" s="226">
        <v>12870761.890000001</v>
      </c>
      <c r="F37" s="166">
        <f t="shared" ref="F37:F42" si="9">(+D37-E37)/E37</f>
        <v>0.30440674091283337</v>
      </c>
      <c r="G37" s="241">
        <f t="shared" ref="G37:G42" si="10">D37/C37</f>
        <v>9.1123534317157806E-2</v>
      </c>
      <c r="H37" s="242">
        <f t="shared" ref="H37:H42" si="11">1-G37</f>
        <v>0.90887646568284219</v>
      </c>
      <c r="I37" s="157"/>
    </row>
    <row r="38" spans="1:9" ht="15.75" x14ac:dyDescent="0.25">
      <c r="A38" s="177"/>
      <c r="B38" s="165">
        <f>DATE(21,8,1)</f>
        <v>7884</v>
      </c>
      <c r="C38" s="226">
        <v>171470115.47</v>
      </c>
      <c r="D38" s="226">
        <v>15228470.93</v>
      </c>
      <c r="E38" s="226">
        <v>13070251.67</v>
      </c>
      <c r="F38" s="166">
        <f t="shared" si="9"/>
        <v>0.16512453734565311</v>
      </c>
      <c r="G38" s="241">
        <f t="shared" si="10"/>
        <v>8.8811224558044563E-2</v>
      </c>
      <c r="H38" s="242">
        <f t="shared" si="11"/>
        <v>0.91118877544195542</v>
      </c>
      <c r="I38" s="157"/>
    </row>
    <row r="39" spans="1:9" ht="15.75" x14ac:dyDescent="0.25">
      <c r="A39" s="177"/>
      <c r="B39" s="165">
        <f>DATE(21,9,1)</f>
        <v>7915</v>
      </c>
      <c r="C39" s="226">
        <v>183696506.80000001</v>
      </c>
      <c r="D39" s="226">
        <v>16699713.119999999</v>
      </c>
      <c r="E39" s="226">
        <v>12783360.18</v>
      </c>
      <c r="F39" s="166">
        <f t="shared" si="9"/>
        <v>0.30636334147318062</v>
      </c>
      <c r="G39" s="241">
        <f t="shared" si="10"/>
        <v>9.0909257943493998E-2</v>
      </c>
      <c r="H39" s="242">
        <f t="shared" si="11"/>
        <v>0.90909074205650597</v>
      </c>
      <c r="I39" s="157"/>
    </row>
    <row r="40" spans="1:9" ht="15.75" x14ac:dyDescent="0.25">
      <c r="A40" s="177"/>
      <c r="B40" s="165">
        <f>DATE(21,10,1)</f>
        <v>7945</v>
      </c>
      <c r="C40" s="226">
        <v>184731805.90000001</v>
      </c>
      <c r="D40" s="226">
        <v>16704308.949999999</v>
      </c>
      <c r="E40" s="226">
        <v>13822122.460000001</v>
      </c>
      <c r="F40" s="166">
        <f t="shared" si="9"/>
        <v>0.20851982018975673</v>
      </c>
      <c r="G40" s="241">
        <f t="shared" si="10"/>
        <v>9.0424650311936347E-2</v>
      </c>
      <c r="H40" s="242">
        <f t="shared" si="11"/>
        <v>0.90957534968806364</v>
      </c>
      <c r="I40" s="157"/>
    </row>
    <row r="41" spans="1:9" ht="15.75" x14ac:dyDescent="0.25">
      <c r="A41" s="177"/>
      <c r="B41" s="165">
        <f>DATE(21,11,1)</f>
        <v>7976</v>
      </c>
      <c r="C41" s="226">
        <v>168594729.13</v>
      </c>
      <c r="D41" s="226">
        <v>15419780.210000001</v>
      </c>
      <c r="E41" s="226">
        <v>11508836.74</v>
      </c>
      <c r="F41" s="166">
        <f t="shared" si="9"/>
        <v>0.33982091833896327</v>
      </c>
      <c r="G41" s="241">
        <f t="shared" si="10"/>
        <v>9.146063040980433E-2</v>
      </c>
      <c r="H41" s="242">
        <f t="shared" si="11"/>
        <v>0.90853936959019566</v>
      </c>
      <c r="I41" s="157"/>
    </row>
    <row r="42" spans="1:9" ht="15.75" x14ac:dyDescent="0.25">
      <c r="A42" s="177"/>
      <c r="B42" s="165">
        <f>DATE(21,12,1)</f>
        <v>8006</v>
      </c>
      <c r="C42" s="226">
        <v>190132607.16999999</v>
      </c>
      <c r="D42" s="226">
        <v>17100191.719999999</v>
      </c>
      <c r="E42" s="226">
        <v>12101151.109999999</v>
      </c>
      <c r="F42" s="166">
        <f t="shared" si="9"/>
        <v>0.41310455216685577</v>
      </c>
      <c r="G42" s="241">
        <f t="shared" si="10"/>
        <v>8.9938238235541049E-2</v>
      </c>
      <c r="H42" s="242">
        <f t="shared" si="11"/>
        <v>0.91006176176445897</v>
      </c>
      <c r="I42" s="157"/>
    </row>
    <row r="43" spans="1:9" ht="15.75" thickBot="1" x14ac:dyDescent="0.25">
      <c r="A43" s="167"/>
      <c r="B43" s="168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8"/>
      <c r="C44" s="228">
        <f>SUM(C37:C43)</f>
        <v>1082866956.3400002</v>
      </c>
      <c r="D44" s="228">
        <f>SUM(D37:D43)</f>
        <v>97941173.5</v>
      </c>
      <c r="E44" s="228">
        <f>SUM(E37:E43)</f>
        <v>76156484.050000012</v>
      </c>
      <c r="F44" s="176">
        <f>(+D44-E44)/E44</f>
        <v>0.28605167008100585</v>
      </c>
      <c r="G44" s="245">
        <f>D44/C44</f>
        <v>9.0446174321389378E-2</v>
      </c>
      <c r="H44" s="246">
        <f>1-G44</f>
        <v>0.90955382567861065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64" t="s">
        <v>62</v>
      </c>
      <c r="B46" s="165">
        <f>DATE(21,7,1)</f>
        <v>7853</v>
      </c>
      <c r="C46" s="226">
        <v>134033453.04000001</v>
      </c>
      <c r="D46" s="226">
        <v>12735420.67</v>
      </c>
      <c r="E46" s="226">
        <v>13388447.99</v>
      </c>
      <c r="F46" s="166">
        <f t="shared" ref="F46:F51" si="12">(+D46-E46)/E46</f>
        <v>-4.8775430915349902E-2</v>
      </c>
      <c r="G46" s="241">
        <f t="shared" ref="G46:G51" si="13">D46/C46</f>
        <v>9.5016731876625835E-2</v>
      </c>
      <c r="H46" s="242">
        <f t="shared" ref="H46:H51" si="14">1-G46</f>
        <v>0.90498326812337415</v>
      </c>
      <c r="I46" s="157"/>
    </row>
    <row r="47" spans="1:9" ht="15.75" x14ac:dyDescent="0.25">
      <c r="A47" s="164"/>
      <c r="B47" s="165">
        <f>DATE(21,8,1)</f>
        <v>7884</v>
      </c>
      <c r="C47" s="226">
        <v>120007751.62</v>
      </c>
      <c r="D47" s="226">
        <v>11645905.550000001</v>
      </c>
      <c r="E47" s="226">
        <v>12503132.880000001</v>
      </c>
      <c r="F47" s="166">
        <f t="shared" si="12"/>
        <v>-6.8561002928411649E-2</v>
      </c>
      <c r="G47" s="241">
        <f t="shared" si="13"/>
        <v>9.7042944249770793E-2</v>
      </c>
      <c r="H47" s="242">
        <f t="shared" si="14"/>
        <v>0.90295705575022922</v>
      </c>
      <c r="I47" s="157"/>
    </row>
    <row r="48" spans="1:9" ht="15.75" x14ac:dyDescent="0.25">
      <c r="A48" s="164"/>
      <c r="B48" s="165">
        <f>DATE(21,9,1)</f>
        <v>7915</v>
      </c>
      <c r="C48" s="226">
        <v>117022540.7</v>
      </c>
      <c r="D48" s="226">
        <v>11184280.18</v>
      </c>
      <c r="E48" s="226">
        <v>11218535.91</v>
      </c>
      <c r="F48" s="166">
        <f t="shared" si="12"/>
        <v>-3.053493813703935E-3</v>
      </c>
      <c r="G48" s="241">
        <f t="shared" si="13"/>
        <v>9.5573725481419153E-2</v>
      </c>
      <c r="H48" s="242">
        <f t="shared" si="14"/>
        <v>0.90442627451858082</v>
      </c>
      <c r="I48" s="157"/>
    </row>
    <row r="49" spans="1:9" ht="15.75" x14ac:dyDescent="0.25">
      <c r="A49" s="164"/>
      <c r="B49" s="165">
        <f>DATE(21,10,1)</f>
        <v>7945</v>
      </c>
      <c r="C49" s="226">
        <v>120771341.03</v>
      </c>
      <c r="D49" s="226">
        <v>11396005.27</v>
      </c>
      <c r="E49" s="226">
        <v>11439504.380000001</v>
      </c>
      <c r="F49" s="166">
        <f t="shared" si="12"/>
        <v>-3.8025344940688125E-3</v>
      </c>
      <c r="G49" s="241">
        <f t="shared" si="13"/>
        <v>9.436017827415856E-2</v>
      </c>
      <c r="H49" s="242">
        <f t="shared" si="14"/>
        <v>0.90563982172584145</v>
      </c>
      <c r="I49" s="157"/>
    </row>
    <row r="50" spans="1:9" ht="15.75" x14ac:dyDescent="0.25">
      <c r="A50" s="164"/>
      <c r="B50" s="165">
        <f>DATE(21,11,1)</f>
        <v>7976</v>
      </c>
      <c r="C50" s="226">
        <v>113934737.93000001</v>
      </c>
      <c r="D50" s="226">
        <v>11134846.92</v>
      </c>
      <c r="E50" s="226">
        <v>10067796.140000001</v>
      </c>
      <c r="F50" s="166">
        <f t="shared" si="12"/>
        <v>0.10598653023580186</v>
      </c>
      <c r="G50" s="241">
        <f t="shared" si="13"/>
        <v>9.7730043727674187E-2</v>
      </c>
      <c r="H50" s="242">
        <f t="shared" si="14"/>
        <v>0.90226995627232576</v>
      </c>
      <c r="I50" s="157"/>
    </row>
    <row r="51" spans="1:9" ht="15.75" x14ac:dyDescent="0.25">
      <c r="A51" s="164"/>
      <c r="B51" s="165">
        <f>DATE(21,12,1)</f>
        <v>8006</v>
      </c>
      <c r="C51" s="226">
        <v>123312951.98999999</v>
      </c>
      <c r="D51" s="226">
        <v>11993406.699999999</v>
      </c>
      <c r="E51" s="226">
        <v>10607281.23</v>
      </c>
      <c r="F51" s="166">
        <f t="shared" si="12"/>
        <v>0.13067679077648051</v>
      </c>
      <c r="G51" s="241">
        <f t="shared" si="13"/>
        <v>9.7259910710535899E-2</v>
      </c>
      <c r="H51" s="242">
        <f t="shared" si="14"/>
        <v>0.90274008928946414</v>
      </c>
      <c r="I51" s="157"/>
    </row>
    <row r="52" spans="1:9" ht="15.75" thickBot="1" x14ac:dyDescent="0.25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7.25" thickTop="1" thickBot="1" x14ac:dyDescent="0.3">
      <c r="A53" s="174" t="s">
        <v>14</v>
      </c>
      <c r="B53" s="175"/>
      <c r="C53" s="228">
        <f>SUM(C46:C52)</f>
        <v>729082776.30999994</v>
      </c>
      <c r="D53" s="230">
        <f>SUM(D46:D52)</f>
        <v>70089865.290000007</v>
      </c>
      <c r="E53" s="271">
        <f>SUM(E46:E52)</f>
        <v>69224698.530000001</v>
      </c>
      <c r="F53" s="272">
        <f>(+D53-E53)/E53</f>
        <v>1.2497949118912622E-2</v>
      </c>
      <c r="G53" s="249">
        <f>D53/C53</f>
        <v>9.6134304042588409E-2</v>
      </c>
      <c r="H53" s="270">
        <f>1-G53</f>
        <v>0.90386569595741162</v>
      </c>
      <c r="I53" s="157"/>
    </row>
    <row r="54" spans="1:9" ht="15.75" thickTop="1" x14ac:dyDescent="0.2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.75" x14ac:dyDescent="0.25">
      <c r="A55" s="164" t="s">
        <v>66</v>
      </c>
      <c r="B55" s="165">
        <f>DATE(21,7,1)</f>
        <v>7853</v>
      </c>
      <c r="C55" s="226">
        <v>55925733.850000001</v>
      </c>
      <c r="D55" s="226">
        <v>5744094.3399999999</v>
      </c>
      <c r="E55" s="226">
        <v>4434379.57</v>
      </c>
      <c r="F55" s="166">
        <f t="shared" ref="F55:F60" si="15">(+D55-E55)/E55</f>
        <v>0.29535468250409591</v>
      </c>
      <c r="G55" s="241">
        <f t="shared" ref="G55:G60" si="16">D55/C55</f>
        <v>0.10270932439449786</v>
      </c>
      <c r="H55" s="242">
        <f t="shared" ref="H55:H60" si="17">1-G55</f>
        <v>0.89729067560550213</v>
      </c>
      <c r="I55" s="157"/>
    </row>
    <row r="56" spans="1:9" ht="15.75" x14ac:dyDescent="0.25">
      <c r="A56" s="164"/>
      <c r="B56" s="165">
        <f>DATE(21,8,1)</f>
        <v>7884</v>
      </c>
      <c r="C56" s="226">
        <v>50658517.549999997</v>
      </c>
      <c r="D56" s="226">
        <v>5022432.17</v>
      </c>
      <c r="E56" s="226">
        <v>4333573.3</v>
      </c>
      <c r="F56" s="166">
        <f t="shared" si="15"/>
        <v>0.15895862889869664</v>
      </c>
      <c r="G56" s="241">
        <f t="shared" si="16"/>
        <v>9.9142896651937262E-2</v>
      </c>
      <c r="H56" s="242">
        <f t="shared" si="17"/>
        <v>0.90085710334806279</v>
      </c>
      <c r="I56" s="157"/>
    </row>
    <row r="57" spans="1:9" ht="15.75" x14ac:dyDescent="0.25">
      <c r="A57" s="164"/>
      <c r="B57" s="165">
        <f>DATE(21,9,1)</f>
        <v>7915</v>
      </c>
      <c r="C57" s="226">
        <v>50731057.32</v>
      </c>
      <c r="D57" s="226">
        <v>5281548.16</v>
      </c>
      <c r="E57" s="226">
        <v>4417017.5599999996</v>
      </c>
      <c r="F57" s="166">
        <f t="shared" si="15"/>
        <v>0.19572722731036654</v>
      </c>
      <c r="G57" s="241">
        <f t="shared" si="16"/>
        <v>0.10410877357996291</v>
      </c>
      <c r="H57" s="242">
        <f t="shared" si="17"/>
        <v>0.89589122642003705</v>
      </c>
      <c r="I57" s="157"/>
    </row>
    <row r="58" spans="1:9" ht="15.75" x14ac:dyDescent="0.25">
      <c r="A58" s="164"/>
      <c r="B58" s="165">
        <f>DATE(21,10,1)</f>
        <v>7945</v>
      </c>
      <c r="C58" s="226">
        <v>50383468.32</v>
      </c>
      <c r="D58" s="226">
        <v>5329338.8099999996</v>
      </c>
      <c r="E58" s="226">
        <v>4440838.8899999997</v>
      </c>
      <c r="F58" s="166">
        <f t="shared" si="15"/>
        <v>0.20007479262549874</v>
      </c>
      <c r="G58" s="241">
        <f t="shared" si="16"/>
        <v>0.10577554479083943</v>
      </c>
      <c r="H58" s="242">
        <f t="shared" si="17"/>
        <v>0.89422445520916061</v>
      </c>
      <c r="I58" s="157"/>
    </row>
    <row r="59" spans="1:9" ht="15.75" x14ac:dyDescent="0.25">
      <c r="A59" s="164"/>
      <c r="B59" s="165">
        <f>DATE(21,11,1)</f>
        <v>7976</v>
      </c>
      <c r="C59" s="226">
        <v>48521452.539999999</v>
      </c>
      <c r="D59" s="226">
        <v>4979381.55</v>
      </c>
      <c r="E59" s="226">
        <v>4093288.05</v>
      </c>
      <c r="F59" s="166">
        <f t="shared" si="15"/>
        <v>0.21647474821616819</v>
      </c>
      <c r="G59" s="241">
        <f t="shared" si="16"/>
        <v>0.10262226890044376</v>
      </c>
      <c r="H59" s="242">
        <f t="shared" si="17"/>
        <v>0.89737773109955621</v>
      </c>
      <c r="I59" s="157"/>
    </row>
    <row r="60" spans="1:9" ht="15.75" x14ac:dyDescent="0.25">
      <c r="A60" s="164"/>
      <c r="B60" s="165">
        <f>DATE(21,12,1)</f>
        <v>8006</v>
      </c>
      <c r="C60" s="226">
        <v>54263223.82</v>
      </c>
      <c r="D60" s="226">
        <v>5568235.3899999997</v>
      </c>
      <c r="E60" s="226">
        <v>5522096.1299999999</v>
      </c>
      <c r="F60" s="166">
        <f t="shared" si="15"/>
        <v>8.3553887715460285E-3</v>
      </c>
      <c r="G60" s="241">
        <f t="shared" si="16"/>
        <v>0.10261527049094518</v>
      </c>
      <c r="H60" s="242">
        <f t="shared" si="17"/>
        <v>0.89738472950905479</v>
      </c>
      <c r="I60" s="157"/>
    </row>
    <row r="61" spans="1:9" ht="15.75" thickBot="1" x14ac:dyDescent="0.25">
      <c r="A61" s="167"/>
      <c r="B61" s="165"/>
      <c r="C61" s="226"/>
      <c r="D61" s="226"/>
      <c r="E61" s="226"/>
      <c r="F61" s="166"/>
      <c r="G61" s="241"/>
      <c r="H61" s="242"/>
      <c r="I61" s="157"/>
    </row>
    <row r="62" spans="1:9" ht="17.25" thickTop="1" thickBot="1" x14ac:dyDescent="0.3">
      <c r="A62" s="174" t="s">
        <v>14</v>
      </c>
      <c r="B62" s="175"/>
      <c r="C62" s="228">
        <f>SUM(C55:C61)</f>
        <v>310483453.39999998</v>
      </c>
      <c r="D62" s="230">
        <f>SUM(D55:D61)</f>
        <v>31925030.420000002</v>
      </c>
      <c r="E62" s="271">
        <f>SUM(E55:E61)</f>
        <v>27241193.5</v>
      </c>
      <c r="F62" s="272">
        <f>(+D62-E62)/E62</f>
        <v>0.17193949009612966</v>
      </c>
      <c r="G62" s="249">
        <f>D62/C62</f>
        <v>0.10282361288628981</v>
      </c>
      <c r="H62" s="270">
        <f>1-G62</f>
        <v>0.89717638711371017</v>
      </c>
      <c r="I62" s="157"/>
    </row>
    <row r="63" spans="1:9" ht="15.75" thickTop="1" x14ac:dyDescent="0.2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5.75" x14ac:dyDescent="0.25">
      <c r="A64" s="290" t="s">
        <v>70</v>
      </c>
      <c r="B64" s="165">
        <f>DATE(21,7,1)</f>
        <v>7853</v>
      </c>
      <c r="C64" s="226">
        <v>75548562.819999993</v>
      </c>
      <c r="D64" s="226">
        <v>8446672.5700000003</v>
      </c>
      <c r="E64" s="226">
        <v>4303428.05</v>
      </c>
      <c r="F64" s="166">
        <f t="shared" ref="F64:F69" si="18">(+D64-E64)/E64</f>
        <v>0.96277769068312891</v>
      </c>
      <c r="G64" s="241">
        <f t="shared" ref="G64:G69" si="19">D64/C64</f>
        <v>0.11180454339184213</v>
      </c>
      <c r="H64" s="242">
        <f t="shared" ref="H64:H69" si="20">1-G64</f>
        <v>0.88819545660815791</v>
      </c>
      <c r="I64" s="157"/>
    </row>
    <row r="65" spans="1:9" ht="15.75" x14ac:dyDescent="0.25">
      <c r="A65" s="290"/>
      <c r="B65" s="165">
        <f>DATE(21,8,1)</f>
        <v>7884</v>
      </c>
      <c r="C65" s="226">
        <v>78426771.269999996</v>
      </c>
      <c r="D65" s="226">
        <v>8803736.4399999995</v>
      </c>
      <c r="E65" s="226">
        <v>4134795.6</v>
      </c>
      <c r="F65" s="166">
        <f t="shared" si="18"/>
        <v>1.1291829854902622</v>
      </c>
      <c r="G65" s="241">
        <f t="shared" si="19"/>
        <v>0.11225422515089088</v>
      </c>
      <c r="H65" s="242">
        <f t="shared" si="20"/>
        <v>0.8877457748491091</v>
      </c>
      <c r="I65" s="157"/>
    </row>
    <row r="66" spans="1:9" ht="15.75" x14ac:dyDescent="0.25">
      <c r="A66" s="290"/>
      <c r="B66" s="165">
        <f>DATE(21,9,1)</f>
        <v>7915</v>
      </c>
      <c r="C66" s="226">
        <v>81538936.450000003</v>
      </c>
      <c r="D66" s="226">
        <v>8914995.2300000004</v>
      </c>
      <c r="E66" s="226">
        <v>5078159.95</v>
      </c>
      <c r="F66" s="166">
        <f t="shared" si="18"/>
        <v>0.75555620889806752</v>
      </c>
      <c r="G66" s="241">
        <f t="shared" si="19"/>
        <v>0.1093342103556466</v>
      </c>
      <c r="H66" s="242">
        <f t="shared" si="20"/>
        <v>0.89066578964435339</v>
      </c>
      <c r="I66" s="157"/>
    </row>
    <row r="67" spans="1:9" ht="15.75" x14ac:dyDescent="0.25">
      <c r="A67" s="290"/>
      <c r="B67" s="165">
        <f>DATE(21,10,1)</f>
        <v>7945</v>
      </c>
      <c r="C67" s="226">
        <v>82353659.939999998</v>
      </c>
      <c r="D67" s="226">
        <v>9230867.6699999999</v>
      </c>
      <c r="E67" s="226">
        <v>5823943.8200000003</v>
      </c>
      <c r="F67" s="166">
        <f t="shared" si="18"/>
        <v>0.5849856996044992</v>
      </c>
      <c r="G67" s="241">
        <f t="shared" si="19"/>
        <v>0.11208812913385134</v>
      </c>
      <c r="H67" s="242">
        <f t="shared" si="20"/>
        <v>0.88791187086614864</v>
      </c>
      <c r="I67" s="157"/>
    </row>
    <row r="68" spans="1:9" ht="15.75" x14ac:dyDescent="0.25">
      <c r="A68" s="290"/>
      <c r="B68" s="165">
        <f>DATE(21,11,1)</f>
        <v>7976</v>
      </c>
      <c r="C68" s="226">
        <v>77184349.209999993</v>
      </c>
      <c r="D68" s="226">
        <v>8512217.6799999997</v>
      </c>
      <c r="E68" s="226">
        <v>5498815.8099999996</v>
      </c>
      <c r="F68" s="166">
        <f t="shared" si="18"/>
        <v>0.5480092394656878</v>
      </c>
      <c r="G68" s="241">
        <f t="shared" si="19"/>
        <v>0.11028424502019586</v>
      </c>
      <c r="H68" s="242">
        <f t="shared" si="20"/>
        <v>0.88971575497980415</v>
      </c>
      <c r="I68" s="157"/>
    </row>
    <row r="69" spans="1:9" ht="15.75" x14ac:dyDescent="0.25">
      <c r="A69" s="290"/>
      <c r="B69" s="165">
        <f>DATE(21,12,1)</f>
        <v>8006</v>
      </c>
      <c r="C69" s="226">
        <v>81671033.459999993</v>
      </c>
      <c r="D69" s="226">
        <v>9265401.0800000001</v>
      </c>
      <c r="E69" s="226">
        <v>6073396.25</v>
      </c>
      <c r="F69" s="166">
        <f t="shared" si="18"/>
        <v>0.52557164041453741</v>
      </c>
      <c r="G69" s="241">
        <f t="shared" si="19"/>
        <v>0.11344782461382608</v>
      </c>
      <c r="H69" s="242">
        <f t="shared" si="20"/>
        <v>0.88655217538617392</v>
      </c>
      <c r="I69" s="157"/>
    </row>
    <row r="70" spans="1:9" ht="15.75" thickBot="1" x14ac:dyDescent="0.25">
      <c r="A70" s="167"/>
      <c r="B70" s="165"/>
      <c r="C70" s="226"/>
      <c r="D70" s="226"/>
      <c r="E70" s="226"/>
      <c r="F70" s="166"/>
      <c r="G70" s="241"/>
      <c r="H70" s="242"/>
      <c r="I70" s="157"/>
    </row>
    <row r="71" spans="1:9" ht="17.25" thickTop="1" thickBot="1" x14ac:dyDescent="0.3">
      <c r="A71" s="174" t="s">
        <v>14</v>
      </c>
      <c r="B71" s="175"/>
      <c r="C71" s="228">
        <f>SUM(C64:C70)</f>
        <v>476723313.14999992</v>
      </c>
      <c r="D71" s="230">
        <f>SUM(D64:D70)</f>
        <v>53173890.669999994</v>
      </c>
      <c r="E71" s="271">
        <f>SUM(E64:E70)</f>
        <v>30912539.48</v>
      </c>
      <c r="F71" s="272">
        <f>(+D71-E71)/E71</f>
        <v>0.72013983854036934</v>
      </c>
      <c r="G71" s="249">
        <f>D71/C71</f>
        <v>0.11154036147015313</v>
      </c>
      <c r="H71" s="270">
        <f>1-G71</f>
        <v>0.88845963852984688</v>
      </c>
      <c r="I71" s="157"/>
    </row>
    <row r="72" spans="1:9" ht="15.75" thickTop="1" x14ac:dyDescent="0.2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5.75" x14ac:dyDescent="0.25">
      <c r="A73" s="164" t="s">
        <v>60</v>
      </c>
      <c r="B73" s="165">
        <f>DATE(21,7,1)</f>
        <v>7853</v>
      </c>
      <c r="C73" s="226">
        <v>132221883.15000001</v>
      </c>
      <c r="D73" s="226">
        <v>13534455.82</v>
      </c>
      <c r="E73" s="226">
        <v>10751795.77</v>
      </c>
      <c r="F73" s="166">
        <f t="shared" ref="F73:F78" si="21">(+D73-E73)/E73</f>
        <v>0.25880886407499171</v>
      </c>
      <c r="G73" s="241">
        <f t="shared" ref="G73:G78" si="22">D73/C73</f>
        <v>0.10236169306895854</v>
      </c>
      <c r="H73" s="242">
        <f t="shared" ref="H73:H78" si="23">1-G73</f>
        <v>0.89763830693104141</v>
      </c>
      <c r="I73" s="157"/>
    </row>
    <row r="74" spans="1:9" ht="15.75" x14ac:dyDescent="0.25">
      <c r="A74" s="164"/>
      <c r="B74" s="165">
        <f>DATE(21,8,1)</f>
        <v>7884</v>
      </c>
      <c r="C74" s="226">
        <v>113338502.33</v>
      </c>
      <c r="D74" s="226">
        <v>11799607.16</v>
      </c>
      <c r="E74" s="226">
        <v>11312353.68</v>
      </c>
      <c r="F74" s="166">
        <f t="shared" si="21"/>
        <v>4.3072687946581284E-2</v>
      </c>
      <c r="G74" s="241">
        <f t="shared" si="22"/>
        <v>0.104109432517856</v>
      </c>
      <c r="H74" s="242">
        <f t="shared" si="23"/>
        <v>0.89589056748214402</v>
      </c>
      <c r="I74" s="157"/>
    </row>
    <row r="75" spans="1:9" ht="15.75" x14ac:dyDescent="0.25">
      <c r="A75" s="164"/>
      <c r="B75" s="165">
        <f>DATE(21,9,1)</f>
        <v>7915</v>
      </c>
      <c r="C75" s="226">
        <v>111073381.84999999</v>
      </c>
      <c r="D75" s="226">
        <v>11262305.48</v>
      </c>
      <c r="E75" s="226">
        <v>10956999.039999999</v>
      </c>
      <c r="F75" s="166">
        <f t="shared" si="21"/>
        <v>2.7864056470703256E-2</v>
      </c>
      <c r="G75" s="241">
        <f t="shared" si="22"/>
        <v>0.10139517940679323</v>
      </c>
      <c r="H75" s="242">
        <f t="shared" si="23"/>
        <v>0.89860482059320679</v>
      </c>
      <c r="I75" s="157"/>
    </row>
    <row r="76" spans="1:9" ht="15.75" x14ac:dyDescent="0.25">
      <c r="A76" s="164"/>
      <c r="B76" s="165">
        <f>DATE(21,10,1)</f>
        <v>7945</v>
      </c>
      <c r="C76" s="226">
        <v>116016618.26000001</v>
      </c>
      <c r="D76" s="226">
        <v>11850584.039999999</v>
      </c>
      <c r="E76" s="226">
        <v>10410650.699999999</v>
      </c>
      <c r="F76" s="166">
        <f t="shared" si="21"/>
        <v>0.13831348121208215</v>
      </c>
      <c r="G76" s="241">
        <f t="shared" si="22"/>
        <v>0.10214557377842327</v>
      </c>
      <c r="H76" s="242">
        <f t="shared" si="23"/>
        <v>0.89785442622157674</v>
      </c>
      <c r="I76" s="157"/>
    </row>
    <row r="77" spans="1:9" ht="15.75" x14ac:dyDescent="0.25">
      <c r="A77" s="164"/>
      <c r="B77" s="165">
        <f>DATE(21,11,1)</f>
        <v>7976</v>
      </c>
      <c r="C77" s="226">
        <v>102366140.34999999</v>
      </c>
      <c r="D77" s="226">
        <v>10537202.82</v>
      </c>
      <c r="E77" s="226">
        <v>9890840.5199999996</v>
      </c>
      <c r="F77" s="166">
        <f t="shared" si="21"/>
        <v>6.5349582645985352E-2</v>
      </c>
      <c r="G77" s="241">
        <f t="shared" si="22"/>
        <v>0.10293640830817942</v>
      </c>
      <c r="H77" s="242">
        <f t="shared" si="23"/>
        <v>0.89706359169182059</v>
      </c>
      <c r="I77" s="157"/>
    </row>
    <row r="78" spans="1:9" ht="15.75" x14ac:dyDescent="0.25">
      <c r="A78" s="164"/>
      <c r="B78" s="165">
        <f>DATE(21,12,1)</f>
        <v>8006</v>
      </c>
      <c r="C78" s="226">
        <v>112755235.06999999</v>
      </c>
      <c r="D78" s="226">
        <v>11616287.57</v>
      </c>
      <c r="E78" s="226">
        <v>12890871.199999999</v>
      </c>
      <c r="F78" s="166">
        <f t="shared" si="21"/>
        <v>-9.8874902264169631E-2</v>
      </c>
      <c r="G78" s="241">
        <f t="shared" si="22"/>
        <v>0.1030221573551636</v>
      </c>
      <c r="H78" s="242">
        <f t="shared" si="23"/>
        <v>0.89697784264483638</v>
      </c>
      <c r="I78" s="157"/>
    </row>
    <row r="79" spans="1:9" ht="15.75" thickBot="1" x14ac:dyDescent="0.25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SUM(C73:C79)</f>
        <v>687771761.00999999</v>
      </c>
      <c r="D80" s="230">
        <f>SUM(D73:D79)</f>
        <v>70600442.890000001</v>
      </c>
      <c r="E80" s="271">
        <f>SUM(E73:E79)</f>
        <v>66213510.909999996</v>
      </c>
      <c r="F80" s="176">
        <f>(+D80-E80)/E80</f>
        <v>6.6254332683897313E-2</v>
      </c>
      <c r="G80" s="249">
        <f>D80/C80</f>
        <v>0.10265097651919078</v>
      </c>
      <c r="H80" s="270">
        <f>1-G80</f>
        <v>0.89734902348080925</v>
      </c>
      <c r="I80" s="157"/>
    </row>
    <row r="81" spans="1:9" ht="15.75" thickTop="1" x14ac:dyDescent="0.2">
      <c r="A81" s="167"/>
      <c r="B81" s="179"/>
      <c r="C81" s="229"/>
      <c r="D81" s="229"/>
      <c r="E81" s="229"/>
      <c r="F81" s="180"/>
      <c r="G81" s="247"/>
      <c r="H81" s="248"/>
      <c r="I81" s="157"/>
    </row>
    <row r="82" spans="1:9" ht="15.75" x14ac:dyDescent="0.25">
      <c r="A82" s="164" t="s">
        <v>16</v>
      </c>
      <c r="B82" s="165">
        <f>DATE(21,7,1)</f>
        <v>7853</v>
      </c>
      <c r="C82" s="226">
        <v>163880399.77000001</v>
      </c>
      <c r="D82" s="226">
        <v>16148799.359999999</v>
      </c>
      <c r="E82" s="226">
        <v>12124639.109999999</v>
      </c>
      <c r="F82" s="166">
        <f t="shared" ref="F82:F87" si="24">(+D82-E82)/E82</f>
        <v>0.33189938384895978</v>
      </c>
      <c r="G82" s="241">
        <f t="shared" ref="G82:G87" si="25">D82/C82</f>
        <v>9.854015112645706E-2</v>
      </c>
      <c r="H82" s="242">
        <f t="shared" ref="H82:H87" si="26">1-G82</f>
        <v>0.90145984887354291</v>
      </c>
      <c r="I82" s="157"/>
    </row>
    <row r="83" spans="1:9" ht="15.75" x14ac:dyDescent="0.25">
      <c r="A83" s="164"/>
      <c r="B83" s="165">
        <f>DATE(21,8,1)</f>
        <v>7884</v>
      </c>
      <c r="C83" s="226">
        <v>145844596.15000001</v>
      </c>
      <c r="D83" s="226">
        <v>14007269.199999999</v>
      </c>
      <c r="E83" s="226">
        <v>12772714.18</v>
      </c>
      <c r="F83" s="166">
        <f t="shared" si="24"/>
        <v>9.6655652244462861E-2</v>
      </c>
      <c r="G83" s="241">
        <f t="shared" si="25"/>
        <v>9.6042428514757139E-2</v>
      </c>
      <c r="H83" s="242">
        <f t="shared" si="26"/>
        <v>0.90395757148524281</v>
      </c>
      <c r="I83" s="157"/>
    </row>
    <row r="84" spans="1:9" ht="15.75" x14ac:dyDescent="0.25">
      <c r="A84" s="164"/>
      <c r="B84" s="165">
        <f>DATE(21,9,1)</f>
        <v>7915</v>
      </c>
      <c r="C84" s="226">
        <v>143094986.72999999</v>
      </c>
      <c r="D84" s="226">
        <v>13534117.949999999</v>
      </c>
      <c r="E84" s="226">
        <v>12144964.720000001</v>
      </c>
      <c r="F84" s="166">
        <f t="shared" si="24"/>
        <v>0.11438100167655312</v>
      </c>
      <c r="G84" s="241">
        <f t="shared" si="25"/>
        <v>9.4581356477127787E-2</v>
      </c>
      <c r="H84" s="242">
        <f t="shared" si="26"/>
        <v>0.90541864352287216</v>
      </c>
      <c r="I84" s="157"/>
    </row>
    <row r="85" spans="1:9" ht="15.75" x14ac:dyDescent="0.25">
      <c r="A85" s="164"/>
      <c r="B85" s="165">
        <f>DATE(21,10,1)</f>
        <v>7945</v>
      </c>
      <c r="C85" s="226">
        <v>155067360.19</v>
      </c>
      <c r="D85" s="226">
        <v>14717532.77</v>
      </c>
      <c r="E85" s="226">
        <v>12789406.33</v>
      </c>
      <c r="F85" s="166">
        <f t="shared" si="24"/>
        <v>0.15075965140596165</v>
      </c>
      <c r="G85" s="241">
        <f t="shared" si="25"/>
        <v>9.4910577906059598E-2</v>
      </c>
      <c r="H85" s="242">
        <f t="shared" si="26"/>
        <v>0.90508942209394039</v>
      </c>
      <c r="I85" s="157"/>
    </row>
    <row r="86" spans="1:9" ht="15.75" x14ac:dyDescent="0.25">
      <c r="A86" s="164"/>
      <c r="B86" s="165">
        <f>DATE(21,11,1)</f>
        <v>7976</v>
      </c>
      <c r="C86" s="226">
        <v>143453865.59</v>
      </c>
      <c r="D86" s="226">
        <v>13811206.33</v>
      </c>
      <c r="E86" s="226">
        <v>11020143.83</v>
      </c>
      <c r="F86" s="166">
        <f t="shared" si="24"/>
        <v>0.25326915356602925</v>
      </c>
      <c r="G86" s="241">
        <f t="shared" si="25"/>
        <v>9.6276292543229752E-2</v>
      </c>
      <c r="H86" s="242">
        <f t="shared" si="26"/>
        <v>0.90372370745677022</v>
      </c>
      <c r="I86" s="157"/>
    </row>
    <row r="87" spans="1:9" ht="15.75" x14ac:dyDescent="0.25">
      <c r="A87" s="164"/>
      <c r="B87" s="165">
        <f>DATE(21,12,1)</f>
        <v>8006</v>
      </c>
      <c r="C87" s="226">
        <v>153813418.13999999</v>
      </c>
      <c r="D87" s="226">
        <v>14881396.939999999</v>
      </c>
      <c r="E87" s="226">
        <v>12188714.869999999</v>
      </c>
      <c r="F87" s="166">
        <f t="shared" si="24"/>
        <v>0.22091599473111642</v>
      </c>
      <c r="G87" s="241">
        <f t="shared" si="25"/>
        <v>9.6749666706288567E-2</v>
      </c>
      <c r="H87" s="242">
        <f t="shared" si="26"/>
        <v>0.9032503332937114</v>
      </c>
      <c r="I87" s="157"/>
    </row>
    <row r="88" spans="1:9" ht="15.75" customHeight="1" thickBot="1" x14ac:dyDescent="0.3">
      <c r="A88" s="164"/>
      <c r="B88" s="165"/>
      <c r="C88" s="226"/>
      <c r="D88" s="226"/>
      <c r="E88" s="226"/>
      <c r="F88" s="166"/>
      <c r="G88" s="241"/>
      <c r="H88" s="242"/>
      <c r="I88" s="157"/>
    </row>
    <row r="89" spans="1:9" ht="17.25" thickTop="1" thickBot="1" x14ac:dyDescent="0.3">
      <c r="A89" s="174" t="s">
        <v>14</v>
      </c>
      <c r="B89" s="181"/>
      <c r="C89" s="228">
        <f>SUM(C82:C88)</f>
        <v>905154626.56999993</v>
      </c>
      <c r="D89" s="228">
        <f>SUM(D82:D88)</f>
        <v>87100322.549999997</v>
      </c>
      <c r="E89" s="228">
        <f>SUM(E82:E88)</f>
        <v>73040583.039999992</v>
      </c>
      <c r="F89" s="176">
        <f>(+D89-E89)/E89</f>
        <v>0.19249215880848489</v>
      </c>
      <c r="G89" s="245">
        <f>D89/C89</f>
        <v>9.6227009168652927E-2</v>
      </c>
      <c r="H89" s="246">
        <f>1-G89</f>
        <v>0.9037729908313471</v>
      </c>
      <c r="I89" s="157"/>
    </row>
    <row r="90" spans="1:9" ht="15.75" thickTop="1" x14ac:dyDescent="0.2">
      <c r="A90" s="171"/>
      <c r="B90" s="172"/>
      <c r="C90" s="227"/>
      <c r="D90" s="227"/>
      <c r="E90" s="227"/>
      <c r="F90" s="173"/>
      <c r="G90" s="243"/>
      <c r="H90" s="244"/>
      <c r="I90" s="157"/>
    </row>
    <row r="91" spans="1:9" ht="15.75" x14ac:dyDescent="0.25">
      <c r="A91" s="164" t="s">
        <v>54</v>
      </c>
      <c r="B91" s="165">
        <f>DATE(21,7,1)</f>
        <v>7853</v>
      </c>
      <c r="C91" s="226">
        <v>200357166.28999999</v>
      </c>
      <c r="D91" s="226">
        <v>17635283.719999999</v>
      </c>
      <c r="E91" s="226">
        <v>13113665.15</v>
      </c>
      <c r="F91" s="166">
        <f t="shared" ref="F91:F96" si="27">(+D91-E91)/E91</f>
        <v>0.34480204567370687</v>
      </c>
      <c r="G91" s="241">
        <f t="shared" ref="G91:G96" si="28">D91/C91</f>
        <v>8.80192310889166E-2</v>
      </c>
      <c r="H91" s="242">
        <f t="shared" ref="H91:H96" si="29">1-G91</f>
        <v>0.91198076891108337</v>
      </c>
      <c r="I91" s="157"/>
    </row>
    <row r="92" spans="1:9" ht="15.75" x14ac:dyDescent="0.25">
      <c r="A92" s="164"/>
      <c r="B92" s="165">
        <f>DATE(21,8,1)</f>
        <v>7884</v>
      </c>
      <c r="C92" s="226">
        <v>187880345.88999999</v>
      </c>
      <c r="D92" s="226">
        <v>17152915.09</v>
      </c>
      <c r="E92" s="226">
        <v>13163225.939999999</v>
      </c>
      <c r="F92" s="166">
        <f t="shared" si="27"/>
        <v>0.30309357054156899</v>
      </c>
      <c r="G92" s="241">
        <f t="shared" si="28"/>
        <v>9.1297016772806411E-2</v>
      </c>
      <c r="H92" s="242">
        <f t="shared" si="29"/>
        <v>0.90870298322719356</v>
      </c>
      <c r="I92" s="157"/>
    </row>
    <row r="93" spans="1:9" ht="15.75" x14ac:dyDescent="0.25">
      <c r="A93" s="164"/>
      <c r="B93" s="165">
        <f>DATE(21,9,1)</f>
        <v>7915</v>
      </c>
      <c r="C93" s="226">
        <v>188989871.88999999</v>
      </c>
      <c r="D93" s="226">
        <v>16762718.67</v>
      </c>
      <c r="E93" s="226">
        <v>13632742.51</v>
      </c>
      <c r="F93" s="166">
        <f t="shared" si="27"/>
        <v>0.22959255320080127</v>
      </c>
      <c r="G93" s="241">
        <f t="shared" si="28"/>
        <v>8.869638622622382E-2</v>
      </c>
      <c r="H93" s="242">
        <f t="shared" si="29"/>
        <v>0.91130361377377622</v>
      </c>
      <c r="I93" s="157"/>
    </row>
    <row r="94" spans="1:9" ht="15.75" x14ac:dyDescent="0.25">
      <c r="A94" s="164"/>
      <c r="B94" s="165">
        <f>DATE(21,10,1)</f>
        <v>7945</v>
      </c>
      <c r="C94" s="226">
        <v>196390014.61000001</v>
      </c>
      <c r="D94" s="226">
        <v>18368300.02</v>
      </c>
      <c r="E94" s="226">
        <v>14284849.609999999</v>
      </c>
      <c r="F94" s="166">
        <f t="shared" si="27"/>
        <v>0.2858588309632194</v>
      </c>
      <c r="G94" s="241">
        <f t="shared" si="28"/>
        <v>9.3529704432664673E-2</v>
      </c>
      <c r="H94" s="242">
        <f t="shared" si="29"/>
        <v>0.90647029556733538</v>
      </c>
      <c r="I94" s="157"/>
    </row>
    <row r="95" spans="1:9" ht="15.75" x14ac:dyDescent="0.25">
      <c r="A95" s="164"/>
      <c r="B95" s="165">
        <f>DATE(21,11,1)</f>
        <v>7976</v>
      </c>
      <c r="C95" s="226">
        <v>186554423.28999999</v>
      </c>
      <c r="D95" s="226">
        <v>17099113.550000001</v>
      </c>
      <c r="E95" s="226">
        <v>12348288.83</v>
      </c>
      <c r="F95" s="166">
        <f t="shared" si="27"/>
        <v>0.38473547107660266</v>
      </c>
      <c r="G95" s="241">
        <f t="shared" si="28"/>
        <v>9.1657508026059098E-2</v>
      </c>
      <c r="H95" s="242">
        <f t="shared" si="29"/>
        <v>0.9083424919739409</v>
      </c>
      <c r="I95" s="157"/>
    </row>
    <row r="96" spans="1:9" ht="15.75" x14ac:dyDescent="0.25">
      <c r="A96" s="164"/>
      <c r="B96" s="165">
        <f>DATE(21,12,1)</f>
        <v>8006</v>
      </c>
      <c r="C96" s="226">
        <v>206769172.86000001</v>
      </c>
      <c r="D96" s="226">
        <v>18695924.300000001</v>
      </c>
      <c r="E96" s="226">
        <v>12123166.43</v>
      </c>
      <c r="F96" s="166">
        <f t="shared" si="27"/>
        <v>0.54216511073666762</v>
      </c>
      <c r="G96" s="241">
        <f t="shared" si="28"/>
        <v>9.0419302071971352E-2</v>
      </c>
      <c r="H96" s="242">
        <f t="shared" si="29"/>
        <v>0.90958069792802865</v>
      </c>
      <c r="I96" s="157"/>
    </row>
    <row r="97" spans="1:9" ht="15.75" thickBot="1" x14ac:dyDescent="0.25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7.25" thickTop="1" thickBot="1" x14ac:dyDescent="0.3">
      <c r="A98" s="174" t="s">
        <v>14</v>
      </c>
      <c r="B98" s="175"/>
      <c r="C98" s="228">
        <f>SUM(C91:C97)</f>
        <v>1166940994.8299999</v>
      </c>
      <c r="D98" s="228">
        <f>SUM(D91:D97)</f>
        <v>105714255.34999999</v>
      </c>
      <c r="E98" s="228">
        <f>SUM(E91:E97)</f>
        <v>78665938.469999999</v>
      </c>
      <c r="F98" s="176">
        <f>(+D98-E98)/E98</f>
        <v>0.34383771942560792</v>
      </c>
      <c r="G98" s="249">
        <f>D98/C98</f>
        <v>9.0590917465711671E-2</v>
      </c>
      <c r="H98" s="270">
        <f>1-G98</f>
        <v>0.90940908253428832</v>
      </c>
      <c r="I98" s="157"/>
    </row>
    <row r="99" spans="1:9" ht="15.75" thickTop="1" x14ac:dyDescent="0.2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.75" x14ac:dyDescent="0.25">
      <c r="A100" s="164" t="s">
        <v>55</v>
      </c>
      <c r="B100" s="165">
        <f>DATE(21,7,1)</f>
        <v>7853</v>
      </c>
      <c r="C100" s="226">
        <v>32852563.390000001</v>
      </c>
      <c r="D100" s="226">
        <v>3540868.12</v>
      </c>
      <c r="E100" s="226">
        <v>2784731.95</v>
      </c>
      <c r="F100" s="166">
        <f t="shared" ref="F100:F105" si="30">(+D100-E100)/E100</f>
        <v>0.27152924718660976</v>
      </c>
      <c r="G100" s="241">
        <f t="shared" ref="G100:G105" si="31">D100/C100</f>
        <v>0.10778057340505143</v>
      </c>
      <c r="H100" s="242">
        <f t="shared" ref="H100:H105" si="32">1-G100</f>
        <v>0.89221942659494857</v>
      </c>
      <c r="I100" s="157"/>
    </row>
    <row r="101" spans="1:9" ht="15.75" x14ac:dyDescent="0.25">
      <c r="A101" s="164"/>
      <c r="B101" s="165">
        <f>DATE(21,8,1)</f>
        <v>7884</v>
      </c>
      <c r="C101" s="226">
        <v>29251271.52</v>
      </c>
      <c r="D101" s="226">
        <v>3115295.59</v>
      </c>
      <c r="E101" s="226">
        <v>2961173.82</v>
      </c>
      <c r="F101" s="166">
        <f t="shared" si="30"/>
        <v>5.2047525531615034E-2</v>
      </c>
      <c r="G101" s="241">
        <f t="shared" si="31"/>
        <v>0.10650120244755773</v>
      </c>
      <c r="H101" s="242">
        <f t="shared" si="32"/>
        <v>0.89349879755244221</v>
      </c>
      <c r="I101" s="157"/>
    </row>
    <row r="102" spans="1:9" ht="15.75" x14ac:dyDescent="0.25">
      <c r="A102" s="164"/>
      <c r="B102" s="165">
        <f>DATE(21,9,1)</f>
        <v>7915</v>
      </c>
      <c r="C102" s="226">
        <v>28714079.039999999</v>
      </c>
      <c r="D102" s="226">
        <v>3042841.65</v>
      </c>
      <c r="E102" s="226">
        <v>2707604.99</v>
      </c>
      <c r="F102" s="166">
        <f t="shared" si="30"/>
        <v>0.1238129864725946</v>
      </c>
      <c r="G102" s="241">
        <f t="shared" si="31"/>
        <v>0.1059703724351105</v>
      </c>
      <c r="H102" s="242">
        <f t="shared" si="32"/>
        <v>0.89402962756488946</v>
      </c>
      <c r="I102" s="157"/>
    </row>
    <row r="103" spans="1:9" ht="15.75" x14ac:dyDescent="0.25">
      <c r="A103" s="164"/>
      <c r="B103" s="165">
        <f>DATE(21,10,1)</f>
        <v>7945</v>
      </c>
      <c r="C103" s="226">
        <v>30764540.789999999</v>
      </c>
      <c r="D103" s="226">
        <v>3415416.93</v>
      </c>
      <c r="E103" s="226">
        <v>2777127.87</v>
      </c>
      <c r="F103" s="166">
        <f t="shared" si="30"/>
        <v>0.22983783602301325</v>
      </c>
      <c r="G103" s="241">
        <f t="shared" si="31"/>
        <v>0.1110179720644548</v>
      </c>
      <c r="H103" s="242">
        <f t="shared" si="32"/>
        <v>0.88898202793554515</v>
      </c>
      <c r="I103" s="157"/>
    </row>
    <row r="104" spans="1:9" ht="15.75" x14ac:dyDescent="0.25">
      <c r="A104" s="164"/>
      <c r="B104" s="165">
        <f>DATE(21,11,1)</f>
        <v>7976</v>
      </c>
      <c r="C104" s="226">
        <v>26364208.16</v>
      </c>
      <c r="D104" s="226">
        <v>3126811.29</v>
      </c>
      <c r="E104" s="226">
        <v>2545068.2999999998</v>
      </c>
      <c r="F104" s="166">
        <f t="shared" si="30"/>
        <v>0.22857657297448569</v>
      </c>
      <c r="G104" s="241">
        <f t="shared" si="31"/>
        <v>0.11860061455378829</v>
      </c>
      <c r="H104" s="242">
        <f t="shared" si="32"/>
        <v>0.88139938544621166</v>
      </c>
      <c r="I104" s="157"/>
    </row>
    <row r="105" spans="1:9" ht="15.75" x14ac:dyDescent="0.25">
      <c r="A105" s="164"/>
      <c r="B105" s="165">
        <f>DATE(21,12,1)</f>
        <v>8006</v>
      </c>
      <c r="C105" s="226">
        <v>28863732.34</v>
      </c>
      <c r="D105" s="226">
        <v>3080901.79</v>
      </c>
      <c r="E105" s="226">
        <v>3275319.33</v>
      </c>
      <c r="F105" s="166">
        <f t="shared" si="30"/>
        <v>-5.9358346595170017E-2</v>
      </c>
      <c r="G105" s="241">
        <f t="shared" si="31"/>
        <v>0.10673954960878078</v>
      </c>
      <c r="H105" s="242">
        <f t="shared" si="32"/>
        <v>0.89326045039121926</v>
      </c>
      <c r="I105" s="157"/>
    </row>
    <row r="106" spans="1:9" ht="15.75" thickBot="1" x14ac:dyDescent="0.25">
      <c r="A106" s="167"/>
      <c r="B106" s="168"/>
      <c r="C106" s="226"/>
      <c r="D106" s="226"/>
      <c r="E106" s="226"/>
      <c r="F106" s="166"/>
      <c r="G106" s="241"/>
      <c r="H106" s="242"/>
      <c r="I106" s="157"/>
    </row>
    <row r="107" spans="1:9" ht="17.25" thickTop="1" thickBot="1" x14ac:dyDescent="0.3">
      <c r="A107" s="182" t="s">
        <v>14</v>
      </c>
      <c r="B107" s="183"/>
      <c r="C107" s="230">
        <f>SUM(C100:C106)</f>
        <v>176810395.23999998</v>
      </c>
      <c r="D107" s="230">
        <f>SUM(D100:D106)</f>
        <v>19322135.369999997</v>
      </c>
      <c r="E107" s="230">
        <f>SUM(E100:E106)</f>
        <v>17051026.259999998</v>
      </c>
      <c r="F107" s="176">
        <f>(+D107-E107)/E107</f>
        <v>0.13319486319294424</v>
      </c>
      <c r="G107" s="249">
        <f>D107/C107</f>
        <v>0.10928167059279743</v>
      </c>
      <c r="H107" s="246">
        <f>1-G107</f>
        <v>0.89071832940720252</v>
      </c>
      <c r="I107" s="157"/>
    </row>
    <row r="108" spans="1:9" ht="15.75" thickTop="1" x14ac:dyDescent="0.2">
      <c r="A108" s="167"/>
      <c r="B108" s="168"/>
      <c r="C108" s="226"/>
      <c r="D108" s="226"/>
      <c r="E108" s="226"/>
      <c r="F108" s="166"/>
      <c r="G108" s="241"/>
      <c r="H108" s="242"/>
      <c r="I108" s="157"/>
    </row>
    <row r="109" spans="1:9" ht="15.75" x14ac:dyDescent="0.25">
      <c r="A109" s="164" t="s">
        <v>37</v>
      </c>
      <c r="B109" s="165">
        <f>DATE(21,7,1)</f>
        <v>7853</v>
      </c>
      <c r="C109" s="226">
        <v>233748610.44</v>
      </c>
      <c r="D109" s="226">
        <v>21441670.739999998</v>
      </c>
      <c r="E109" s="226">
        <v>17781520.260000002</v>
      </c>
      <c r="F109" s="166">
        <f t="shared" ref="F109:F114" si="33">(+D109-E109)/E109</f>
        <v>0.20584013214177202</v>
      </c>
      <c r="G109" s="241">
        <f t="shared" ref="G109:G114" si="34">D109/C109</f>
        <v>9.1729617984205203E-2</v>
      </c>
      <c r="H109" s="242">
        <f t="shared" ref="H109:H114" si="35">1-G109</f>
        <v>0.9082703820157948</v>
      </c>
      <c r="I109" s="157"/>
    </row>
    <row r="110" spans="1:9" ht="15.75" x14ac:dyDescent="0.25">
      <c r="A110" s="164"/>
      <c r="B110" s="165">
        <f>DATE(21,8,1)</f>
        <v>7884</v>
      </c>
      <c r="C110" s="226">
        <v>213172987.47</v>
      </c>
      <c r="D110" s="226">
        <v>19679228.600000001</v>
      </c>
      <c r="E110" s="226">
        <v>17286123.989999998</v>
      </c>
      <c r="F110" s="166">
        <f t="shared" si="33"/>
        <v>0.13844078703730295</v>
      </c>
      <c r="G110" s="241">
        <f t="shared" si="34"/>
        <v>9.2315770555917526E-2</v>
      </c>
      <c r="H110" s="242">
        <f t="shared" si="35"/>
        <v>0.90768422944408245</v>
      </c>
      <c r="I110" s="157"/>
    </row>
    <row r="111" spans="1:9" ht="15.75" x14ac:dyDescent="0.25">
      <c r="A111" s="164"/>
      <c r="B111" s="165">
        <f>DATE(21,9,1)</f>
        <v>7915</v>
      </c>
      <c r="C111" s="226">
        <v>211086159.19</v>
      </c>
      <c r="D111" s="226">
        <v>19466571.379999999</v>
      </c>
      <c r="E111" s="226">
        <v>16702603.76</v>
      </c>
      <c r="F111" s="166">
        <f t="shared" si="33"/>
        <v>0.16548124230901345</v>
      </c>
      <c r="G111" s="241">
        <f t="shared" si="34"/>
        <v>9.2220974860213425E-2</v>
      </c>
      <c r="H111" s="242">
        <f t="shared" si="35"/>
        <v>0.90777902513978659</v>
      </c>
      <c r="I111" s="157"/>
    </row>
    <row r="112" spans="1:9" ht="15.75" x14ac:dyDescent="0.25">
      <c r="A112" s="164"/>
      <c r="B112" s="165">
        <f>DATE(21,10,1)</f>
        <v>7945</v>
      </c>
      <c r="C112" s="226">
        <v>221465276.75</v>
      </c>
      <c r="D112" s="226">
        <v>20992171.949999999</v>
      </c>
      <c r="E112" s="226">
        <v>17754592.84</v>
      </c>
      <c r="F112" s="166">
        <f t="shared" si="33"/>
        <v>0.18235163932939841</v>
      </c>
      <c r="G112" s="241">
        <f t="shared" si="34"/>
        <v>9.4787644627906661E-2</v>
      </c>
      <c r="H112" s="242">
        <f t="shared" si="35"/>
        <v>0.90521235537209332</v>
      </c>
      <c r="I112" s="157"/>
    </row>
    <row r="113" spans="1:9" ht="15.75" x14ac:dyDescent="0.25">
      <c r="A113" s="164"/>
      <c r="B113" s="165">
        <f>DATE(21,11,1)</f>
        <v>7976</v>
      </c>
      <c r="C113" s="226">
        <v>210964434.34999999</v>
      </c>
      <c r="D113" s="226">
        <v>19425579.760000002</v>
      </c>
      <c r="E113" s="226">
        <v>15307588.33</v>
      </c>
      <c r="F113" s="166">
        <f t="shared" si="33"/>
        <v>0.26901634282452652</v>
      </c>
      <c r="G113" s="241">
        <f t="shared" si="34"/>
        <v>9.2079879814111434E-2</v>
      </c>
      <c r="H113" s="242">
        <f t="shared" si="35"/>
        <v>0.90792012018588852</v>
      </c>
      <c r="I113" s="157"/>
    </row>
    <row r="114" spans="1:9" ht="15.75" x14ac:dyDescent="0.25">
      <c r="A114" s="164"/>
      <c r="B114" s="165">
        <f>DATE(21,12,1)</f>
        <v>8006</v>
      </c>
      <c r="C114" s="226">
        <v>232501845.03</v>
      </c>
      <c r="D114" s="226">
        <v>21621662.719999999</v>
      </c>
      <c r="E114" s="226">
        <v>19390114.289999999</v>
      </c>
      <c r="F114" s="166">
        <f t="shared" si="33"/>
        <v>0.11508691473525089</v>
      </c>
      <c r="G114" s="241">
        <f t="shared" si="34"/>
        <v>9.2995660818132986E-2</v>
      </c>
      <c r="H114" s="242">
        <f t="shared" si="35"/>
        <v>0.90700433918186696</v>
      </c>
      <c r="I114" s="157"/>
    </row>
    <row r="115" spans="1:9" ht="15.75" thickBot="1" x14ac:dyDescent="0.25">
      <c r="A115" s="167"/>
      <c r="B115" s="168"/>
      <c r="C115" s="226"/>
      <c r="D115" s="226"/>
      <c r="E115" s="226"/>
      <c r="F115" s="166"/>
      <c r="G115" s="241"/>
      <c r="H115" s="242"/>
      <c r="I115" s="157"/>
    </row>
    <row r="116" spans="1:9" ht="17.25" thickTop="1" thickBot="1" x14ac:dyDescent="0.3">
      <c r="A116" s="174" t="s">
        <v>14</v>
      </c>
      <c r="B116" s="175"/>
      <c r="C116" s="228">
        <f>SUM(C109:C115)</f>
        <v>1322939313.2299998</v>
      </c>
      <c r="D116" s="228">
        <f>SUM(D109:D115)</f>
        <v>122626885.15000001</v>
      </c>
      <c r="E116" s="228">
        <f>SUM(E109:E115)</f>
        <v>104222543.47</v>
      </c>
      <c r="F116" s="176">
        <f>(+D116-E116)/E116</f>
        <v>0.17658695582782064</v>
      </c>
      <c r="G116" s="245">
        <f>D116/C116</f>
        <v>9.2692751605213425E-2</v>
      </c>
      <c r="H116" s="246">
        <f>1-G116</f>
        <v>0.9073072483947866</v>
      </c>
      <c r="I116" s="157"/>
    </row>
    <row r="117" spans="1:9" ht="15.75" thickTop="1" x14ac:dyDescent="0.2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5.75" x14ac:dyDescent="0.25">
      <c r="A118" s="164" t="s">
        <v>58</v>
      </c>
      <c r="B118" s="165">
        <f>DATE(21,7,1)</f>
        <v>7853</v>
      </c>
      <c r="C118" s="226">
        <v>34083326.159999996</v>
      </c>
      <c r="D118" s="226">
        <v>3963905.07</v>
      </c>
      <c r="E118" s="226">
        <v>3357321.79</v>
      </c>
      <c r="F118" s="166">
        <f t="shared" ref="F118:F123" si="36">(+D118-E118)/E118</f>
        <v>0.18067475146610829</v>
      </c>
      <c r="G118" s="241">
        <f t="shared" ref="G118:G123" si="37">D118/C118</f>
        <v>0.11630041772894856</v>
      </c>
      <c r="H118" s="242">
        <f t="shared" ref="H118:H123" si="38">1-G118</f>
        <v>0.88369958227105139</v>
      </c>
      <c r="I118" s="157"/>
    </row>
    <row r="119" spans="1:9" ht="15.75" x14ac:dyDescent="0.25">
      <c r="A119" s="164"/>
      <c r="B119" s="165">
        <f>DATE(21,8,1)</f>
        <v>7884</v>
      </c>
      <c r="C119" s="226">
        <v>34540166.32</v>
      </c>
      <c r="D119" s="226">
        <v>3797696.16</v>
      </c>
      <c r="E119" s="226">
        <v>3360444.04</v>
      </c>
      <c r="F119" s="166">
        <f t="shared" si="36"/>
        <v>0.13011736389456438</v>
      </c>
      <c r="G119" s="241">
        <f t="shared" si="37"/>
        <v>0.10995014108548161</v>
      </c>
      <c r="H119" s="242">
        <f t="shared" si="38"/>
        <v>0.89004985891451838</v>
      </c>
      <c r="I119" s="157"/>
    </row>
    <row r="120" spans="1:9" ht="15.75" x14ac:dyDescent="0.25">
      <c r="A120" s="164"/>
      <c r="B120" s="165">
        <f>DATE(21,9,1)</f>
        <v>7915</v>
      </c>
      <c r="C120" s="226">
        <v>32245918.620000001</v>
      </c>
      <c r="D120" s="226">
        <v>3519488.37</v>
      </c>
      <c r="E120" s="226">
        <v>3031984.28</v>
      </c>
      <c r="F120" s="166">
        <f t="shared" si="36"/>
        <v>0.16078714299930352</v>
      </c>
      <c r="G120" s="241">
        <f t="shared" si="37"/>
        <v>0.10914523513735767</v>
      </c>
      <c r="H120" s="242">
        <f t="shared" si="38"/>
        <v>0.89085476486264237</v>
      </c>
      <c r="I120" s="157"/>
    </row>
    <row r="121" spans="1:9" ht="15.75" x14ac:dyDescent="0.25">
      <c r="A121" s="164"/>
      <c r="B121" s="165">
        <f>DATE(21,10,1)</f>
        <v>7945</v>
      </c>
      <c r="C121" s="226">
        <v>35165394.68</v>
      </c>
      <c r="D121" s="226">
        <v>3955357.96</v>
      </c>
      <c r="E121" s="226">
        <v>2770053.1200000001</v>
      </c>
      <c r="F121" s="166">
        <f t="shared" si="36"/>
        <v>0.42789967868919415</v>
      </c>
      <c r="G121" s="241">
        <f t="shared" si="37"/>
        <v>0.11247870231496575</v>
      </c>
      <c r="H121" s="242">
        <f t="shared" si="38"/>
        <v>0.88752129768503429</v>
      </c>
      <c r="I121" s="157"/>
    </row>
    <row r="122" spans="1:9" ht="15.75" x14ac:dyDescent="0.25">
      <c r="A122" s="164"/>
      <c r="B122" s="165">
        <f>DATE(21,11,1)</f>
        <v>7976</v>
      </c>
      <c r="C122" s="226">
        <v>32606589.75</v>
      </c>
      <c r="D122" s="226">
        <v>3600834.91</v>
      </c>
      <c r="E122" s="226">
        <v>2396488.16</v>
      </c>
      <c r="F122" s="166">
        <f t="shared" si="36"/>
        <v>0.50254650538311019</v>
      </c>
      <c r="G122" s="241">
        <f t="shared" si="37"/>
        <v>0.110432735763175</v>
      </c>
      <c r="H122" s="242">
        <f t="shared" si="38"/>
        <v>0.88956726423682497</v>
      </c>
      <c r="I122" s="157"/>
    </row>
    <row r="123" spans="1:9" ht="15.75" x14ac:dyDescent="0.25">
      <c r="A123" s="164"/>
      <c r="B123" s="165">
        <f>DATE(21,12,1)</f>
        <v>8006</v>
      </c>
      <c r="C123" s="226">
        <v>36407288.43</v>
      </c>
      <c r="D123" s="226">
        <v>3929490.08</v>
      </c>
      <c r="E123" s="226">
        <v>2648752.5099999998</v>
      </c>
      <c r="F123" s="166">
        <f t="shared" si="36"/>
        <v>0.48352481598969788</v>
      </c>
      <c r="G123" s="241">
        <f t="shared" si="37"/>
        <v>0.10793141289704118</v>
      </c>
      <c r="H123" s="242">
        <f t="shared" si="38"/>
        <v>0.89206858710295878</v>
      </c>
      <c r="I123" s="157"/>
    </row>
    <row r="124" spans="1:9" ht="15.75" thickBot="1" x14ac:dyDescent="0.25">
      <c r="A124" s="167"/>
      <c r="B124" s="168"/>
      <c r="C124" s="226"/>
      <c r="D124" s="226"/>
      <c r="E124" s="226"/>
      <c r="F124" s="166"/>
      <c r="G124" s="241"/>
      <c r="H124" s="242"/>
      <c r="I124" s="157"/>
    </row>
    <row r="125" spans="1:9" ht="17.25" thickTop="1" thickBot="1" x14ac:dyDescent="0.3">
      <c r="A125" s="169" t="s">
        <v>14</v>
      </c>
      <c r="B125" s="155"/>
      <c r="C125" s="223">
        <f>SUM(C118:C124)</f>
        <v>205048683.96000001</v>
      </c>
      <c r="D125" s="223">
        <f>SUM(D118:D124)</f>
        <v>22766772.550000004</v>
      </c>
      <c r="E125" s="223">
        <f>SUM(E118:E124)</f>
        <v>17565043.899999999</v>
      </c>
      <c r="F125" s="176">
        <f>(+D125-E125)/E125</f>
        <v>0.29614094218119241</v>
      </c>
      <c r="G125" s="245">
        <f>D125/C125</f>
        <v>0.11103105911394801</v>
      </c>
      <c r="H125" s="246">
        <f>1-G125</f>
        <v>0.88896894088605194</v>
      </c>
      <c r="I125" s="157"/>
    </row>
    <row r="126" spans="1:9" ht="16.5" thickTop="1" thickBot="1" x14ac:dyDescent="0.25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7.25" thickTop="1" thickBot="1" x14ac:dyDescent="0.3">
      <c r="A127" s="184" t="s">
        <v>38</v>
      </c>
      <c r="B127" s="155"/>
      <c r="C127" s="223">
        <f>C125+C116+C89+C71+C53+C35+C17+C44+C107+C26+C80+C98+C62</f>
        <v>8453531508.1400003</v>
      </c>
      <c r="D127" s="223">
        <f>D125+D116+D89+D71+D53+D35+D17+D44+D107+D26+D80+D98+D62</f>
        <v>818231642.61000001</v>
      </c>
      <c r="E127" s="223">
        <f>E125+E116+E89+E71+E53+E35+E17+E44+E107+E26+E80+E98+E62</f>
        <v>675011705.82000005</v>
      </c>
      <c r="F127" s="170">
        <f>(+D127-E127)/E127</f>
        <v>0.21217400462117508</v>
      </c>
      <c r="G127" s="236">
        <f>D127/C127</f>
        <v>9.6791694905509679E-2</v>
      </c>
      <c r="H127" s="237">
        <f>1-G127</f>
        <v>0.90320830509449035</v>
      </c>
      <c r="I127" s="157"/>
    </row>
    <row r="128" spans="1:9" ht="17.25" thickTop="1" thickBot="1" x14ac:dyDescent="0.3">
      <c r="A128" s="184"/>
      <c r="B128" s="155"/>
      <c r="C128" s="223"/>
      <c r="D128" s="223"/>
      <c r="E128" s="223"/>
      <c r="F128" s="170"/>
      <c r="G128" s="236"/>
      <c r="H128" s="237"/>
      <c r="I128" s="157"/>
    </row>
    <row r="129" spans="1:9" ht="17.25" thickTop="1" thickBot="1" x14ac:dyDescent="0.3">
      <c r="A129" s="184" t="s">
        <v>39</v>
      </c>
      <c r="B129" s="155"/>
      <c r="C129" s="223">
        <f>SUM(C15+C24+C33+C42+C51+C60+C69+C78+C87+C96+C105+C114+C123)</f>
        <v>1452034201.75</v>
      </c>
      <c r="D129" s="223">
        <f>SUM(D15+D24+D33+D42+D51+D60+D69+D78+D87+D96+D105+D114+D123)</f>
        <v>140277780.16</v>
      </c>
      <c r="E129" s="223">
        <f>SUM(E15+E24+E33+E42+E51+E60+E69+E78+E87+E96+E105+E114+E123)</f>
        <v>115882136.48</v>
      </c>
      <c r="F129" s="170">
        <f>(+D129-E129)/E129</f>
        <v>0.21052117626611427</v>
      </c>
      <c r="G129" s="236">
        <f>D129/C129</f>
        <v>9.6607765843901197E-2</v>
      </c>
      <c r="H129" s="246">
        <f>1-G129</f>
        <v>0.90339223415609882</v>
      </c>
      <c r="I129" s="157"/>
    </row>
    <row r="130" spans="1:9" ht="16.5" thickTop="1" x14ac:dyDescent="0.25">
      <c r="A130" s="185"/>
      <c r="B130" s="186"/>
      <c r="C130" s="231"/>
      <c r="D130" s="231"/>
      <c r="E130" s="231"/>
      <c r="F130" s="187"/>
      <c r="G130" s="250"/>
      <c r="H130" s="250"/>
      <c r="I130" s="151"/>
    </row>
    <row r="131" spans="1:9" ht="16.5" customHeight="1" x14ac:dyDescent="0.3">
      <c r="A131" s="188" t="s">
        <v>49</v>
      </c>
      <c r="B131" s="189"/>
      <c r="C131" s="232"/>
      <c r="D131" s="232"/>
      <c r="E131" s="232"/>
      <c r="F131" s="190"/>
      <c r="G131" s="251"/>
      <c r="H131" s="251"/>
      <c r="I131" s="151"/>
    </row>
    <row r="132" spans="1:9" ht="15.75" x14ac:dyDescent="0.25">
      <c r="A132" s="191"/>
      <c r="B132" s="189"/>
      <c r="C132" s="232"/>
      <c r="D132" s="232"/>
      <c r="E132" s="232"/>
      <c r="F132" s="190"/>
      <c r="G132" s="257"/>
      <c r="H132" s="257"/>
      <c r="I132" s="151"/>
    </row>
    <row r="133" spans="1:9" ht="15.75" x14ac:dyDescent="0.25">
      <c r="A133" s="72"/>
      <c r="I133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2" manualBreakCount="2">
    <brk id="53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2022-01-06T16:43:49Z</cp:lastPrinted>
  <dcterms:created xsi:type="dcterms:W3CDTF">2003-09-09T14:41:43Z</dcterms:created>
  <dcterms:modified xsi:type="dcterms:W3CDTF">2022-01-07T14:32:44Z</dcterms:modified>
</cp:coreProperties>
</file>