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4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STATS'!$A$1:$M$169</definedName>
    <definedName name="_xlnm.Print_Area" localSheetId="4">'SLOT STATS'!$A$1:$I$170</definedName>
    <definedName name="_xlnm.Print_Area" localSheetId="2">'TABLE STATS'!$A$1:$H$169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<sst xmlns="http://schemas.openxmlformats.org/spreadsheetml/2006/main" count="241" uniqueCount="79">
  <si>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</si>
  <si>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</si>
  <si>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</si>
  <si>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</si>
  <si>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</si>
  <si>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</si>
  <si>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</si>
  <si>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</si>
  <si>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</si>
  <si>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</si>
  <si>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</si>
  <si>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</si>
  <si>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</si>
  <si>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</si>
  <si>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</si>
  <si>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</si>
  <si>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</si>
  <si>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</si>
  <si>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</si>
  <si>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</si>
  <si>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</si>
  <si>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</si>
  <si>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</si>
  <si>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</si>
  <si>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</si>
  <si>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</si>
  <si>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</si>
  <si>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</si>
  <si>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</si>
  <si>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</si>
  <si>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</si>
  <si>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</si>
  <si>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</si>
  <si>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</si>
  <si>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</si>
  <si>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</si>
  <si>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</si>
  <si>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</si>
  <si>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</si>
  <si>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</si>
  <si>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</si>
  <si>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</si>
  <si>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</si>
  <si>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</si>
  <si>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</si>
  <si>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</si>
  <si>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</si>
  <si>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</si>
  <si>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</si>
  <si>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</si>
  <si>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</si>
  <si>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</si>
  <si>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</si>
  <si>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</si>
  <si>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</si>
  <si>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</si>
  <si>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</si>
  <si>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</si>
  <si>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</si>
  <si>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</si>
  <si>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</si>
  <si>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</si>
  <si>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</si>
  <si>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</si>
  <si>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</si>
  <si>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</si>
  <si>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</si>
  <si>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</si>
  <si>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</si>
  <si>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</si>
  <si>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</si>
  <si>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</si>
  <si>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MARCH 31, 2022</t>
  </si>
  <si>
    <t>(as reported on the tax remittal database dtd 4/7/22)</t>
  </si>
  <si>
    <t>FOR THE MONTH ENDED:   MARCH 31, 2022</t>
  </si>
  <si>
    <t>THRU MONTH ENDED:   MARCH 31, 2022</t>
  </si>
  <si>
    <t>(as reported on the tax remittal database as of 4/7/22)</t>
  </si>
  <si>
    <t>THRU MONTH ENDED:    MARCH 31, 2022</t>
  </si>
  <si>
    <t>THRU MONTH ENDED:     MARCH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</si>
</sst>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"/>
  <sheetViews>
    <sheetView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aca="true" t="shared" si="0" ref="E9:E17">(+C9-D9)/D9</f>
        <v>0.23612431172444553</v>
      </c>
      <c r="F9" s="21">
        <f>+C9-107437</f>
        <v>125366</v>
      </c>
      <c r="G9" s="21">
        <f>+D9-87391</f>
        <v>100942</v>
      </c>
      <c r="H9" s="23">
        <f aca="true" t="shared" si="1" ref="H9:H17">(+F9-G9)/G9</f>
        <v>0.24196072992411483</v>
      </c>
      <c r="I9" s="24">
        <f aca="true" t="shared" si="2" ref="I9:I17">K9/C9</f>
        <v>68.46766841492592</v>
      </c>
      <c r="J9" s="24">
        <f aca="true" t="shared" si="3" ref="J9:J17">K9/F9</f>
        <v>127.14355255810985</v>
      </c>
      <c r="K9" s="21">
        <v>15939478.61</v>
      </c>
      <c r="L9" s="21">
        <v>13615214.89</v>
      </c>
      <c r="M9" s="25">
        <f aca="true" t="shared" si="4" ref="M9:M17">(+K9-L9)/L9</f>
        <v>0.17071076283247694</v>
      </c>
      <c r="N9" s="10"/>
      <c r="R9" s="2"/>
    </row>
    <row r="10" spans="1:18" ht="15.75">
      <c r="A10" s="19"/>
      <c r="B10" s="20">
        <f>DATE(2021,8,1)</f>
        <v>44409</v>
      </c>
      <c r="C10" s="21">
        <v>224849</v>
      </c>
      <c r="D10" s="22">
        <v>193126</v>
      </c>
      <c r="E10" s="23">
        <f t="shared" si="0"/>
        <v>0.16426063813261807</v>
      </c>
      <c r="F10" s="21">
        <f>+C10-102898</f>
        <v>121951</v>
      </c>
      <c r="G10" s="21">
        <f>+D10-88951</f>
        <v>104175</v>
      </c>
      <c r="H10" s="23">
        <f t="shared" si="1"/>
        <v>0.17063594912407007</v>
      </c>
      <c r="I10" s="24">
        <f t="shared" si="2"/>
        <v>67.05209771891357</v>
      </c>
      <c r="J10" s="24">
        <f t="shared" si="3"/>
        <v>123.62831891497405</v>
      </c>
      <c r="K10" s="21">
        <v>15076597.12</v>
      </c>
      <c r="L10" s="21">
        <v>12620487.54</v>
      </c>
      <c r="M10" s="25">
        <f t="shared" si="4"/>
        <v>0.19461289211018865</v>
      </c>
      <c r="N10" s="10"/>
      <c r="R10" s="2"/>
    </row>
    <row r="11" spans="1:18" ht="15.7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0.047246815820771115</v>
      </c>
      <c r="F11" s="21">
        <f>+C11-93968</f>
        <v>112082</v>
      </c>
      <c r="G11" s="21">
        <f>+D11-92272</f>
        <v>104482</v>
      </c>
      <c r="H11" s="23">
        <f t="shared" si="1"/>
        <v>0.07273980207117016</v>
      </c>
      <c r="I11" s="24">
        <f t="shared" si="2"/>
        <v>67.3449780150449</v>
      </c>
      <c r="J11" s="24">
        <f t="shared" si="3"/>
        <v>123.8060769793544</v>
      </c>
      <c r="K11" s="21">
        <v>13876432.72</v>
      </c>
      <c r="L11" s="21">
        <v>12429246.59</v>
      </c>
      <c r="M11" s="25">
        <f t="shared" si="4"/>
        <v>0.11643393825369433</v>
      </c>
      <c r="N11" s="10"/>
      <c r="R11" s="2"/>
    </row>
    <row r="12" spans="1:18" ht="15.7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0.0770800728068411</v>
      </c>
      <c r="F12" s="21">
        <f>+C12-100658</f>
        <v>118880</v>
      </c>
      <c r="G12" s="21">
        <f>+D12-94349</f>
        <v>109478</v>
      </c>
      <c r="H12" s="23">
        <f t="shared" si="1"/>
        <v>0.08588026818173514</v>
      </c>
      <c r="I12" s="24">
        <f t="shared" si="2"/>
        <v>69.45936881086645</v>
      </c>
      <c r="J12" s="24">
        <f t="shared" si="3"/>
        <v>128.27196256729476</v>
      </c>
      <c r="K12" s="21">
        <v>15248970.91</v>
      </c>
      <c r="L12" s="21">
        <v>12927551.64</v>
      </c>
      <c r="M12" s="25">
        <f t="shared" si="4"/>
        <v>0.17957145596055027</v>
      </c>
      <c r="N12" s="10"/>
      <c r="R12" s="2"/>
    </row>
    <row r="13" spans="1:18" ht="15.7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0.06440988009389473</v>
      </c>
      <c r="F13" s="21">
        <f>+C13-92874</f>
        <v>108457</v>
      </c>
      <c r="G13" s="21">
        <f>+D13-86903</f>
        <v>102245</v>
      </c>
      <c r="H13" s="23">
        <f t="shared" si="1"/>
        <v>0.06075602718959362</v>
      </c>
      <c r="I13" s="24">
        <f t="shared" si="2"/>
        <v>67.22143206957696</v>
      </c>
      <c r="J13" s="24">
        <f t="shared" si="3"/>
        <v>124.78455185004196</v>
      </c>
      <c r="K13" s="21">
        <v>13533758.14</v>
      </c>
      <c r="L13" s="21">
        <v>11277470.82</v>
      </c>
      <c r="M13" s="25">
        <f t="shared" si="4"/>
        <v>0.2000703310177131</v>
      </c>
      <c r="N13" s="10"/>
      <c r="R13" s="2"/>
    </row>
    <row r="14" spans="1:18" ht="15.7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0.0846865501132214</v>
      </c>
      <c r="F14" s="21">
        <f>+C14-99427</f>
        <v>113254</v>
      </c>
      <c r="G14" s="21">
        <f>+D14-87128</f>
        <v>108948</v>
      </c>
      <c r="H14" s="23">
        <f t="shared" si="1"/>
        <v>0.03952344237617946</v>
      </c>
      <c r="I14" s="24">
        <f t="shared" si="2"/>
        <v>68.6965723313319</v>
      </c>
      <c r="J14" s="24">
        <f t="shared" si="3"/>
        <v>129.00608985113107</v>
      </c>
      <c r="K14" s="21">
        <v>14610455.7</v>
      </c>
      <c r="L14" s="21">
        <v>12509643.11</v>
      </c>
      <c r="M14" s="25">
        <f t="shared" si="4"/>
        <v>0.16793545359584602</v>
      </c>
      <c r="N14" s="10"/>
      <c r="R14" s="2"/>
    </row>
    <row r="15" spans="1:18" ht="15.75">
      <c r="A15" s="19"/>
      <c r="B15" s="20">
        <f>DATE(2022,1,1)</f>
        <v>44562</v>
      </c>
      <c r="C15" s="21">
        <v>183563</v>
      </c>
      <c r="D15" s="22">
        <v>210729</v>
      </c>
      <c r="E15" s="23">
        <f t="shared" si="0"/>
        <v>-0.12891438767326757</v>
      </c>
      <c r="F15" s="21">
        <f>+C15-87679</f>
        <v>95884</v>
      </c>
      <c r="G15" s="21">
        <f>+D15-99046</f>
        <v>111683</v>
      </c>
      <c r="H15" s="23">
        <f t="shared" si="1"/>
        <v>-0.1414628905025832</v>
      </c>
      <c r="I15" s="24">
        <f t="shared" si="2"/>
        <v>69.31889345892145</v>
      </c>
      <c r="J15" s="24">
        <f t="shared" si="3"/>
        <v>132.7060201910642</v>
      </c>
      <c r="K15" s="21">
        <v>12724384.04</v>
      </c>
      <c r="L15" s="21">
        <v>12803823.94</v>
      </c>
      <c r="M15" s="25">
        <f t="shared" si="4"/>
        <v>-0.006204388655472279</v>
      </c>
      <c r="N15" s="10"/>
      <c r="R15" s="2"/>
    </row>
    <row r="16" spans="1:18" ht="15.75">
      <c r="A16" s="19"/>
      <c r="B16" s="20">
        <f>DATE(2022,2,1)</f>
        <v>44593</v>
      </c>
      <c r="C16" s="21">
        <v>198133</v>
      </c>
      <c r="D16" s="22">
        <v>178806</v>
      </c>
      <c r="E16" s="23">
        <f t="shared" si="0"/>
        <v>0.10808921400847846</v>
      </c>
      <c r="F16" s="21">
        <f>+C16-96112</f>
        <v>102021</v>
      </c>
      <c r="G16" s="21">
        <f>+D16-83686</f>
        <v>95120</v>
      </c>
      <c r="H16" s="23">
        <f t="shared" si="1"/>
        <v>0.07255046257359125</v>
      </c>
      <c r="I16" s="24">
        <f t="shared" si="2"/>
        <v>70.47199391317953</v>
      </c>
      <c r="J16" s="24">
        <f t="shared" si="3"/>
        <v>136.86228884249323</v>
      </c>
      <c r="K16" s="21">
        <v>13962827.57</v>
      </c>
      <c r="L16" s="21">
        <v>11350808.92</v>
      </c>
      <c r="M16" s="25">
        <f t="shared" si="4"/>
        <v>0.23011740118342158</v>
      </c>
      <c r="N16" s="10"/>
      <c r="R16" s="2"/>
    </row>
    <row r="17" spans="1:18" ht="15.75">
      <c r="A17" s="19"/>
      <c r="B17" s="20">
        <f>DATE(2022,3,1)</f>
        <v>44621</v>
      </c>
      <c r="C17" s="21">
        <v>229277</v>
      </c>
      <c r="D17" s="22">
        <v>244635</v>
      </c>
      <c r="E17" s="23">
        <f t="shared" si="0"/>
        <v>-0.06277924254501605</v>
      </c>
      <c r="F17" s="21">
        <f>+C17-111679</f>
        <v>117598</v>
      </c>
      <c r="G17" s="21">
        <f>+D17-117147</f>
        <v>127488</v>
      </c>
      <c r="H17" s="23">
        <f t="shared" si="1"/>
        <v>-0.07757592871485944</v>
      </c>
      <c r="I17" s="24">
        <f t="shared" si="2"/>
        <v>69.01812105008352</v>
      </c>
      <c r="J17" s="24">
        <f t="shared" si="3"/>
        <v>134.56238830592358</v>
      </c>
      <c r="K17" s="21">
        <v>15824267.74</v>
      </c>
      <c r="L17" s="21">
        <v>16347135.13</v>
      </c>
      <c r="M17" s="25">
        <f t="shared" si="4"/>
        <v>-0.0319852613832281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Bot="1" thickTop="1">
      <c r="A19" s="26" t="s">
        <v>14</v>
      </c>
      <c r="B19" s="27"/>
      <c r="C19" s="28">
        <f>SUM(C9:C18)</f>
        <v>1908225</v>
      </c>
      <c r="D19" s="28">
        <f>SUM(D9:D18)</f>
        <v>1801434</v>
      </c>
      <c r="E19" s="279">
        <f>(+C19-D19)/D19</f>
        <v>0.05928110605217843</v>
      </c>
      <c r="F19" s="28">
        <f>SUM(F9:F18)</f>
        <v>1015493</v>
      </c>
      <c r="G19" s="28">
        <f>SUM(G9:G18)</f>
        <v>964561</v>
      </c>
      <c r="H19" s="30">
        <f>(+F19-G19)/G19</f>
        <v>0.05280329600719913</v>
      </c>
      <c r="I19" s="31">
        <f>K19/C19</f>
        <v>68.54389422106932</v>
      </c>
      <c r="J19" s="31">
        <f>K19/F19</f>
        <v>128.80164860811448</v>
      </c>
      <c r="K19" s="28">
        <f>SUM(K9:K18)</f>
        <v>130797172.55</v>
      </c>
      <c r="L19" s="28">
        <f>SUM(L9:L18)</f>
        <v>115881382.58</v>
      </c>
      <c r="M19" s="32">
        <f>(+K19-L19)/L19</f>
        <v>0.12871601665351826</v>
      </c>
      <c r="N19" s="10"/>
      <c r="R19" s="2"/>
    </row>
    <row r="20" spans="1:18" ht="15.75" customHeight="1" thickTop="1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>
      <c r="A21" s="19" t="s">
        <v>15</v>
      </c>
      <c r="B21" s="20">
        <f>DATE(2021,7,1)</f>
        <v>44378</v>
      </c>
      <c r="C21" s="21">
        <v>116107</v>
      </c>
      <c r="D21" s="21">
        <v>79471</v>
      </c>
      <c r="E21" s="23">
        <f aca="true" t="shared" si="5" ref="E21:E29">(+C21-D21)/D21</f>
        <v>0.4609983515999547</v>
      </c>
      <c r="F21" s="21">
        <f>+C21-56210</f>
        <v>59897</v>
      </c>
      <c r="G21" s="21">
        <f>+D21-38596</f>
        <v>40875</v>
      </c>
      <c r="H21" s="23">
        <f aca="true" t="shared" si="6" ref="H21:H29">(+F21-G21)/G21</f>
        <v>0.46537003058103976</v>
      </c>
      <c r="I21" s="24">
        <f aca="true" t="shared" si="7" ref="I21:I29">K21/C21</f>
        <v>69.40955885519392</v>
      </c>
      <c r="J21" s="24">
        <f aca="true" t="shared" si="8" ref="J21:J29">K21/F21</f>
        <v>134.54656577124064</v>
      </c>
      <c r="K21" s="21">
        <v>8058935.65</v>
      </c>
      <c r="L21" s="21">
        <v>5613318.03</v>
      </c>
      <c r="M21" s="25">
        <f aca="true" t="shared" si="9" ref="M21:M29">(+K21-L21)/L21</f>
        <v>0.43568128634963516</v>
      </c>
      <c r="N21" s="10"/>
      <c r="R21" s="2"/>
    </row>
    <row r="22" spans="1:18" ht="15.75">
      <c r="A22" s="19"/>
      <c r="B22" s="20">
        <f>DATE(2021,8,1)</f>
        <v>44409</v>
      </c>
      <c r="C22" s="21">
        <v>103353</v>
      </c>
      <c r="D22" s="21">
        <v>88234</v>
      </c>
      <c r="E22" s="23">
        <f t="shared" si="5"/>
        <v>0.171351179817304</v>
      </c>
      <c r="F22" s="21">
        <f>+C22-50446</f>
        <v>52907</v>
      </c>
      <c r="G22" s="21">
        <f>+D22-41802</f>
        <v>46432</v>
      </c>
      <c r="H22" s="23">
        <f t="shared" si="6"/>
        <v>0.1394512405237767</v>
      </c>
      <c r="I22" s="24">
        <f t="shared" si="7"/>
        <v>69.56882344973054</v>
      </c>
      <c r="J22" s="24">
        <f t="shared" si="8"/>
        <v>135.90161245203848</v>
      </c>
      <c r="K22" s="21">
        <v>7190146.61</v>
      </c>
      <c r="L22" s="21">
        <v>5994552.23</v>
      </c>
      <c r="M22" s="25">
        <f t="shared" si="9"/>
        <v>0.19944682006715952</v>
      </c>
      <c r="N22" s="10"/>
      <c r="R22" s="2"/>
    </row>
    <row r="23" spans="1:18" ht="15.75">
      <c r="A23" s="19"/>
      <c r="B23" s="20">
        <f>DATE(2021,9,1)</f>
        <v>44440</v>
      </c>
      <c r="C23" s="21">
        <v>103596</v>
      </c>
      <c r="D23" s="21">
        <v>90948</v>
      </c>
      <c r="E23" s="23">
        <f t="shared" si="5"/>
        <v>0.1390684786911202</v>
      </c>
      <c r="F23" s="21">
        <f>+C23-49808</f>
        <v>53788</v>
      </c>
      <c r="G23" s="21">
        <f>+D23-42310</f>
        <v>48638</v>
      </c>
      <c r="H23" s="23">
        <f t="shared" si="6"/>
        <v>0.10588428800526338</v>
      </c>
      <c r="I23" s="24">
        <f t="shared" si="7"/>
        <v>73.64861683848798</v>
      </c>
      <c r="J23" s="24">
        <f t="shared" si="8"/>
        <v>141.847663233435</v>
      </c>
      <c r="K23" s="21">
        <v>7629702.11</v>
      </c>
      <c r="L23" s="21">
        <v>5908744.66</v>
      </c>
      <c r="M23" s="25">
        <f t="shared" si="9"/>
        <v>0.2912560195146426</v>
      </c>
      <c r="N23" s="10"/>
      <c r="R23" s="2"/>
    </row>
    <row r="24" spans="1:18" ht="15.75">
      <c r="A24" s="19"/>
      <c r="B24" s="20">
        <f>DATE(2021,10,1)</f>
        <v>44470</v>
      </c>
      <c r="C24" s="21">
        <v>110079</v>
      </c>
      <c r="D24" s="21">
        <v>87099</v>
      </c>
      <c r="E24" s="23">
        <f t="shared" si="5"/>
        <v>0.26383770192539524</v>
      </c>
      <c r="F24" s="21">
        <f>+C24-53226</f>
        <v>56853</v>
      </c>
      <c r="G24" s="21">
        <f>+D24-41806</f>
        <v>45293</v>
      </c>
      <c r="H24" s="23">
        <f t="shared" si="6"/>
        <v>0.2552270770317709</v>
      </c>
      <c r="I24" s="24">
        <f t="shared" si="7"/>
        <v>71.212890378728</v>
      </c>
      <c r="J24" s="24">
        <f t="shared" si="8"/>
        <v>137.88267567234797</v>
      </c>
      <c r="K24" s="21">
        <v>7839043.76</v>
      </c>
      <c r="L24" s="21">
        <v>5716409.89</v>
      </c>
      <c r="M24" s="25">
        <f t="shared" si="9"/>
        <v>0.371322895111708</v>
      </c>
      <c r="N24" s="10"/>
      <c r="R24" s="2"/>
    </row>
    <row r="25" spans="1:18" ht="15.75">
      <c r="A25" s="19"/>
      <c r="B25" s="20">
        <f>DATE(2021,11,1)</f>
        <v>44501</v>
      </c>
      <c r="C25" s="21">
        <v>95314</v>
      </c>
      <c r="D25" s="21">
        <v>77783</v>
      </c>
      <c r="E25" s="23">
        <f t="shared" si="5"/>
        <v>0.22538343854055515</v>
      </c>
      <c r="F25" s="21">
        <f>+C25-46228</f>
        <v>49086</v>
      </c>
      <c r="G25" s="21">
        <f>+D25-37695</f>
        <v>40088</v>
      </c>
      <c r="H25" s="23">
        <f t="shared" si="6"/>
        <v>0.2244561963679904</v>
      </c>
      <c r="I25" s="24">
        <f t="shared" si="7"/>
        <v>71.30182491554231</v>
      </c>
      <c r="J25" s="24">
        <f t="shared" si="8"/>
        <v>138.4521480666585</v>
      </c>
      <c r="K25" s="21">
        <v>6796062.14</v>
      </c>
      <c r="L25" s="21">
        <v>5349459.87</v>
      </c>
      <c r="M25" s="25">
        <f t="shared" si="9"/>
        <v>0.27042024898861416</v>
      </c>
      <c r="N25" s="10"/>
      <c r="R25" s="2"/>
    </row>
    <row r="26" spans="1:18" ht="15.75">
      <c r="A26" s="19"/>
      <c r="B26" s="20">
        <f>DATE(2021,12,1)</f>
        <v>44531</v>
      </c>
      <c r="C26" s="21">
        <v>104553</v>
      </c>
      <c r="D26" s="21">
        <v>82440</v>
      </c>
      <c r="E26" s="23">
        <f t="shared" si="5"/>
        <v>0.2682314410480349</v>
      </c>
      <c r="F26" s="21">
        <f>+C26-51073</f>
        <v>53480</v>
      </c>
      <c r="G26" s="21">
        <f>+D26-39978</f>
        <v>42462</v>
      </c>
      <c r="H26" s="23">
        <f t="shared" si="6"/>
        <v>0.2594790636333663</v>
      </c>
      <c r="I26" s="24">
        <f t="shared" si="7"/>
        <v>70.66472411121633</v>
      </c>
      <c r="J26" s="24">
        <f t="shared" si="8"/>
        <v>138.14900710546</v>
      </c>
      <c r="K26" s="21">
        <v>7388208.9</v>
      </c>
      <c r="L26" s="21">
        <v>5764475.49</v>
      </c>
      <c r="M26" s="25">
        <f t="shared" si="9"/>
        <v>0.28167929811078096</v>
      </c>
      <c r="N26" s="10"/>
      <c r="R26" s="2"/>
    </row>
    <row r="27" spans="1:18" ht="15.75">
      <c r="A27" s="19"/>
      <c r="B27" s="20">
        <f>DATE(2022,1,1)</f>
        <v>44562</v>
      </c>
      <c r="C27" s="21">
        <v>85873</v>
      </c>
      <c r="D27" s="21">
        <v>104157</v>
      </c>
      <c r="E27" s="23">
        <f t="shared" si="5"/>
        <v>-0.17554269036166556</v>
      </c>
      <c r="F27" s="21">
        <f>+C27-42515</f>
        <v>43358</v>
      </c>
      <c r="G27" s="21">
        <f>+D27-51234</f>
        <v>52923</v>
      </c>
      <c r="H27" s="23">
        <f t="shared" si="6"/>
        <v>-0.18073427432307315</v>
      </c>
      <c r="I27" s="24">
        <f t="shared" si="7"/>
        <v>77.58539599175526</v>
      </c>
      <c r="J27" s="24">
        <f t="shared" si="8"/>
        <v>153.66231629687715</v>
      </c>
      <c r="K27" s="21">
        <v>6662490.71</v>
      </c>
      <c r="L27" s="21">
        <v>7090798.8</v>
      </c>
      <c r="M27" s="25">
        <f t="shared" si="9"/>
        <v>-0.060403362453324706</v>
      </c>
      <c r="N27" s="10"/>
      <c r="R27" s="2"/>
    </row>
    <row r="28" spans="1:18" ht="15.75">
      <c r="A28" s="19"/>
      <c r="B28" s="20">
        <f>DATE(2022,2,1)</f>
        <v>44593</v>
      </c>
      <c r="C28" s="21">
        <v>95434</v>
      </c>
      <c r="D28" s="21">
        <v>88005</v>
      </c>
      <c r="E28" s="23">
        <f t="shared" si="5"/>
        <v>0.08441565820123857</v>
      </c>
      <c r="F28" s="21">
        <f>+C28-47101</f>
        <v>48333</v>
      </c>
      <c r="G28" s="21">
        <f>+D28-42481</f>
        <v>45524</v>
      </c>
      <c r="H28" s="23">
        <f t="shared" si="6"/>
        <v>0.06170371672085054</v>
      </c>
      <c r="I28" s="24">
        <f t="shared" si="7"/>
        <v>69.15959940901566</v>
      </c>
      <c r="J28" s="24">
        <f t="shared" si="8"/>
        <v>136.55633231953323</v>
      </c>
      <c r="K28" s="21">
        <v>6600177.21</v>
      </c>
      <c r="L28" s="21">
        <v>5981667.35</v>
      </c>
      <c r="M28" s="25">
        <f t="shared" si="9"/>
        <v>0.10340091212193543</v>
      </c>
      <c r="N28" s="10"/>
      <c r="R28" s="2"/>
    </row>
    <row r="29" spans="1:18" ht="15.75">
      <c r="A29" s="19"/>
      <c r="B29" s="20">
        <f>DATE(2022,3,1)</f>
        <v>44621</v>
      </c>
      <c r="C29" s="21">
        <v>109835</v>
      </c>
      <c r="D29" s="21">
        <v>126994</v>
      </c>
      <c r="E29" s="23">
        <f t="shared" si="5"/>
        <v>-0.13511661968281966</v>
      </c>
      <c r="F29" s="21">
        <f>+C29-53778</f>
        <v>56057</v>
      </c>
      <c r="G29" s="21">
        <f>+D29-62056</f>
        <v>64938</v>
      </c>
      <c r="H29" s="23">
        <f t="shared" si="6"/>
        <v>-0.13676121839292865</v>
      </c>
      <c r="I29" s="24">
        <f t="shared" si="7"/>
        <v>72.31004042427277</v>
      </c>
      <c r="J29" s="24">
        <f t="shared" si="8"/>
        <v>141.68031271741265</v>
      </c>
      <c r="K29" s="21">
        <v>7942173.29</v>
      </c>
      <c r="L29" s="21">
        <v>8861243.96</v>
      </c>
      <c r="M29" s="25">
        <f t="shared" si="9"/>
        <v>-0.10371801906693028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26" t="s">
        <v>14</v>
      </c>
      <c r="B31" s="27"/>
      <c r="C31" s="28">
        <f>SUM(C21:C30)</f>
        <v>924144</v>
      </c>
      <c r="D31" s="28">
        <f>SUM(D21:D30)</f>
        <v>825131</v>
      </c>
      <c r="E31" s="279">
        <f>(+C31-D31)/D31</f>
        <v>0.11999670355373875</v>
      </c>
      <c r="F31" s="28">
        <f>SUM(F21:F30)</f>
        <v>473759</v>
      </c>
      <c r="G31" s="28">
        <f>SUM(G21:G30)</f>
        <v>427173</v>
      </c>
      <c r="H31" s="30">
        <f>(+F31-G31)/G31</f>
        <v>0.1090565180851786</v>
      </c>
      <c r="I31" s="31">
        <f>K31/C31</f>
        <v>71.53315974566735</v>
      </c>
      <c r="J31" s="31">
        <f>K31/F31</f>
        <v>139.53706500562524</v>
      </c>
      <c r="K31" s="28">
        <f>SUM(K21:K30)</f>
        <v>66106940.38</v>
      </c>
      <c r="L31" s="28">
        <f>SUM(L21:L30)</f>
        <v>56280670.28</v>
      </c>
      <c r="M31" s="32">
        <f>(+K31-L31)/L31</f>
        <v>0.17459404891792632</v>
      </c>
      <c r="N31" s="10"/>
      <c r="R31" s="2"/>
    </row>
    <row r="32" spans="1:18" ht="15.75" customHeight="1" thickTop="1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>
      <c r="A33" s="19" t="s">
        <v>64</v>
      </c>
      <c r="B33" s="20">
        <f>DATE(2021,7,1)</f>
        <v>44378</v>
      </c>
      <c r="C33" s="21">
        <v>66837</v>
      </c>
      <c r="D33" s="21">
        <v>53105</v>
      </c>
      <c r="E33" s="23">
        <f aca="true" t="shared" si="10" ref="E33:E41">(+C33-D33)/D33</f>
        <v>0.2585820544204877</v>
      </c>
      <c r="F33" s="21">
        <f>+C33-37212</f>
        <v>29625</v>
      </c>
      <c r="G33" s="21">
        <f>+D33-28880</f>
        <v>24225</v>
      </c>
      <c r="H33" s="23">
        <f aca="true" t="shared" si="11" ref="H33:H41">(+F33-G33)/G33</f>
        <v>0.22291021671826625</v>
      </c>
      <c r="I33" s="24">
        <f aca="true" t="shared" si="12" ref="I33:I41">K33/C33</f>
        <v>68.82434804075586</v>
      </c>
      <c r="J33" s="24">
        <f aca="true" t="shared" si="13" ref="J33:J41">K33/F33</f>
        <v>155.27469873417724</v>
      </c>
      <c r="K33" s="21">
        <v>4600012.95</v>
      </c>
      <c r="L33" s="21">
        <v>3467756.6</v>
      </c>
      <c r="M33" s="25">
        <f aca="true" t="shared" si="14" ref="M33:M41">(+K33-L33)/L33</f>
        <v>0.32650975273178057</v>
      </c>
      <c r="N33" s="10"/>
      <c r="R33" s="2"/>
    </row>
    <row r="34" spans="1:18" ht="15.75" customHeight="1">
      <c r="A34" s="19"/>
      <c r="B34" s="20">
        <f>DATE(2021,8,1)</f>
        <v>44409</v>
      </c>
      <c r="C34" s="21">
        <v>56112</v>
      </c>
      <c r="D34" s="21">
        <v>52610</v>
      </c>
      <c r="E34" s="23">
        <f t="shared" si="10"/>
        <v>0.06656529176962554</v>
      </c>
      <c r="F34" s="21">
        <f>+C34-31048</f>
        <v>25064</v>
      </c>
      <c r="G34" s="21">
        <f>+D34-28661</f>
        <v>23949</v>
      </c>
      <c r="H34" s="23">
        <f t="shared" si="11"/>
        <v>0.046557267526827845</v>
      </c>
      <c r="I34" s="24">
        <f t="shared" si="12"/>
        <v>68.40065387082977</v>
      </c>
      <c r="J34" s="24">
        <f t="shared" si="13"/>
        <v>153.13188198212578</v>
      </c>
      <c r="K34" s="21">
        <v>3838097.49</v>
      </c>
      <c r="L34" s="21">
        <v>3296321</v>
      </c>
      <c r="M34" s="25">
        <f t="shared" si="14"/>
        <v>0.1643579281265387</v>
      </c>
      <c r="N34" s="10"/>
      <c r="R34" s="2"/>
    </row>
    <row r="35" spans="1:18" ht="15.75" customHeight="1">
      <c r="A35" s="19"/>
      <c r="B35" s="20">
        <f>DATE(2021,9,1)</f>
        <v>44440</v>
      </c>
      <c r="C35" s="21">
        <v>58084</v>
      </c>
      <c r="D35" s="21">
        <v>50852</v>
      </c>
      <c r="E35" s="23">
        <f t="shared" si="10"/>
        <v>0.1422166286478408</v>
      </c>
      <c r="F35" s="21">
        <f>+C35-32339</f>
        <v>25745</v>
      </c>
      <c r="G35" s="21">
        <f>+D35-27986</f>
        <v>22866</v>
      </c>
      <c r="H35" s="23">
        <f t="shared" si="11"/>
        <v>0.12590746085891716</v>
      </c>
      <c r="I35" s="24">
        <f t="shared" si="12"/>
        <v>70.35700519936644</v>
      </c>
      <c r="J35" s="24">
        <f t="shared" si="13"/>
        <v>158.7343674499903</v>
      </c>
      <c r="K35" s="21">
        <v>4086616.29</v>
      </c>
      <c r="L35" s="21">
        <v>3100357.68</v>
      </c>
      <c r="M35" s="25">
        <f t="shared" si="14"/>
        <v>0.3181112348301696</v>
      </c>
      <c r="N35" s="10"/>
      <c r="R35" s="2"/>
    </row>
    <row r="36" spans="1:18" ht="15.75" customHeight="1">
      <c r="A36" s="19"/>
      <c r="B36" s="20">
        <f>DATE(2021,10,1)</f>
        <v>44470</v>
      </c>
      <c r="C36" s="21">
        <v>57860</v>
      </c>
      <c r="D36" s="21">
        <v>51263</v>
      </c>
      <c r="E36" s="23">
        <f t="shared" si="10"/>
        <v>0.12868930807795095</v>
      </c>
      <c r="F36" s="21">
        <f>+C36-32287</f>
        <v>25573</v>
      </c>
      <c r="G36" s="21">
        <f>+D36-28269</f>
        <v>22994</v>
      </c>
      <c r="H36" s="23">
        <f t="shared" si="11"/>
        <v>0.11215969383317387</v>
      </c>
      <c r="I36" s="24">
        <f t="shared" si="12"/>
        <v>70.91193587970965</v>
      </c>
      <c r="J36" s="24">
        <f t="shared" si="13"/>
        <v>160.441270480585</v>
      </c>
      <c r="K36" s="21">
        <v>4102964.61</v>
      </c>
      <c r="L36" s="21">
        <v>3378391.93</v>
      </c>
      <c r="M36" s="25">
        <f t="shared" si="14"/>
        <v>0.21447265297013648</v>
      </c>
      <c r="N36" s="10"/>
      <c r="R36" s="2"/>
    </row>
    <row r="37" spans="1:18" ht="15.75" customHeight="1">
      <c r="A37" s="19"/>
      <c r="B37" s="20">
        <f>DATE(2021,11,1)</f>
        <v>44501</v>
      </c>
      <c r="C37" s="21">
        <v>51753</v>
      </c>
      <c r="D37" s="21">
        <v>45747</v>
      </c>
      <c r="E37" s="23">
        <f t="shared" si="10"/>
        <v>0.13128729752770674</v>
      </c>
      <c r="F37" s="21">
        <f>+C37-28958</f>
        <v>22795</v>
      </c>
      <c r="G37" s="21">
        <f>+D37-25343</f>
        <v>20404</v>
      </c>
      <c r="H37" s="23">
        <f t="shared" si="11"/>
        <v>0.11718290531268379</v>
      </c>
      <c r="I37" s="24">
        <f t="shared" si="12"/>
        <v>71.42343400382586</v>
      </c>
      <c r="J37" s="24">
        <f t="shared" si="13"/>
        <v>162.1573581925861</v>
      </c>
      <c r="K37" s="21">
        <v>3696376.98</v>
      </c>
      <c r="L37" s="21">
        <v>3048022.62</v>
      </c>
      <c r="M37" s="25">
        <f t="shared" si="14"/>
        <v>0.21271310644013522</v>
      </c>
      <c r="N37" s="10"/>
      <c r="R37" s="2"/>
    </row>
    <row r="38" spans="1:18" ht="15.75" customHeight="1">
      <c r="A38" s="19"/>
      <c r="B38" s="20">
        <f>DATE(2021,12,1)</f>
        <v>44531</v>
      </c>
      <c r="C38" s="21">
        <v>57109</v>
      </c>
      <c r="D38" s="21">
        <v>50018</v>
      </c>
      <c r="E38" s="23">
        <f t="shared" si="10"/>
        <v>0.14176896317325763</v>
      </c>
      <c r="F38" s="21">
        <f>+C38-32118</f>
        <v>24991</v>
      </c>
      <c r="G38" s="21">
        <f>+D38-28141</f>
        <v>21877</v>
      </c>
      <c r="H38" s="23">
        <f t="shared" si="11"/>
        <v>0.14234127165516294</v>
      </c>
      <c r="I38" s="24">
        <f t="shared" si="12"/>
        <v>68.90257857780735</v>
      </c>
      <c r="J38" s="24">
        <f t="shared" si="13"/>
        <v>157.45497819214916</v>
      </c>
      <c r="K38" s="21">
        <v>3934957.36</v>
      </c>
      <c r="L38" s="21">
        <v>3361201.53</v>
      </c>
      <c r="M38" s="25">
        <f t="shared" si="14"/>
        <v>0.17069962181053752</v>
      </c>
      <c r="N38" s="10"/>
      <c r="R38" s="2"/>
    </row>
    <row r="39" spans="1:18" ht="15.75" customHeight="1">
      <c r="A39" s="19"/>
      <c r="B39" s="20">
        <f>DATE(2022,1,1)</f>
        <v>44562</v>
      </c>
      <c r="C39" s="21">
        <v>47271</v>
      </c>
      <c r="D39" s="21">
        <v>63172</v>
      </c>
      <c r="E39" s="23">
        <f t="shared" si="10"/>
        <v>-0.25170961818527193</v>
      </c>
      <c r="F39" s="21">
        <f>+C39-26698</f>
        <v>20573</v>
      </c>
      <c r="G39" s="21">
        <f>+D39-35403</f>
        <v>27769</v>
      </c>
      <c r="H39" s="23">
        <f t="shared" si="11"/>
        <v>-0.2591378875724729</v>
      </c>
      <c r="I39" s="24">
        <f t="shared" si="12"/>
        <v>72.67101309470922</v>
      </c>
      <c r="J39" s="24">
        <f t="shared" si="13"/>
        <v>166.97766295630194</v>
      </c>
      <c r="K39" s="21">
        <v>3435231.46</v>
      </c>
      <c r="L39" s="21">
        <v>4085224.99</v>
      </c>
      <c r="M39" s="25">
        <f t="shared" si="14"/>
        <v>-0.15910837997688843</v>
      </c>
      <c r="N39" s="10"/>
      <c r="R39" s="2"/>
    </row>
    <row r="40" spans="1:18" ht="15.75" customHeight="1">
      <c r="A40" s="19"/>
      <c r="B40" s="20">
        <f>DATE(2022,2,1)</f>
        <v>44593</v>
      </c>
      <c r="C40" s="21">
        <v>51279</v>
      </c>
      <c r="D40" s="21">
        <v>41909</v>
      </c>
      <c r="E40" s="23">
        <f t="shared" si="10"/>
        <v>0.22357966069340715</v>
      </c>
      <c r="F40" s="21">
        <f>+C40-29313</f>
        <v>21966</v>
      </c>
      <c r="G40" s="21">
        <f>+D40-23822</f>
        <v>18087</v>
      </c>
      <c r="H40" s="23">
        <f t="shared" si="11"/>
        <v>0.21446342677060873</v>
      </c>
      <c r="I40" s="24">
        <f t="shared" si="12"/>
        <v>73.89855691413639</v>
      </c>
      <c r="J40" s="24">
        <f t="shared" si="13"/>
        <v>172.51407174724574</v>
      </c>
      <c r="K40" s="21">
        <v>3789444.1</v>
      </c>
      <c r="L40" s="21">
        <v>3031713.02</v>
      </c>
      <c r="M40" s="25">
        <f t="shared" si="14"/>
        <v>0.2499349625117222</v>
      </c>
      <c r="N40" s="10"/>
      <c r="R40" s="2"/>
    </row>
    <row r="41" spans="1:18" ht="15.75" customHeight="1">
      <c r="A41" s="19"/>
      <c r="B41" s="20">
        <f>DATE(2022,3,1)</f>
        <v>44621</v>
      </c>
      <c r="C41" s="21">
        <v>60768</v>
      </c>
      <c r="D41" s="21">
        <v>74273</v>
      </c>
      <c r="E41" s="23">
        <f t="shared" si="10"/>
        <v>-0.18182919768960457</v>
      </c>
      <c r="F41" s="21">
        <f>+C41-33441</f>
        <v>27327</v>
      </c>
      <c r="G41" s="21">
        <f>+D41-40831</f>
        <v>33442</v>
      </c>
      <c r="H41" s="23">
        <f t="shared" si="11"/>
        <v>-0.1828538962980683</v>
      </c>
      <c r="I41" s="24">
        <f t="shared" si="12"/>
        <v>78.84804601105844</v>
      </c>
      <c r="J41" s="24">
        <f t="shared" si="13"/>
        <v>175.3371412888352</v>
      </c>
      <c r="K41" s="21">
        <v>4791438.06</v>
      </c>
      <c r="L41" s="21">
        <v>5344383.05</v>
      </c>
      <c r="M41" s="25">
        <f t="shared" si="14"/>
        <v>-0.1034628290724783</v>
      </c>
      <c r="N41" s="10"/>
      <c r="R41" s="2"/>
    </row>
    <row r="42" spans="1:18" ht="15.75" customHeight="1" thickBot="1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40"/>
      <c r="C43" s="41">
        <f>SUM(C33:C42)</f>
        <v>507073</v>
      </c>
      <c r="D43" s="41">
        <f>SUM(D33:D42)</f>
        <v>482949</v>
      </c>
      <c r="E43" s="280">
        <f>(+C43-D43)/D43</f>
        <v>0.04995144414834693</v>
      </c>
      <c r="F43" s="41">
        <f>SUM(F33:F42)</f>
        <v>223659</v>
      </c>
      <c r="G43" s="41">
        <f>SUM(G33:G42)</f>
        <v>215613</v>
      </c>
      <c r="H43" s="42">
        <f>(+F43-G43)/G43</f>
        <v>0.03731685937304337</v>
      </c>
      <c r="I43" s="43">
        <f>K43/C43</f>
        <v>71.53829783877273</v>
      </c>
      <c r="J43" s="43">
        <f>K43/F43</f>
        <v>162.1894906978928</v>
      </c>
      <c r="K43" s="41">
        <f>SUM(K33:K42)</f>
        <v>36275139.300000004</v>
      </c>
      <c r="L43" s="41">
        <f>SUM(L33:L42)</f>
        <v>32113372.42</v>
      </c>
      <c r="M43" s="44">
        <f>(+K43-L43)/L43</f>
        <v>0.12959607062035255</v>
      </c>
      <c r="N43" s="10"/>
      <c r="R43" s="2"/>
    </row>
    <row r="44" spans="1:18" ht="15.75" customHeight="1" thickTop="1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>
      <c r="A45" s="177" t="s">
        <v>59</v>
      </c>
      <c r="B45" s="20">
        <f>DATE(2021,7,1)</f>
        <v>44378</v>
      </c>
      <c r="C45" s="21">
        <v>337225</v>
      </c>
      <c r="D45" s="21">
        <v>226236</v>
      </c>
      <c r="E45" s="23">
        <f aca="true" t="shared" si="15" ref="E45:E53">(+C45-D45)/D45</f>
        <v>0.490589472939762</v>
      </c>
      <c r="F45" s="21">
        <f>+C45-176904</f>
        <v>160321</v>
      </c>
      <c r="G45" s="21">
        <f>+D45-121061</f>
        <v>105175</v>
      </c>
      <c r="H45" s="23">
        <f aca="true" t="shared" si="16" ref="H45:H53">(+F45-G45)/G45</f>
        <v>0.5243261231281198</v>
      </c>
      <c r="I45" s="24">
        <f aca="true" t="shared" si="17" ref="I45:I53">K45/C45</f>
        <v>57.21014625250204</v>
      </c>
      <c r="J45" s="24">
        <f aca="true" t="shared" si="18" ref="J45:J53">K45/F45</f>
        <v>120.33789441183626</v>
      </c>
      <c r="K45" s="21">
        <v>19292691.57</v>
      </c>
      <c r="L45" s="21">
        <v>14578930.95</v>
      </c>
      <c r="M45" s="25">
        <f aca="true" t="shared" si="19" ref="M45:M53">(+K45-L45)/L45</f>
        <v>0.3233269048441444</v>
      </c>
      <c r="N45" s="10"/>
      <c r="R45" s="2"/>
    </row>
    <row r="46" spans="1:18" ht="15.75" customHeight="1">
      <c r="A46" s="177"/>
      <c r="B46" s="20">
        <f>DATE(2021,8,1)</f>
        <v>44409</v>
      </c>
      <c r="C46" s="21">
        <v>302300</v>
      </c>
      <c r="D46" s="21">
        <v>248866</v>
      </c>
      <c r="E46" s="23">
        <f t="shared" si="15"/>
        <v>0.21470992421624488</v>
      </c>
      <c r="F46" s="21">
        <f>+C46-157033</f>
        <v>145267</v>
      </c>
      <c r="G46" s="21">
        <f>+D46-132898</f>
        <v>115968</v>
      </c>
      <c r="H46" s="23">
        <f t="shared" si="16"/>
        <v>0.25264728200883</v>
      </c>
      <c r="I46" s="24">
        <f t="shared" si="17"/>
        <v>58.27415458154152</v>
      </c>
      <c r="J46" s="24">
        <f t="shared" si="18"/>
        <v>121.2682641618537</v>
      </c>
      <c r="K46" s="21">
        <v>17616276.93</v>
      </c>
      <c r="L46" s="21">
        <v>15099078.17</v>
      </c>
      <c r="M46" s="25">
        <f t="shared" si="19"/>
        <v>0.16671208213236238</v>
      </c>
      <c r="N46" s="10"/>
      <c r="R46" s="2"/>
    </row>
    <row r="47" spans="1:18" ht="15.75" customHeight="1">
      <c r="A47" s="177"/>
      <c r="B47" s="20">
        <f>DATE(2021,9,1)</f>
        <v>44440</v>
      </c>
      <c r="C47" s="21">
        <v>336142</v>
      </c>
      <c r="D47" s="21">
        <v>249571</v>
      </c>
      <c r="E47" s="23">
        <f t="shared" si="15"/>
        <v>0.3468792447840494</v>
      </c>
      <c r="F47" s="21">
        <f>+C47-171648</f>
        <v>164494</v>
      </c>
      <c r="G47" s="21">
        <f>+D47-130815</f>
        <v>118756</v>
      </c>
      <c r="H47" s="23">
        <f t="shared" si="16"/>
        <v>0.3851426454242312</v>
      </c>
      <c r="I47" s="24">
        <f t="shared" si="17"/>
        <v>57.68227897733696</v>
      </c>
      <c r="J47" s="24">
        <f t="shared" si="18"/>
        <v>117.87321495008938</v>
      </c>
      <c r="K47" s="21">
        <v>19389436.62</v>
      </c>
      <c r="L47" s="21">
        <v>14932529.18</v>
      </c>
      <c r="M47" s="25">
        <f t="shared" si="19"/>
        <v>0.2984696956741525</v>
      </c>
      <c r="N47" s="10"/>
      <c r="R47" s="2"/>
    </row>
    <row r="48" spans="1:18" ht="15.75" customHeight="1">
      <c r="A48" s="177"/>
      <c r="B48" s="20">
        <f>DATE(2021,10,1)</f>
        <v>44470</v>
      </c>
      <c r="C48" s="21">
        <v>333807</v>
      </c>
      <c r="D48" s="21">
        <v>272084</v>
      </c>
      <c r="E48" s="23">
        <f t="shared" si="15"/>
        <v>0.22685273665485658</v>
      </c>
      <c r="F48" s="21">
        <f>+C48-175822</f>
        <v>157985</v>
      </c>
      <c r="G48" s="21">
        <f>+D48-143559</f>
        <v>128525</v>
      </c>
      <c r="H48" s="23">
        <f t="shared" si="16"/>
        <v>0.2292161058159891</v>
      </c>
      <c r="I48" s="24">
        <f t="shared" si="17"/>
        <v>57.44165035484576</v>
      </c>
      <c r="J48" s="24">
        <f t="shared" si="18"/>
        <v>121.36864246605691</v>
      </c>
      <c r="K48" s="21">
        <v>19174424.98</v>
      </c>
      <c r="L48" s="21">
        <v>15864682.44</v>
      </c>
      <c r="M48" s="25">
        <f t="shared" si="19"/>
        <v>0.2086233085671522</v>
      </c>
      <c r="N48" s="10"/>
      <c r="R48" s="2"/>
    </row>
    <row r="49" spans="1:18" ht="15.75" customHeight="1">
      <c r="A49" s="177"/>
      <c r="B49" s="20">
        <f>DATE(2021,11,1)</f>
        <v>44501</v>
      </c>
      <c r="C49" s="21">
        <v>303436</v>
      </c>
      <c r="D49" s="21">
        <v>232899</v>
      </c>
      <c r="E49" s="23">
        <f t="shared" si="15"/>
        <v>0.30286519049029836</v>
      </c>
      <c r="F49" s="21">
        <f>+C49-164494</f>
        <v>138942</v>
      </c>
      <c r="G49" s="21">
        <f>+D49-123557</f>
        <v>109342</v>
      </c>
      <c r="H49" s="23">
        <f t="shared" si="16"/>
        <v>0.27071024857785664</v>
      </c>
      <c r="I49" s="24">
        <f t="shared" si="17"/>
        <v>62.070287111614974</v>
      </c>
      <c r="J49" s="24">
        <f t="shared" si="18"/>
        <v>135.55555296454637</v>
      </c>
      <c r="K49" s="21">
        <v>18834359.64</v>
      </c>
      <c r="L49" s="21">
        <v>13569514.19</v>
      </c>
      <c r="M49" s="25">
        <f t="shared" si="19"/>
        <v>0.3879907103733978</v>
      </c>
      <c r="N49" s="10"/>
      <c r="R49" s="2"/>
    </row>
    <row r="50" spans="1:18" ht="15.75" customHeight="1">
      <c r="A50" s="177"/>
      <c r="B50" s="20">
        <f>DATE(2021,12,1)</f>
        <v>44531</v>
      </c>
      <c r="C50" s="21">
        <v>313897</v>
      </c>
      <c r="D50" s="21">
        <v>226657</v>
      </c>
      <c r="E50" s="23">
        <f t="shared" si="15"/>
        <v>0.38489876774156545</v>
      </c>
      <c r="F50" s="21">
        <f>+C50-163677</f>
        <v>150220</v>
      </c>
      <c r="G50" s="21">
        <f>+D50-116839</f>
        <v>109818</v>
      </c>
      <c r="H50" s="23">
        <f t="shared" si="16"/>
        <v>0.36789961572784063</v>
      </c>
      <c r="I50" s="24">
        <f t="shared" si="17"/>
        <v>64.83698703714913</v>
      </c>
      <c r="J50" s="24">
        <f t="shared" si="18"/>
        <v>135.48219757688722</v>
      </c>
      <c r="K50" s="21">
        <v>20352135.72</v>
      </c>
      <c r="L50" s="21">
        <v>14713281.02</v>
      </c>
      <c r="M50" s="25">
        <f t="shared" si="19"/>
        <v>0.38324930328830215</v>
      </c>
      <c r="N50" s="10"/>
      <c r="R50" s="2"/>
    </row>
    <row r="51" spans="1:18" ht="15.75" customHeight="1">
      <c r="A51" s="177"/>
      <c r="B51" s="20">
        <f>DATE(2022,1,1)</f>
        <v>44562</v>
      </c>
      <c r="C51" s="21">
        <v>284315</v>
      </c>
      <c r="D51" s="21">
        <v>237906</v>
      </c>
      <c r="E51" s="23">
        <f t="shared" si="15"/>
        <v>0.1950728438963288</v>
      </c>
      <c r="F51" s="21">
        <f>+C51-147505</f>
        <v>136810</v>
      </c>
      <c r="G51" s="21">
        <f>+D51-125011</f>
        <v>112895</v>
      </c>
      <c r="H51" s="23">
        <f t="shared" si="16"/>
        <v>0.2118340050489393</v>
      </c>
      <c r="I51" s="24">
        <f t="shared" si="17"/>
        <v>66.66215690343458</v>
      </c>
      <c r="J51" s="24">
        <f t="shared" si="18"/>
        <v>138.53556859878665</v>
      </c>
      <c r="K51" s="21">
        <v>18953051.14</v>
      </c>
      <c r="L51" s="21">
        <v>14525016.02</v>
      </c>
      <c r="M51" s="25">
        <f t="shared" si="19"/>
        <v>0.30485578218315806</v>
      </c>
      <c r="N51" s="10"/>
      <c r="R51" s="2"/>
    </row>
    <row r="52" spans="1:18" ht="15.75" customHeight="1">
      <c r="A52" s="177"/>
      <c r="B52" s="20">
        <f>DATE(2022,2,1)</f>
        <v>44593</v>
      </c>
      <c r="C52" s="21">
        <v>279152</v>
      </c>
      <c r="D52" s="21">
        <v>199774</v>
      </c>
      <c r="E52" s="23">
        <f t="shared" si="15"/>
        <v>0.39733899306216025</v>
      </c>
      <c r="F52" s="21">
        <f>+C52-149732</f>
        <v>129420</v>
      </c>
      <c r="G52" s="21">
        <f>+D52-106979</f>
        <v>92795</v>
      </c>
      <c r="H52" s="23">
        <f t="shared" si="16"/>
        <v>0.3946872137507409</v>
      </c>
      <c r="I52" s="24">
        <f t="shared" si="17"/>
        <v>62.997042435662294</v>
      </c>
      <c r="J52" s="24">
        <f t="shared" si="18"/>
        <v>135.8812423891207</v>
      </c>
      <c r="K52" s="21">
        <v>17585750.39</v>
      </c>
      <c r="L52" s="21">
        <v>11941559.6</v>
      </c>
      <c r="M52" s="25">
        <f t="shared" si="19"/>
        <v>0.47265105891193654</v>
      </c>
      <c r="N52" s="10"/>
      <c r="R52" s="2"/>
    </row>
    <row r="53" spans="1:18" ht="15.75" customHeight="1">
      <c r="A53" s="177"/>
      <c r="B53" s="20">
        <f>DATE(2022,3,1)</f>
        <v>44621</v>
      </c>
      <c r="C53" s="21">
        <v>343142</v>
      </c>
      <c r="D53" s="21">
        <v>270587</v>
      </c>
      <c r="E53" s="23">
        <f t="shared" si="15"/>
        <v>0.26813926759230855</v>
      </c>
      <c r="F53" s="21">
        <f>+C53-180419</f>
        <v>162723</v>
      </c>
      <c r="G53" s="21">
        <f>+D53-144521</f>
        <v>126066</v>
      </c>
      <c r="H53" s="23">
        <f t="shared" si="16"/>
        <v>0.2907762600542573</v>
      </c>
      <c r="I53" s="24">
        <f t="shared" si="17"/>
        <v>64.45112935752546</v>
      </c>
      <c r="J53" s="24">
        <f t="shared" si="18"/>
        <v>135.91126902773425</v>
      </c>
      <c r="K53" s="21">
        <v>22115889.43</v>
      </c>
      <c r="L53" s="21">
        <v>17573470.74</v>
      </c>
      <c r="M53" s="25">
        <f t="shared" si="19"/>
        <v>0.25848159178145375</v>
      </c>
      <c r="N53" s="10"/>
      <c r="R53" s="2"/>
    </row>
    <row r="54" spans="1:18" ht="15.7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SUM(C45:C54)</f>
        <v>2833416</v>
      </c>
      <c r="D55" s="41">
        <f>SUM(D45:D54)</f>
        <v>2164580</v>
      </c>
      <c r="E55" s="280">
        <f>(+C55-D55)/D55</f>
        <v>0.30899112067930035</v>
      </c>
      <c r="F55" s="41">
        <f>SUM(F45:F54)</f>
        <v>1346182</v>
      </c>
      <c r="G55" s="41">
        <f>SUM(G45:G54)</f>
        <v>1019340</v>
      </c>
      <c r="H55" s="42">
        <f>(+F55-G55)/G55</f>
        <v>0.32064080679655466</v>
      </c>
      <c r="I55" s="43">
        <f>K55/C55</f>
        <v>61.16786819161042</v>
      </c>
      <c r="J55" s="43">
        <f>K55/F55</f>
        <v>128.74486244801966</v>
      </c>
      <c r="K55" s="41">
        <f>SUM(K45:K54)</f>
        <v>173314016.42000002</v>
      </c>
      <c r="L55" s="41">
        <f>SUM(L45:L54)</f>
        <v>132798062.30999997</v>
      </c>
      <c r="M55" s="44">
        <f>(+K55-L55)/L55</f>
        <v>0.30509446753387687</v>
      </c>
      <c r="N55" s="10"/>
      <c r="R55" s="2"/>
    </row>
    <row r="56" spans="1:18" ht="15.75" thickTop="1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62</v>
      </c>
      <c r="B57" s="20">
        <f>DATE(2021,7,1)</f>
        <v>44378</v>
      </c>
      <c r="C57" s="21">
        <v>256229</v>
      </c>
      <c r="D57" s="21">
        <v>260785</v>
      </c>
      <c r="E57" s="23">
        <f aca="true" t="shared" si="20" ref="E57:E65">(+C57-D57)/D57</f>
        <v>-0.017470329965297085</v>
      </c>
      <c r="F57" s="21">
        <f>+C57-120621</f>
        <v>135608</v>
      </c>
      <c r="G57" s="21">
        <f>+D57-121006</f>
        <v>139779</v>
      </c>
      <c r="H57" s="23">
        <f aca="true" t="shared" si="21" ref="H57:H65">(+F57-G57)/G57</f>
        <v>-0.029839961653753425</v>
      </c>
      <c r="I57" s="24">
        <f aca="true" t="shared" si="22" ref="I57:I65">K57/C57</f>
        <v>63.26885781859196</v>
      </c>
      <c r="J57" s="24">
        <f aca="true" t="shared" si="23" ref="J57:J65">K57/F57</f>
        <v>119.54542630228305</v>
      </c>
      <c r="K57" s="21">
        <v>16211316.17</v>
      </c>
      <c r="L57" s="21">
        <v>15798872.49</v>
      </c>
      <c r="M57" s="25">
        <f aca="true" t="shared" si="24" ref="M57:M65">(+K57-L57)/L57</f>
        <v>0.02610589333264501</v>
      </c>
      <c r="N57" s="10"/>
      <c r="R57" s="2"/>
    </row>
    <row r="58" spans="1:18" ht="15.75">
      <c r="A58" s="19"/>
      <c r="B58" s="20">
        <f>DATE(2021,8,1)</f>
        <v>44409</v>
      </c>
      <c r="C58" s="21">
        <v>232853</v>
      </c>
      <c r="D58" s="21">
        <v>267898</v>
      </c>
      <c r="E58" s="23">
        <f t="shared" si="20"/>
        <v>-0.13081471306243422</v>
      </c>
      <c r="F58" s="21">
        <f>+C58-112411</f>
        <v>120442</v>
      </c>
      <c r="G58" s="21">
        <f>+D58-127416</f>
        <v>140482</v>
      </c>
      <c r="H58" s="23">
        <f t="shared" si="21"/>
        <v>-0.14265172762346778</v>
      </c>
      <c r="I58" s="24">
        <f t="shared" si="22"/>
        <v>57.49918424929033</v>
      </c>
      <c r="J58" s="24">
        <f t="shared" si="23"/>
        <v>111.16435753308647</v>
      </c>
      <c r="K58" s="21">
        <v>13388857.55</v>
      </c>
      <c r="L58" s="21">
        <v>15592345.88</v>
      </c>
      <c r="M58" s="25">
        <f t="shared" si="24"/>
        <v>-0.14131858970793945</v>
      </c>
      <c r="N58" s="10"/>
      <c r="R58" s="2"/>
    </row>
    <row r="59" spans="1:18" ht="15.75">
      <c r="A59" s="19"/>
      <c r="B59" s="20">
        <f>DATE(2021,9,1)</f>
        <v>44440</v>
      </c>
      <c r="C59" s="21">
        <v>224419</v>
      </c>
      <c r="D59" s="21">
        <v>245708</v>
      </c>
      <c r="E59" s="23">
        <f t="shared" si="20"/>
        <v>-0.08664349553128103</v>
      </c>
      <c r="F59" s="21">
        <f>+C59-105923</f>
        <v>118496</v>
      </c>
      <c r="G59" s="21">
        <f>+D59-116526</f>
        <v>129182</v>
      </c>
      <c r="H59" s="23">
        <f t="shared" si="21"/>
        <v>-0.0827205028564351</v>
      </c>
      <c r="I59" s="24">
        <f t="shared" si="22"/>
        <v>64.56601571168217</v>
      </c>
      <c r="J59" s="24">
        <f t="shared" si="23"/>
        <v>122.28126417769376</v>
      </c>
      <c r="K59" s="21">
        <v>14489840.68</v>
      </c>
      <c r="L59" s="21">
        <v>14701173.8</v>
      </c>
      <c r="M59" s="25">
        <f t="shared" si="24"/>
        <v>-0.014375254852099024</v>
      </c>
      <c r="N59" s="10"/>
      <c r="R59" s="2"/>
    </row>
    <row r="60" spans="1:18" ht="15.75">
      <c r="A60" s="19"/>
      <c r="B60" s="20">
        <f>DATE(2021,10,1)</f>
        <v>44470</v>
      </c>
      <c r="C60" s="21">
        <v>231892</v>
      </c>
      <c r="D60" s="21">
        <v>252286</v>
      </c>
      <c r="E60" s="23">
        <f t="shared" si="20"/>
        <v>-0.08083682804436235</v>
      </c>
      <c r="F60" s="21">
        <f>+C60-109202</f>
        <v>122690</v>
      </c>
      <c r="G60" s="21">
        <f>+D60-116651</f>
        <v>135635</v>
      </c>
      <c r="H60" s="23">
        <f t="shared" si="21"/>
        <v>-0.09543996755999558</v>
      </c>
      <c r="I60" s="24">
        <f t="shared" si="22"/>
        <v>64.29701227295465</v>
      </c>
      <c r="J60" s="24">
        <f t="shared" si="23"/>
        <v>121.52549327573558</v>
      </c>
      <c r="K60" s="21">
        <v>14909962.77</v>
      </c>
      <c r="L60" s="21">
        <v>14952748.38</v>
      </c>
      <c r="M60" s="25">
        <f t="shared" si="24"/>
        <v>-0.002861387680222655</v>
      </c>
      <c r="N60" s="10"/>
      <c r="R60" s="2"/>
    </row>
    <row r="61" spans="1:18" ht="15.75">
      <c r="A61" s="19"/>
      <c r="B61" s="20">
        <f>DATE(2021,11,1)</f>
        <v>44501</v>
      </c>
      <c r="C61" s="21">
        <v>219677</v>
      </c>
      <c r="D61" s="21">
        <v>229647</v>
      </c>
      <c r="E61" s="23">
        <f t="shared" si="20"/>
        <v>-0.0434144578418181</v>
      </c>
      <c r="F61" s="21">
        <f>+C61-102367</f>
        <v>117310</v>
      </c>
      <c r="G61" s="21">
        <f>+D61-106423</f>
        <v>123224</v>
      </c>
      <c r="H61" s="23">
        <f t="shared" si="21"/>
        <v>-0.047993897292735184</v>
      </c>
      <c r="I61" s="24">
        <f t="shared" si="22"/>
        <v>68.64073125543412</v>
      </c>
      <c r="J61" s="24">
        <f t="shared" si="23"/>
        <v>128.53797562015174</v>
      </c>
      <c r="K61" s="21">
        <v>15078789.92</v>
      </c>
      <c r="L61" s="21">
        <v>12504979.64</v>
      </c>
      <c r="M61" s="25">
        <f t="shared" si="24"/>
        <v>0.20582282851281788</v>
      </c>
      <c r="N61" s="10"/>
      <c r="R61" s="2"/>
    </row>
    <row r="62" spans="1:18" ht="15.75">
      <c r="A62" s="19"/>
      <c r="B62" s="20">
        <f>DATE(2021,12,1)</f>
        <v>44531</v>
      </c>
      <c r="C62" s="21">
        <v>233380</v>
      </c>
      <c r="D62" s="21">
        <v>237315</v>
      </c>
      <c r="E62" s="23">
        <f t="shared" si="20"/>
        <v>-0.016581337041484945</v>
      </c>
      <c r="F62" s="21">
        <f>+C62-110272</f>
        <v>123108</v>
      </c>
      <c r="G62" s="21">
        <f>+D62-109898</f>
        <v>127417</v>
      </c>
      <c r="H62" s="23">
        <f t="shared" si="21"/>
        <v>-0.033818093347041604</v>
      </c>
      <c r="I62" s="24">
        <f t="shared" si="22"/>
        <v>63.50604679064187</v>
      </c>
      <c r="J62" s="24">
        <f t="shared" si="23"/>
        <v>120.39056113331384</v>
      </c>
      <c r="K62" s="21">
        <v>14821041.2</v>
      </c>
      <c r="L62" s="21">
        <v>13196453.23</v>
      </c>
      <c r="M62" s="25">
        <f t="shared" si="24"/>
        <v>0.12310792465863184</v>
      </c>
      <c r="N62" s="10"/>
      <c r="R62" s="2"/>
    </row>
    <row r="63" spans="1:18" ht="15.75">
      <c r="A63" s="19"/>
      <c r="B63" s="20">
        <f>DATE(2022,1,1)</f>
        <v>44562</v>
      </c>
      <c r="C63" s="21">
        <v>196225</v>
      </c>
      <c r="D63" s="21">
        <v>253729</v>
      </c>
      <c r="E63" s="23">
        <f t="shared" si="20"/>
        <v>-0.2266355048102503</v>
      </c>
      <c r="F63" s="21">
        <f>+C63-96553</f>
        <v>99672</v>
      </c>
      <c r="G63" s="21">
        <f>+D63-120009</f>
        <v>133720</v>
      </c>
      <c r="H63" s="23">
        <f t="shared" si="21"/>
        <v>-0.25462159736763385</v>
      </c>
      <c r="I63" s="24">
        <f t="shared" si="22"/>
        <v>71.24136644158492</v>
      </c>
      <c r="J63" s="24">
        <f t="shared" si="23"/>
        <v>140.25340246006903</v>
      </c>
      <c r="K63" s="21">
        <v>13979337.13</v>
      </c>
      <c r="L63" s="21">
        <v>15066308.08</v>
      </c>
      <c r="M63" s="25">
        <f t="shared" si="24"/>
        <v>-0.07214580667196865</v>
      </c>
      <c r="N63" s="10"/>
      <c r="R63" s="2"/>
    </row>
    <row r="64" spans="1:18" ht="15.75">
      <c r="A64" s="19"/>
      <c r="B64" s="20">
        <f>DATE(2022,2,1)</f>
        <v>44593</v>
      </c>
      <c r="C64" s="21">
        <v>198005</v>
      </c>
      <c r="D64" s="21">
        <v>221549</v>
      </c>
      <c r="E64" s="23">
        <f t="shared" si="20"/>
        <v>-0.10626994479776483</v>
      </c>
      <c r="F64" s="21">
        <f>+C64-96853</f>
        <v>101152</v>
      </c>
      <c r="G64" s="21">
        <f>+D64-106025</f>
        <v>115524</v>
      </c>
      <c r="H64" s="23">
        <f t="shared" si="21"/>
        <v>-0.12440704961739552</v>
      </c>
      <c r="I64" s="24">
        <f t="shared" si="22"/>
        <v>61.17057660160097</v>
      </c>
      <c r="J64" s="24">
        <f t="shared" si="23"/>
        <v>119.74137950806707</v>
      </c>
      <c r="K64" s="21">
        <v>12112080.02</v>
      </c>
      <c r="L64" s="21">
        <v>13215921.17</v>
      </c>
      <c r="M64" s="25">
        <f t="shared" si="24"/>
        <v>-0.08352358763350587</v>
      </c>
      <c r="N64" s="10"/>
      <c r="R64" s="2"/>
    </row>
    <row r="65" spans="1:18" ht="15.75">
      <c r="A65" s="19"/>
      <c r="B65" s="20">
        <f>DATE(2022,3,1)</f>
        <v>44621</v>
      </c>
      <c r="C65" s="21">
        <v>227322</v>
      </c>
      <c r="D65" s="21">
        <v>295514</v>
      </c>
      <c r="E65" s="23">
        <f t="shared" si="20"/>
        <v>-0.23075725684739132</v>
      </c>
      <c r="F65" s="21">
        <f>+C65-110886</f>
        <v>116436</v>
      </c>
      <c r="G65" s="21">
        <f>+D65-144217</f>
        <v>151297</v>
      </c>
      <c r="H65" s="23">
        <f t="shared" si="21"/>
        <v>-0.2304143505819679</v>
      </c>
      <c r="I65" s="24">
        <f t="shared" si="22"/>
        <v>74.47557689093004</v>
      </c>
      <c r="J65" s="24">
        <f t="shared" si="23"/>
        <v>145.40122548009208</v>
      </c>
      <c r="K65" s="21">
        <v>16929937.09</v>
      </c>
      <c r="L65" s="21">
        <v>18377395.36</v>
      </c>
      <c r="M65" s="25">
        <f t="shared" si="24"/>
        <v>-0.07876297166411941</v>
      </c>
      <c r="N65" s="10"/>
      <c r="R65" s="2"/>
    </row>
    <row r="66" spans="1:18" ht="15.75" thickBot="1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SUM(C57:C66)</f>
        <v>2020002</v>
      </c>
      <c r="D67" s="41">
        <f>SUM(D57:D66)</f>
        <v>2264431</v>
      </c>
      <c r="E67" s="281">
        <f>(+C67-D67)/D67</f>
        <v>-0.10794279004306159</v>
      </c>
      <c r="F67" s="47">
        <f>SUM(F57:F66)</f>
        <v>1054914</v>
      </c>
      <c r="G67" s="48">
        <f>SUM(G57:G66)</f>
        <v>1196260</v>
      </c>
      <c r="H67" s="49">
        <f>(+F67-G67)/G67</f>
        <v>-0.11815658803270192</v>
      </c>
      <c r="I67" s="50">
        <f>K67/C67</f>
        <v>65.30744154213708</v>
      </c>
      <c r="J67" s="51">
        <f>K67/F67</f>
        <v>125.05394992388005</v>
      </c>
      <c r="K67" s="48">
        <f>SUM(K57:K66)</f>
        <v>131921162.53</v>
      </c>
      <c r="L67" s="47">
        <f>SUM(L57:L66)</f>
        <v>133406198.03</v>
      </c>
      <c r="M67" s="44">
        <f>(+K67-L67)/L67</f>
        <v>-0.011131682949738583</v>
      </c>
      <c r="N67" s="10"/>
      <c r="R67" s="2"/>
    </row>
    <row r="68" spans="1:18" ht="15.75" customHeight="1" thickTop="1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274" t="s">
        <v>63</v>
      </c>
      <c r="B69" s="20">
        <f>DATE(2021,7,1)</f>
        <v>44378</v>
      </c>
      <c r="C69" s="21">
        <v>104293</v>
      </c>
      <c r="D69" s="21">
        <v>75978</v>
      </c>
      <c r="E69" s="23">
        <f aca="true" t="shared" si="25" ref="E69:E77">(+C69-D69)/D69</f>
        <v>0.3726736686935692</v>
      </c>
      <c r="F69" s="21">
        <f>+C69-51816</f>
        <v>52477</v>
      </c>
      <c r="G69" s="21">
        <f>+D69-36462</f>
        <v>39516</v>
      </c>
      <c r="H69" s="23">
        <f aca="true" t="shared" si="26" ref="H69:H77">(+F69-G69)/G69</f>
        <v>0.3279937240611398</v>
      </c>
      <c r="I69" s="24">
        <f aca="true" t="shared" si="27" ref="I69:I77">K69/C69</f>
        <v>62.066719147018496</v>
      </c>
      <c r="J69" s="24">
        <f aca="true" t="shared" si="28" ref="J69:J77">K69/F69</f>
        <v>123.35164624502163</v>
      </c>
      <c r="K69" s="21">
        <v>6473124.34</v>
      </c>
      <c r="L69" s="21">
        <v>5007129.57</v>
      </c>
      <c r="M69" s="25">
        <f aca="true" t="shared" si="29" ref="M69:M77">(+K69-L69)/L69</f>
        <v>0.2927814727989952</v>
      </c>
      <c r="N69" s="10"/>
      <c r="R69" s="2"/>
    </row>
    <row r="70" spans="1:18" ht="15.75">
      <c r="A70" s="274"/>
      <c r="B70" s="20">
        <f>DATE(2021,8,1)</f>
        <v>44409</v>
      </c>
      <c r="C70" s="21">
        <v>93122</v>
      </c>
      <c r="D70" s="21">
        <v>75051</v>
      </c>
      <c r="E70" s="23">
        <f t="shared" si="25"/>
        <v>0.24078293427136213</v>
      </c>
      <c r="F70" s="21">
        <f>+C70-46288</f>
        <v>46834</v>
      </c>
      <c r="G70" s="21">
        <f>+D70-37094</f>
        <v>37957</v>
      </c>
      <c r="H70" s="23">
        <f t="shared" si="26"/>
        <v>0.23386990541929026</v>
      </c>
      <c r="I70" s="24">
        <f t="shared" si="27"/>
        <v>62.99818163269689</v>
      </c>
      <c r="J70" s="24">
        <f t="shared" si="28"/>
        <v>125.2619180509886</v>
      </c>
      <c r="K70" s="21">
        <v>5866516.67</v>
      </c>
      <c r="L70" s="21">
        <v>4962926.8</v>
      </c>
      <c r="M70" s="25">
        <f t="shared" si="29"/>
        <v>0.18206794224730458</v>
      </c>
      <c r="N70" s="10"/>
      <c r="R70" s="2"/>
    </row>
    <row r="71" spans="1:18" ht="15.75">
      <c r="A71" s="274"/>
      <c r="B71" s="20">
        <f>DATE(2021,9,1)</f>
        <v>44440</v>
      </c>
      <c r="C71" s="21">
        <v>92204</v>
      </c>
      <c r="D71" s="21">
        <v>76058</v>
      </c>
      <c r="E71" s="23">
        <f t="shared" si="25"/>
        <v>0.21228536117173735</v>
      </c>
      <c r="F71" s="21">
        <f>+C71-46055</f>
        <v>46149</v>
      </c>
      <c r="G71" s="21">
        <f>+D71-37383</f>
        <v>38675</v>
      </c>
      <c r="H71" s="23">
        <f t="shared" si="26"/>
        <v>0.19325145442792502</v>
      </c>
      <c r="I71" s="24">
        <f t="shared" si="27"/>
        <v>64.95561103639756</v>
      </c>
      <c r="J71" s="24">
        <f t="shared" si="28"/>
        <v>129.7789152527682</v>
      </c>
      <c r="K71" s="21">
        <v>5989167.16</v>
      </c>
      <c r="L71" s="21">
        <v>4981639.06</v>
      </c>
      <c r="M71" s="25">
        <f t="shared" si="29"/>
        <v>0.2022483138310708</v>
      </c>
      <c r="N71" s="10"/>
      <c r="R71" s="2"/>
    </row>
    <row r="72" spans="1:18" ht="15.75">
      <c r="A72" s="274"/>
      <c r="B72" s="20">
        <f>DATE(2021,10,1)</f>
        <v>44470</v>
      </c>
      <c r="C72" s="21">
        <v>93325</v>
      </c>
      <c r="D72" s="21">
        <v>79279</v>
      </c>
      <c r="E72" s="23">
        <f t="shared" si="25"/>
        <v>0.177171760491429</v>
      </c>
      <c r="F72" s="21">
        <f>+C72-46461</f>
        <v>46864</v>
      </c>
      <c r="G72" s="21">
        <f>+D72-39288</f>
        <v>39991</v>
      </c>
      <c r="H72" s="23">
        <f t="shared" si="26"/>
        <v>0.17186366932559827</v>
      </c>
      <c r="I72" s="24">
        <f t="shared" si="27"/>
        <v>61.77048818644521</v>
      </c>
      <c r="J72" s="24">
        <f t="shared" si="28"/>
        <v>123.0097902441106</v>
      </c>
      <c r="K72" s="21">
        <v>5764730.81</v>
      </c>
      <c r="L72" s="21">
        <v>4994174.39</v>
      </c>
      <c r="M72" s="25">
        <f t="shared" si="29"/>
        <v>0.15429105189897063</v>
      </c>
      <c r="N72" s="10"/>
      <c r="R72" s="2"/>
    </row>
    <row r="73" spans="1:18" ht="15.75">
      <c r="A73" s="274"/>
      <c r="B73" s="20">
        <f>DATE(2021,11,1)</f>
        <v>44501</v>
      </c>
      <c r="C73" s="21">
        <v>87600</v>
      </c>
      <c r="D73" s="21">
        <v>73436</v>
      </c>
      <c r="E73" s="23">
        <f t="shared" si="25"/>
        <v>0.19287542894493165</v>
      </c>
      <c r="F73" s="21">
        <f>+C73-43575</f>
        <v>44025</v>
      </c>
      <c r="G73" s="21">
        <f>+D73-36298</f>
        <v>37138</v>
      </c>
      <c r="H73" s="23">
        <f t="shared" si="26"/>
        <v>0.18544348107060155</v>
      </c>
      <c r="I73" s="24">
        <f t="shared" si="27"/>
        <v>64.90401312785387</v>
      </c>
      <c r="J73" s="24">
        <f t="shared" si="28"/>
        <v>129.14461215218626</v>
      </c>
      <c r="K73" s="21">
        <v>5685591.55</v>
      </c>
      <c r="L73" s="21">
        <v>4495841.55</v>
      </c>
      <c r="M73" s="25">
        <f t="shared" si="29"/>
        <v>0.264633436647695</v>
      </c>
      <c r="N73" s="10"/>
      <c r="R73" s="2"/>
    </row>
    <row r="74" spans="1:18" ht="15.75">
      <c r="A74" s="274"/>
      <c r="B74" s="20">
        <f>DATE(2021,12,1)</f>
        <v>44531</v>
      </c>
      <c r="C74" s="21">
        <v>97815</v>
      </c>
      <c r="D74" s="21">
        <v>90053</v>
      </c>
      <c r="E74" s="23">
        <f t="shared" si="25"/>
        <v>0.08619368594050171</v>
      </c>
      <c r="F74" s="21">
        <f>+C74-49840</f>
        <v>47975</v>
      </c>
      <c r="G74" s="21">
        <f>+D74-45539</f>
        <v>44514</v>
      </c>
      <c r="H74" s="23">
        <f t="shared" si="26"/>
        <v>0.07775081996675204</v>
      </c>
      <c r="I74" s="24">
        <f t="shared" si="27"/>
        <v>64.46978367326075</v>
      </c>
      <c r="J74" s="24">
        <f t="shared" si="28"/>
        <v>131.44579239187075</v>
      </c>
      <c r="K74" s="21">
        <v>6306111.89</v>
      </c>
      <c r="L74" s="21">
        <v>6136762.63</v>
      </c>
      <c r="M74" s="25">
        <f t="shared" si="29"/>
        <v>0.027595862869475168</v>
      </c>
      <c r="N74" s="10"/>
      <c r="R74" s="2"/>
    </row>
    <row r="75" spans="1:18" ht="15.75">
      <c r="A75" s="274"/>
      <c r="B75" s="20">
        <f>DATE(2022,1,1)</f>
        <v>44562</v>
      </c>
      <c r="C75" s="21">
        <v>84178</v>
      </c>
      <c r="D75" s="21">
        <v>102968</v>
      </c>
      <c r="E75" s="23">
        <f t="shared" si="25"/>
        <v>-0.1824838784865201</v>
      </c>
      <c r="F75" s="21">
        <f>+C75-43196</f>
        <v>40982</v>
      </c>
      <c r="G75" s="21">
        <f>+D75-52033</f>
        <v>50935</v>
      </c>
      <c r="H75" s="23">
        <f t="shared" si="26"/>
        <v>-0.19540590949249043</v>
      </c>
      <c r="I75" s="24">
        <f t="shared" si="27"/>
        <v>65.99175188291478</v>
      </c>
      <c r="J75" s="24">
        <f t="shared" si="28"/>
        <v>135.54862354204286</v>
      </c>
      <c r="K75" s="21">
        <v>5555053.69</v>
      </c>
      <c r="L75" s="21">
        <v>6814377.93</v>
      </c>
      <c r="M75" s="25">
        <f t="shared" si="29"/>
        <v>-0.1848039913453992</v>
      </c>
      <c r="N75" s="10"/>
      <c r="R75" s="2"/>
    </row>
    <row r="76" spans="1:18" ht="15.75">
      <c r="A76" s="274"/>
      <c r="B76" s="20">
        <f>DATE(2022,2,1)</f>
        <v>44593</v>
      </c>
      <c r="C76" s="21">
        <v>86324</v>
      </c>
      <c r="D76" s="21">
        <v>73388</v>
      </c>
      <c r="E76" s="23">
        <f t="shared" si="25"/>
        <v>0.17626859977107975</v>
      </c>
      <c r="F76" s="21">
        <f>+C76-44518</f>
        <v>41806</v>
      </c>
      <c r="G76" s="21">
        <f>+D76-36566</f>
        <v>36822</v>
      </c>
      <c r="H76" s="23">
        <f t="shared" si="26"/>
        <v>0.13535386453750475</v>
      </c>
      <c r="I76" s="24">
        <f t="shared" si="27"/>
        <v>63.11742041610676</v>
      </c>
      <c r="J76" s="24">
        <f t="shared" si="28"/>
        <v>130.32933550208105</v>
      </c>
      <c r="K76" s="21">
        <v>5448548.2</v>
      </c>
      <c r="L76" s="21">
        <v>4944353.36</v>
      </c>
      <c r="M76" s="25">
        <f t="shared" si="29"/>
        <v>0.10197386863142804</v>
      </c>
      <c r="N76" s="10"/>
      <c r="R76" s="2"/>
    </row>
    <row r="77" spans="1:18" ht="15.75">
      <c r="A77" s="274"/>
      <c r="B77" s="20">
        <f>DATE(2022,3,1)</f>
        <v>44621</v>
      </c>
      <c r="C77" s="21">
        <v>100361</v>
      </c>
      <c r="D77" s="21">
        <v>112418</v>
      </c>
      <c r="E77" s="23">
        <f t="shared" si="25"/>
        <v>-0.10725150776566031</v>
      </c>
      <c r="F77" s="21">
        <f>+C77-50984</f>
        <v>49377</v>
      </c>
      <c r="G77" s="21">
        <f>+D77-56050</f>
        <v>56368</v>
      </c>
      <c r="H77" s="23">
        <f t="shared" si="26"/>
        <v>-0.12402426908884473</v>
      </c>
      <c r="I77" s="24">
        <f t="shared" si="27"/>
        <v>67.39339564173335</v>
      </c>
      <c r="J77" s="24">
        <f t="shared" si="28"/>
        <v>136.98014419669076</v>
      </c>
      <c r="K77" s="21">
        <v>6763668.58</v>
      </c>
      <c r="L77" s="21">
        <v>7786903.62</v>
      </c>
      <c r="M77" s="25">
        <f t="shared" si="29"/>
        <v>-0.1314046108612296</v>
      </c>
      <c r="N77" s="10"/>
      <c r="R77" s="2"/>
    </row>
    <row r="78" spans="1:18" ht="15.75" customHeight="1" thickBot="1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customHeight="1" thickBot="1" thickTop="1">
      <c r="A79" s="39" t="s">
        <v>14</v>
      </c>
      <c r="B79" s="52"/>
      <c r="C79" s="47">
        <f>SUM(C69:C78)</f>
        <v>839222</v>
      </c>
      <c r="D79" s="48">
        <f>SUM(D69:D78)</f>
        <v>758629</v>
      </c>
      <c r="E79" s="281">
        <f>(+C79-D79)/D79</f>
        <v>0.10623506351589512</v>
      </c>
      <c r="F79" s="48">
        <f>SUM(F69:F78)</f>
        <v>416489</v>
      </c>
      <c r="G79" s="47">
        <f>SUM(G69:G78)</f>
        <v>381916</v>
      </c>
      <c r="H79" s="46">
        <f>(+F79-G79)/G79</f>
        <v>0.09052514165418574</v>
      </c>
      <c r="I79" s="51">
        <f>K79/C79</f>
        <v>64.16956763526218</v>
      </c>
      <c r="J79" s="50">
        <f>K79/F79</f>
        <v>129.30116495273586</v>
      </c>
      <c r="K79" s="47">
        <f>SUM(K69:K78)</f>
        <v>53852512.89</v>
      </c>
      <c r="L79" s="48">
        <f>SUM(L69:L78)</f>
        <v>50124108.91</v>
      </c>
      <c r="M79" s="44">
        <f>(+K79-L79)/L79</f>
        <v>0.07438344663033342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>
      <c r="A81" s="19" t="s">
        <v>70</v>
      </c>
      <c r="B81" s="20">
        <f>DATE(2021,7,1)</f>
        <v>44378</v>
      </c>
      <c r="C81" s="21">
        <v>224693</v>
      </c>
      <c r="D81" s="21">
        <v>89782</v>
      </c>
      <c r="E81" s="23">
        <f aca="true" t="shared" si="30" ref="E81:E89">(+C81-D81)/D81</f>
        <v>1.502650865429596</v>
      </c>
      <c r="F81" s="21">
        <f>+C81-121301</f>
        <v>103392</v>
      </c>
      <c r="G81" s="21">
        <f>+D81-42122</f>
        <v>47660</v>
      </c>
      <c r="H81" s="23">
        <f aca="true" t="shared" si="31" ref="H81:H89">(+F81-G81)/G81</f>
        <v>1.1693663449433487</v>
      </c>
      <c r="I81" s="24">
        <f aca="true" t="shared" si="32" ref="I81:I89">K81/C81</f>
        <v>42.34352458688077</v>
      </c>
      <c r="J81" s="24">
        <f aca="true" t="shared" si="33" ref="J81:J89">K81/F81</f>
        <v>92.02156424094707</v>
      </c>
      <c r="K81" s="21">
        <v>9514293.57</v>
      </c>
      <c r="L81" s="21">
        <v>4552159.55</v>
      </c>
      <c r="M81" s="25">
        <f aca="true" t="shared" si="34" ref="M81:M89">(+K81-L81)/L81</f>
        <v>1.0900615335418111</v>
      </c>
      <c r="N81" s="10"/>
      <c r="R81" s="2"/>
    </row>
    <row r="82" spans="1:18" ht="15.75">
      <c r="A82" s="19"/>
      <c r="B82" s="20">
        <f>DATE(2021,8,1)</f>
        <v>44409</v>
      </c>
      <c r="C82" s="21">
        <v>253687</v>
      </c>
      <c r="D82" s="21">
        <v>90766</v>
      </c>
      <c r="E82" s="23">
        <f t="shared" si="30"/>
        <v>1.794956261155058</v>
      </c>
      <c r="F82" s="21">
        <f>+C82-139919</f>
        <v>113768</v>
      </c>
      <c r="G82" s="21">
        <f>+D82-42451</f>
        <v>48315</v>
      </c>
      <c r="H82" s="23">
        <f t="shared" si="31"/>
        <v>1.354713856980234</v>
      </c>
      <c r="I82" s="24">
        <f t="shared" si="32"/>
        <v>37.33080504716442</v>
      </c>
      <c r="J82" s="24">
        <f t="shared" si="33"/>
        <v>83.24256328668869</v>
      </c>
      <c r="K82" s="21">
        <v>9470339.94</v>
      </c>
      <c r="L82" s="21">
        <v>4403282.6</v>
      </c>
      <c r="M82" s="25">
        <f t="shared" si="34"/>
        <v>1.150745432509828</v>
      </c>
      <c r="N82" s="10"/>
      <c r="R82" s="2"/>
    </row>
    <row r="83" spans="1:18" ht="15.75">
      <c r="A83" s="19"/>
      <c r="B83" s="20">
        <f>DATE(2021,9,1)</f>
        <v>44440</v>
      </c>
      <c r="C83" s="21">
        <v>235921</v>
      </c>
      <c r="D83" s="21">
        <v>113899</v>
      </c>
      <c r="E83" s="23">
        <f t="shared" si="30"/>
        <v>1.071317570830297</v>
      </c>
      <c r="F83" s="21">
        <f>+C83-117745</f>
        <v>118176</v>
      </c>
      <c r="G83" s="21">
        <f>+D83-56486</f>
        <v>57413</v>
      </c>
      <c r="H83" s="23">
        <f t="shared" si="31"/>
        <v>1.058349154372703</v>
      </c>
      <c r="I83" s="24">
        <f t="shared" si="32"/>
        <v>42.602001220747624</v>
      </c>
      <c r="J83" s="24">
        <f t="shared" si="33"/>
        <v>85.04862857094504</v>
      </c>
      <c r="K83" s="21">
        <v>10050706.73</v>
      </c>
      <c r="L83" s="21">
        <v>5356117.45</v>
      </c>
      <c r="M83" s="25">
        <f t="shared" si="34"/>
        <v>0.8764911008439519</v>
      </c>
      <c r="N83" s="10"/>
      <c r="R83" s="2"/>
    </row>
    <row r="84" spans="1:18" ht="15.75">
      <c r="A84" s="19"/>
      <c r="B84" s="20">
        <f>DATE(2021,10,1)</f>
        <v>44470</v>
      </c>
      <c r="C84" s="21">
        <v>221800</v>
      </c>
      <c r="D84" s="21">
        <v>133252</v>
      </c>
      <c r="E84" s="23">
        <f t="shared" si="30"/>
        <v>0.6645153543661634</v>
      </c>
      <c r="F84" s="21">
        <f>+C84-108912</f>
        <v>112888</v>
      </c>
      <c r="G84" s="21">
        <f>+D84-63794</f>
        <v>69458</v>
      </c>
      <c r="H84" s="23">
        <f t="shared" si="31"/>
        <v>0.6252699473062858</v>
      </c>
      <c r="I84" s="24">
        <f t="shared" si="32"/>
        <v>46.884752795311094</v>
      </c>
      <c r="J84" s="24">
        <f t="shared" si="33"/>
        <v>92.11818944440508</v>
      </c>
      <c r="K84" s="21">
        <v>10399038.17</v>
      </c>
      <c r="L84" s="21">
        <v>6129955.32</v>
      </c>
      <c r="M84" s="25">
        <f t="shared" si="34"/>
        <v>0.6964296845804742</v>
      </c>
      <c r="N84" s="10"/>
      <c r="R84" s="2"/>
    </row>
    <row r="85" spans="1:18" ht="15.75">
      <c r="A85" s="19"/>
      <c r="B85" s="20">
        <f>DATE(2021,11,1)</f>
        <v>44501</v>
      </c>
      <c r="C85" s="21">
        <v>202133</v>
      </c>
      <c r="D85" s="21">
        <v>128642</v>
      </c>
      <c r="E85" s="23">
        <f t="shared" si="30"/>
        <v>0.5712830957230143</v>
      </c>
      <c r="F85" s="21">
        <f>+C85-98046</f>
        <v>104087</v>
      </c>
      <c r="G85" s="21">
        <f>+D85-61517</f>
        <v>67125</v>
      </c>
      <c r="H85" s="23">
        <f t="shared" si="31"/>
        <v>0.5506443202979516</v>
      </c>
      <c r="I85" s="24">
        <f t="shared" si="32"/>
        <v>47.524598556396036</v>
      </c>
      <c r="J85" s="24">
        <f t="shared" si="33"/>
        <v>92.29096505807641</v>
      </c>
      <c r="K85" s="21">
        <v>9606289.68</v>
      </c>
      <c r="L85" s="21">
        <v>5762849.31</v>
      </c>
      <c r="M85" s="25">
        <f t="shared" si="34"/>
        <v>0.6669340396131234</v>
      </c>
      <c r="N85" s="10"/>
      <c r="R85" s="2"/>
    </row>
    <row r="86" spans="1:18" ht="15.75">
      <c r="A86" s="19"/>
      <c r="B86" s="20">
        <f>DATE(2021,12,1)</f>
        <v>44531</v>
      </c>
      <c r="C86" s="21">
        <v>205858</v>
      </c>
      <c r="D86" s="21">
        <v>136324</v>
      </c>
      <c r="E86" s="23">
        <f t="shared" si="30"/>
        <v>0.5100642586778557</v>
      </c>
      <c r="F86" s="21">
        <f>+C86-97374</f>
        <v>108484</v>
      </c>
      <c r="G86" s="21">
        <f>+D86-65497</f>
        <v>70827</v>
      </c>
      <c r="H86" s="23">
        <f t="shared" si="31"/>
        <v>0.5316757733632654</v>
      </c>
      <c r="I86" s="24">
        <f t="shared" si="32"/>
        <v>49.499164861215014</v>
      </c>
      <c r="J86" s="24">
        <f t="shared" si="33"/>
        <v>93.9290501825154</v>
      </c>
      <c r="K86" s="21">
        <v>10189799.08</v>
      </c>
      <c r="L86" s="21">
        <v>6383967.25</v>
      </c>
      <c r="M86" s="25">
        <f t="shared" si="34"/>
        <v>0.5961546607244892</v>
      </c>
      <c r="N86" s="10"/>
      <c r="R86" s="2"/>
    </row>
    <row r="87" spans="1:18" ht="15.75">
      <c r="A87" s="19"/>
      <c r="B87" s="20">
        <f>DATE(2022,1,1)</f>
        <v>44562</v>
      </c>
      <c r="C87" s="21">
        <v>179199</v>
      </c>
      <c r="D87" s="21">
        <v>148941</v>
      </c>
      <c r="E87" s="23">
        <f t="shared" si="30"/>
        <v>0.20315426914012932</v>
      </c>
      <c r="F87" s="21">
        <f>+C87-85727</f>
        <v>93472</v>
      </c>
      <c r="G87" s="21">
        <f>+D87-73418</f>
        <v>75523</v>
      </c>
      <c r="H87" s="23">
        <f t="shared" si="31"/>
        <v>0.23766269878050394</v>
      </c>
      <c r="I87" s="24">
        <f t="shared" si="32"/>
        <v>50.90462430035882</v>
      </c>
      <c r="J87" s="24">
        <f t="shared" si="33"/>
        <v>97.59134040140363</v>
      </c>
      <c r="K87" s="21">
        <v>9122057.77</v>
      </c>
      <c r="L87" s="21">
        <v>6916380.04</v>
      </c>
      <c r="M87" s="25">
        <f t="shared" si="34"/>
        <v>0.318906381263572</v>
      </c>
      <c r="N87" s="10"/>
      <c r="R87" s="2"/>
    </row>
    <row r="88" spans="1:18" ht="15.75">
      <c r="A88" s="19"/>
      <c r="B88" s="20">
        <f>DATE(2022,2,1)</f>
        <v>44593</v>
      </c>
      <c r="C88" s="21">
        <v>184738</v>
      </c>
      <c r="D88" s="21">
        <v>128308</v>
      </c>
      <c r="E88" s="23">
        <f t="shared" si="30"/>
        <v>0.4398011035944758</v>
      </c>
      <c r="F88" s="21">
        <f>+C88-91368</f>
        <v>93370</v>
      </c>
      <c r="G88" s="21">
        <f>+D88-63434</f>
        <v>64874</v>
      </c>
      <c r="H88" s="23">
        <f t="shared" si="31"/>
        <v>0.4392514720843481</v>
      </c>
      <c r="I88" s="24">
        <f t="shared" si="32"/>
        <v>50.03179822234733</v>
      </c>
      <c r="J88" s="24">
        <f t="shared" si="33"/>
        <v>98.99083581450144</v>
      </c>
      <c r="K88" s="21">
        <v>9242774.34</v>
      </c>
      <c r="L88" s="21">
        <v>6371712.29</v>
      </c>
      <c r="M88" s="25">
        <f t="shared" si="34"/>
        <v>0.4505950550381803</v>
      </c>
      <c r="N88" s="10"/>
      <c r="R88" s="2"/>
    </row>
    <row r="89" spans="1:18" ht="15.75">
      <c r="A89" s="19"/>
      <c r="B89" s="20">
        <f>DATE(2022,3,1)</f>
        <v>44621</v>
      </c>
      <c r="C89" s="21">
        <v>215256</v>
      </c>
      <c r="D89" s="21">
        <v>178294</v>
      </c>
      <c r="E89" s="23">
        <f t="shared" si="30"/>
        <v>0.20730927569071309</v>
      </c>
      <c r="F89" s="21">
        <f>+C89-103637</f>
        <v>111619</v>
      </c>
      <c r="G89" s="21">
        <f>+D89-86034</f>
        <v>92260</v>
      </c>
      <c r="H89" s="23">
        <f t="shared" si="31"/>
        <v>0.2098309126381964</v>
      </c>
      <c r="I89" s="24">
        <f t="shared" si="32"/>
        <v>51.79537406622811</v>
      </c>
      <c r="J89" s="24">
        <f t="shared" si="33"/>
        <v>99.88680278447217</v>
      </c>
      <c r="K89" s="21">
        <v>11149265.04</v>
      </c>
      <c r="L89" s="21">
        <v>9944602.35</v>
      </c>
      <c r="M89" s="25">
        <f t="shared" si="34"/>
        <v>0.12113734140410345</v>
      </c>
      <c r="N89" s="10"/>
      <c r="R89" s="2"/>
    </row>
    <row r="90" spans="1:18" ht="15.75" customHeight="1" thickBot="1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SUM(C81:C90)</f>
        <v>1923285</v>
      </c>
      <c r="D91" s="48">
        <f>SUM(D81:D90)</f>
        <v>1148208</v>
      </c>
      <c r="E91" s="281">
        <f>(+C91-D91)/D91</f>
        <v>0.6750318757577024</v>
      </c>
      <c r="F91" s="48">
        <f>SUM(F81:F90)</f>
        <v>959256</v>
      </c>
      <c r="G91" s="47">
        <f>SUM(G81:G90)</f>
        <v>593455</v>
      </c>
      <c r="H91" s="53">
        <f>(+F91-G91)/G91</f>
        <v>0.6163921443074875</v>
      </c>
      <c r="I91" s="51">
        <f>K91/C91</f>
        <v>46.14218086243068</v>
      </c>
      <c r="J91" s="50">
        <f>K91/F91</f>
        <v>92.51395281343041</v>
      </c>
      <c r="K91" s="47">
        <f>SUM(K81:K90)</f>
        <v>88744564.32</v>
      </c>
      <c r="L91" s="48">
        <f>SUM(L81:L90)</f>
        <v>55821026.16</v>
      </c>
      <c r="M91" s="44">
        <f>(+K91-L91)/L91</f>
        <v>0.5898053193366806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>
      <c r="A93" s="19" t="s">
        <v>60</v>
      </c>
      <c r="B93" s="20">
        <f>DATE(2021,7,1)</f>
        <v>44378</v>
      </c>
      <c r="C93" s="21">
        <v>251090</v>
      </c>
      <c r="D93" s="21">
        <v>198458</v>
      </c>
      <c r="E93" s="23">
        <f aca="true" t="shared" si="35" ref="E93:E101">(+C93-D93)/D93</f>
        <v>0.2652047284563988</v>
      </c>
      <c r="F93" s="21">
        <f>+C93-113536</f>
        <v>137554</v>
      </c>
      <c r="G93" s="21">
        <f>+D93-91512</f>
        <v>106946</v>
      </c>
      <c r="H93" s="23">
        <f aca="true" t="shared" si="36" ref="H93:H101">(+F93-G93)/G93</f>
        <v>0.2862005124081312</v>
      </c>
      <c r="I93" s="24">
        <f aca="true" t="shared" si="37" ref="I93:I101">K93/C93</f>
        <v>59.031039945836156</v>
      </c>
      <c r="J93" s="24">
        <f aca="true" t="shared" si="38" ref="J93:J101">K93/F93</f>
        <v>107.75480044200823</v>
      </c>
      <c r="K93" s="21">
        <v>14822103.82</v>
      </c>
      <c r="L93" s="21">
        <v>11423179.77</v>
      </c>
      <c r="M93" s="25">
        <f aca="true" t="shared" si="39" ref="M93:M101">(+K93-L93)/L93</f>
        <v>0.2975462277960807</v>
      </c>
      <c r="N93" s="10"/>
      <c r="R93" s="2"/>
    </row>
    <row r="94" spans="1:18" ht="15.75" customHeight="1">
      <c r="A94" s="19"/>
      <c r="B94" s="20">
        <f>DATE(2021,8,1)</f>
        <v>44409</v>
      </c>
      <c r="C94" s="21">
        <v>215479</v>
      </c>
      <c r="D94" s="21">
        <v>207170</v>
      </c>
      <c r="E94" s="23">
        <f t="shared" si="35"/>
        <v>0.04010715837235121</v>
      </c>
      <c r="F94" s="21">
        <f>+C94-96518</f>
        <v>118961</v>
      </c>
      <c r="G94" s="21">
        <f>+D94-94983</f>
        <v>112187</v>
      </c>
      <c r="H94" s="23">
        <f t="shared" si="36"/>
        <v>0.06038132760480269</v>
      </c>
      <c r="I94" s="24">
        <f t="shared" si="37"/>
        <v>60.89979376180509</v>
      </c>
      <c r="J94" s="24">
        <f t="shared" si="38"/>
        <v>110.31032573700625</v>
      </c>
      <c r="K94" s="21">
        <v>13122626.66</v>
      </c>
      <c r="L94" s="21">
        <v>12078246.74</v>
      </c>
      <c r="M94" s="25">
        <f t="shared" si="39"/>
        <v>0.08646784110985961</v>
      </c>
      <c r="N94" s="10"/>
      <c r="R94" s="2"/>
    </row>
    <row r="95" spans="1:18" ht="15.75" customHeight="1">
      <c r="A95" s="19"/>
      <c r="B95" s="20">
        <f>DATE(2021,9,1)</f>
        <v>44440</v>
      </c>
      <c r="C95" s="21">
        <v>213931</v>
      </c>
      <c r="D95" s="21">
        <v>214679</v>
      </c>
      <c r="E95" s="23">
        <f t="shared" si="35"/>
        <v>-0.003484271866367926</v>
      </c>
      <c r="F95" s="21">
        <f>+C95-98283</f>
        <v>115648</v>
      </c>
      <c r="G95" s="21">
        <f>+D95-98438</f>
        <v>116241</v>
      </c>
      <c r="H95" s="23">
        <f t="shared" si="36"/>
        <v>-0.00510147022135047</v>
      </c>
      <c r="I95" s="24">
        <f t="shared" si="37"/>
        <v>56.6598148000991</v>
      </c>
      <c r="J95" s="24">
        <f t="shared" si="38"/>
        <v>104.8119365661317</v>
      </c>
      <c r="K95" s="21">
        <v>12121290.84</v>
      </c>
      <c r="L95" s="21">
        <v>11539629.04</v>
      </c>
      <c r="M95" s="25">
        <f t="shared" si="39"/>
        <v>0.05040558912108675</v>
      </c>
      <c r="N95" s="10"/>
      <c r="R95" s="2"/>
    </row>
    <row r="96" spans="1:18" ht="15.75" customHeight="1">
      <c r="A96" s="19"/>
      <c r="B96" s="20">
        <f>DATE(2021,10,1)</f>
        <v>44470</v>
      </c>
      <c r="C96" s="21">
        <v>212915</v>
      </c>
      <c r="D96" s="21">
        <v>212255</v>
      </c>
      <c r="E96" s="23">
        <f t="shared" si="35"/>
        <v>0.0031094673859273043</v>
      </c>
      <c r="F96" s="21">
        <f>+C96-99053</f>
        <v>113862</v>
      </c>
      <c r="G96" s="21">
        <f>+D96-97155</f>
        <v>115100</v>
      </c>
      <c r="H96" s="23">
        <f t="shared" si="36"/>
        <v>-0.010755864465682016</v>
      </c>
      <c r="I96" s="24">
        <f t="shared" si="37"/>
        <v>60.26470948500575</v>
      </c>
      <c r="J96" s="24">
        <f t="shared" si="38"/>
        <v>112.6913335441148</v>
      </c>
      <c r="K96" s="21">
        <v>12831260.62</v>
      </c>
      <c r="L96" s="21">
        <v>11315553.33</v>
      </c>
      <c r="M96" s="25">
        <f t="shared" si="39"/>
        <v>0.13394902094460803</v>
      </c>
      <c r="N96" s="10"/>
      <c r="R96" s="2"/>
    </row>
    <row r="97" spans="1:18" ht="15.75" customHeight="1">
      <c r="A97" s="19"/>
      <c r="B97" s="20">
        <f>DATE(2021,11,1)</f>
        <v>44501</v>
      </c>
      <c r="C97" s="21">
        <v>184421</v>
      </c>
      <c r="D97" s="21">
        <v>182201</v>
      </c>
      <c r="E97" s="23">
        <f t="shared" si="35"/>
        <v>0.012184345859792207</v>
      </c>
      <c r="F97" s="21">
        <f>+C97-84660</f>
        <v>99761</v>
      </c>
      <c r="G97" s="21">
        <f>+D97-83158</f>
        <v>99043</v>
      </c>
      <c r="H97" s="23">
        <f t="shared" si="36"/>
        <v>0.007249376533424876</v>
      </c>
      <c r="I97" s="24">
        <f t="shared" si="37"/>
        <v>64.38971369854843</v>
      </c>
      <c r="J97" s="24">
        <f t="shared" si="38"/>
        <v>119.03264191417489</v>
      </c>
      <c r="K97" s="21">
        <v>11874815.39</v>
      </c>
      <c r="L97" s="21">
        <v>10560135.1</v>
      </c>
      <c r="M97" s="25">
        <f t="shared" si="39"/>
        <v>0.12449464685352378</v>
      </c>
      <c r="N97" s="10"/>
      <c r="R97" s="2"/>
    </row>
    <row r="98" spans="1:18" ht="15.75" customHeight="1">
      <c r="A98" s="19"/>
      <c r="B98" s="20">
        <f>DATE(2021,12,1)</f>
        <v>44531</v>
      </c>
      <c r="C98" s="21">
        <v>211464</v>
      </c>
      <c r="D98" s="21">
        <v>236582</v>
      </c>
      <c r="E98" s="23">
        <f t="shared" si="35"/>
        <v>-0.10617037644453085</v>
      </c>
      <c r="F98" s="21">
        <f>+C98-97323</f>
        <v>114141</v>
      </c>
      <c r="G98" s="21">
        <f>+D98-114318</f>
        <v>122264</v>
      </c>
      <c r="H98" s="23">
        <f t="shared" si="36"/>
        <v>-0.0664381993064189</v>
      </c>
      <c r="I98" s="24">
        <f t="shared" si="37"/>
        <v>59.316628693300046</v>
      </c>
      <c r="J98" s="24">
        <f t="shared" si="38"/>
        <v>109.89330363322557</v>
      </c>
      <c r="K98" s="21">
        <v>12543331.57</v>
      </c>
      <c r="L98" s="21">
        <v>13819716.06</v>
      </c>
      <c r="M98" s="25">
        <f t="shared" si="39"/>
        <v>-0.09235967544184118</v>
      </c>
      <c r="N98" s="10"/>
      <c r="R98" s="2"/>
    </row>
    <row r="99" spans="1:18" ht="15.75" customHeight="1">
      <c r="A99" s="19"/>
      <c r="B99" s="20">
        <f>DATE(2022,1,1)</f>
        <v>44562</v>
      </c>
      <c r="C99" s="21">
        <v>184238</v>
      </c>
      <c r="D99" s="21">
        <v>267613</v>
      </c>
      <c r="E99" s="23">
        <f t="shared" si="35"/>
        <v>-0.31155063468516103</v>
      </c>
      <c r="F99" s="21">
        <f>+C99-86833</f>
        <v>97405</v>
      </c>
      <c r="G99" s="21">
        <f>+D99-127713</f>
        <v>139900</v>
      </c>
      <c r="H99" s="23">
        <f t="shared" si="36"/>
        <v>-0.30375268048606147</v>
      </c>
      <c r="I99" s="24">
        <f t="shared" si="37"/>
        <v>58.0188547965132</v>
      </c>
      <c r="J99" s="24">
        <f t="shared" si="38"/>
        <v>109.74054483856064</v>
      </c>
      <c r="K99" s="21">
        <v>10689277.77</v>
      </c>
      <c r="L99" s="21">
        <v>15933243.49</v>
      </c>
      <c r="M99" s="25">
        <f t="shared" si="39"/>
        <v>-0.3291210432634894</v>
      </c>
      <c r="N99" s="10"/>
      <c r="R99" s="2"/>
    </row>
    <row r="100" spans="1:18" ht="15.75" customHeight="1">
      <c r="A100" s="19"/>
      <c r="B100" s="20">
        <f>DATE(2022,2,1)</f>
        <v>44593</v>
      </c>
      <c r="C100" s="21">
        <v>186083</v>
      </c>
      <c r="D100" s="21">
        <v>191978</v>
      </c>
      <c r="E100" s="23">
        <f t="shared" si="35"/>
        <v>-0.03070664346956422</v>
      </c>
      <c r="F100" s="21">
        <f>+C100-88690</f>
        <v>97393</v>
      </c>
      <c r="G100" s="21">
        <f>+D100-89920</f>
        <v>102058</v>
      </c>
      <c r="H100" s="23">
        <f t="shared" si="36"/>
        <v>-0.04570930255345</v>
      </c>
      <c r="I100" s="24">
        <f t="shared" si="37"/>
        <v>60.91725966369845</v>
      </c>
      <c r="J100" s="24">
        <f t="shared" si="38"/>
        <v>116.39097707227418</v>
      </c>
      <c r="K100" s="21">
        <v>11335666.43</v>
      </c>
      <c r="L100" s="21">
        <v>11645461.32</v>
      </c>
      <c r="M100" s="25">
        <f t="shared" si="39"/>
        <v>-0.026602199903232395</v>
      </c>
      <c r="N100" s="10"/>
      <c r="R100" s="2"/>
    </row>
    <row r="101" spans="1:18" ht="15.75" customHeight="1">
      <c r="A101" s="19"/>
      <c r="B101" s="20">
        <f>DATE(2022,3,1)</f>
        <v>44621</v>
      </c>
      <c r="C101" s="21">
        <v>236729</v>
      </c>
      <c r="D101" s="21">
        <v>267033</v>
      </c>
      <c r="E101" s="23">
        <f t="shared" si="35"/>
        <v>-0.11348410121595458</v>
      </c>
      <c r="F101" s="21">
        <f>+C101-111747</f>
        <v>124982</v>
      </c>
      <c r="G101" s="21">
        <f>+D101-127518</f>
        <v>139515</v>
      </c>
      <c r="H101" s="23">
        <f t="shared" si="36"/>
        <v>-0.10416801060817833</v>
      </c>
      <c r="I101" s="24">
        <f t="shared" si="37"/>
        <v>61.05160364805326</v>
      </c>
      <c r="J101" s="24">
        <f t="shared" si="38"/>
        <v>115.63813253108448</v>
      </c>
      <c r="K101" s="21">
        <v>14452685.08</v>
      </c>
      <c r="L101" s="21">
        <v>17076017.72</v>
      </c>
      <c r="M101" s="25">
        <f t="shared" si="39"/>
        <v>-0.1536267227532485</v>
      </c>
      <c r="N101" s="10"/>
      <c r="R101" s="2"/>
    </row>
    <row r="102" spans="1:18" ht="15.75" customHeight="1" thickBot="1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SUM(C93:C102)</f>
        <v>1896350</v>
      </c>
      <c r="D103" s="41">
        <f>SUM(D93:D102)</f>
        <v>1977969</v>
      </c>
      <c r="E103" s="280">
        <f>(+C103-D103)/D103</f>
        <v>-0.0412640440775361</v>
      </c>
      <c r="F103" s="41">
        <f>SUM(F93:F102)</f>
        <v>1019707</v>
      </c>
      <c r="G103" s="41">
        <f>SUM(G93:G102)</f>
        <v>1053254</v>
      </c>
      <c r="H103" s="42">
        <f>(+F103-G103)/G103</f>
        <v>-0.03185081661213724</v>
      </c>
      <c r="I103" s="43">
        <f>K103/C103</f>
        <v>60.006358625781104</v>
      </c>
      <c r="J103" s="43">
        <f>K103/F103</f>
        <v>111.59387763347706</v>
      </c>
      <c r="K103" s="41">
        <f>SUM(K93:K102)</f>
        <v>113793058.17999999</v>
      </c>
      <c r="L103" s="41">
        <f>SUM(L93:L102)</f>
        <v>115391182.57</v>
      </c>
      <c r="M103" s="44">
        <f>(+K103-L103)/L103</f>
        <v>-0.01384962312029801</v>
      </c>
      <c r="N103" s="10"/>
      <c r="R103" s="2"/>
    </row>
    <row r="104" spans="1:18" ht="15.75" customHeight="1" thickTop="1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>
      <c r="A105" s="19" t="s">
        <v>16</v>
      </c>
      <c r="B105" s="20">
        <f>DATE(2021,7,1)</f>
        <v>44378</v>
      </c>
      <c r="C105" s="21">
        <v>292626</v>
      </c>
      <c r="D105" s="21">
        <v>211446</v>
      </c>
      <c r="E105" s="23">
        <f aca="true" t="shared" si="40" ref="E105:E113">(+C105-D105)/D105</f>
        <v>0.38392781135609094</v>
      </c>
      <c r="F105" s="21">
        <f>+C105-144119</f>
        <v>148507</v>
      </c>
      <c r="G105" s="21">
        <f>+D105-102823</f>
        <v>108623</v>
      </c>
      <c r="H105" s="23">
        <f aca="true" t="shared" si="41" ref="H105:H113">(+F105-G105)/G105</f>
        <v>0.36717822192353367</v>
      </c>
      <c r="I105" s="24">
        <f aca="true" t="shared" si="42" ref="I105:I113">K105/C105</f>
        <v>61.88412635924354</v>
      </c>
      <c r="J105" s="24">
        <f aca="true" t="shared" si="43" ref="J105:J113">K105/F105</f>
        <v>121.93973590470482</v>
      </c>
      <c r="K105" s="21">
        <v>18108904.36</v>
      </c>
      <c r="L105" s="21">
        <v>13827445.61</v>
      </c>
      <c r="M105" s="25">
        <f aca="true" t="shared" si="44" ref="M105:M113">(+K105-L105)/L105</f>
        <v>0.3096348284967147</v>
      </c>
      <c r="N105" s="10"/>
      <c r="R105" s="2"/>
    </row>
    <row r="106" spans="1:18" ht="15.75" customHeight="1">
      <c r="A106" s="19"/>
      <c r="B106" s="20">
        <f>DATE(2021,8,1)</f>
        <v>44409</v>
      </c>
      <c r="C106" s="21">
        <v>252812</v>
      </c>
      <c r="D106" s="21">
        <v>225551</v>
      </c>
      <c r="E106" s="23">
        <f t="shared" si="40"/>
        <v>0.12086401745059876</v>
      </c>
      <c r="F106" s="21">
        <f>+C106-122587</f>
        <v>130225</v>
      </c>
      <c r="G106" s="21">
        <f>+D106-110461</f>
        <v>115090</v>
      </c>
      <c r="H106" s="23">
        <f t="shared" si="41"/>
        <v>0.13150577808671474</v>
      </c>
      <c r="I106" s="24">
        <f t="shared" si="42"/>
        <v>64.40935438191225</v>
      </c>
      <c r="J106" s="24">
        <f t="shared" si="43"/>
        <v>125.04094989441352</v>
      </c>
      <c r="K106" s="21">
        <v>16283457.7</v>
      </c>
      <c r="L106" s="21">
        <v>14343284.68</v>
      </c>
      <c r="M106" s="25">
        <f t="shared" si="44"/>
        <v>0.1352669952026637</v>
      </c>
      <c r="N106" s="10"/>
      <c r="R106" s="2"/>
    </row>
    <row r="107" spans="1:18" ht="15.75" customHeight="1">
      <c r="A107" s="19"/>
      <c r="B107" s="20">
        <f>DATE(2021,9,1)</f>
        <v>44440</v>
      </c>
      <c r="C107" s="21">
        <v>245992</v>
      </c>
      <c r="D107" s="21">
        <v>224827</v>
      </c>
      <c r="E107" s="23">
        <f t="shared" si="40"/>
        <v>0.09413904913555757</v>
      </c>
      <c r="F107" s="21">
        <f>+C107-120862</f>
        <v>125130</v>
      </c>
      <c r="G107" s="21">
        <f>+D107-110393</f>
        <v>114434</v>
      </c>
      <c r="H107" s="23">
        <f t="shared" si="41"/>
        <v>0.0934687243301816</v>
      </c>
      <c r="I107" s="24">
        <f t="shared" si="42"/>
        <v>58.82759988129695</v>
      </c>
      <c r="J107" s="24">
        <f t="shared" si="43"/>
        <v>115.64867697594501</v>
      </c>
      <c r="K107" s="21">
        <v>14471118.95</v>
      </c>
      <c r="L107" s="21">
        <v>13592591.22</v>
      </c>
      <c r="M107" s="25">
        <f t="shared" si="44"/>
        <v>0.06463283679916319</v>
      </c>
      <c r="N107" s="10"/>
      <c r="R107" s="2"/>
    </row>
    <row r="108" spans="1:18" ht="15.75" customHeight="1">
      <c r="A108" s="19"/>
      <c r="B108" s="20">
        <f>DATE(2021,10,1)</f>
        <v>44470</v>
      </c>
      <c r="C108" s="21">
        <v>265943</v>
      </c>
      <c r="D108" s="21">
        <v>236689</v>
      </c>
      <c r="E108" s="23">
        <f t="shared" si="40"/>
        <v>0.12359678734541951</v>
      </c>
      <c r="F108" s="21">
        <f>+C108-130327</f>
        <v>135616</v>
      </c>
      <c r="G108" s="21">
        <f>+D108-116990</f>
        <v>119699</v>
      </c>
      <c r="H108" s="23">
        <f t="shared" si="41"/>
        <v>0.13297521282550398</v>
      </c>
      <c r="I108" s="24">
        <f t="shared" si="42"/>
        <v>62.01888288091809</v>
      </c>
      <c r="J108" s="24">
        <f t="shared" si="43"/>
        <v>121.61904030497875</v>
      </c>
      <c r="K108" s="21">
        <v>16493487.77</v>
      </c>
      <c r="L108" s="21">
        <v>14448861.33</v>
      </c>
      <c r="M108" s="25">
        <f t="shared" si="44"/>
        <v>0.14150779035817623</v>
      </c>
      <c r="N108" s="10"/>
      <c r="R108" s="2"/>
    </row>
    <row r="109" spans="1:18" ht="15.75" customHeight="1">
      <c r="A109" s="19"/>
      <c r="B109" s="20">
        <f>DATE(2021,11,1)</f>
        <v>44501</v>
      </c>
      <c r="C109" s="21">
        <v>251827</v>
      </c>
      <c r="D109" s="21">
        <v>217833</v>
      </c>
      <c r="E109" s="23">
        <f t="shared" si="40"/>
        <v>0.1560553267870341</v>
      </c>
      <c r="F109" s="21">
        <f>+C109-125798</f>
        <v>126029</v>
      </c>
      <c r="G109" s="21">
        <f>+D109-108450</f>
        <v>109383</v>
      </c>
      <c r="H109" s="23">
        <f t="shared" si="41"/>
        <v>0.15218086905643474</v>
      </c>
      <c r="I109" s="24">
        <f t="shared" si="42"/>
        <v>63.78193295397237</v>
      </c>
      <c r="J109" s="24">
        <f t="shared" si="43"/>
        <v>127.44695927127883</v>
      </c>
      <c r="K109" s="21">
        <v>16062012.83</v>
      </c>
      <c r="L109" s="21">
        <v>12584367.83</v>
      </c>
      <c r="M109" s="25">
        <f t="shared" si="44"/>
        <v>0.2763464201761178</v>
      </c>
      <c r="N109" s="10"/>
      <c r="R109" s="2"/>
    </row>
    <row r="110" spans="1:18" ht="15.75" customHeight="1">
      <c r="A110" s="19"/>
      <c r="B110" s="20">
        <f>DATE(2021,12,1)</f>
        <v>44531</v>
      </c>
      <c r="C110" s="21">
        <v>268015</v>
      </c>
      <c r="D110" s="21">
        <v>232838</v>
      </c>
      <c r="E110" s="23">
        <f t="shared" si="40"/>
        <v>0.15107929118099278</v>
      </c>
      <c r="F110" s="21">
        <f>+C110-132764</f>
        <v>135251</v>
      </c>
      <c r="G110" s="21">
        <f>+D110-115697</f>
        <v>117141</v>
      </c>
      <c r="H110" s="23">
        <f t="shared" si="41"/>
        <v>0.154600011951409</v>
      </c>
      <c r="I110" s="24">
        <f t="shared" si="42"/>
        <v>62.532376695334214</v>
      </c>
      <c r="J110" s="24">
        <f t="shared" si="43"/>
        <v>123.9149059156679</v>
      </c>
      <c r="K110" s="21">
        <v>16759614.94</v>
      </c>
      <c r="L110" s="21">
        <v>14119546.37</v>
      </c>
      <c r="M110" s="25">
        <f t="shared" si="44"/>
        <v>0.1869797018131823</v>
      </c>
      <c r="N110" s="10"/>
      <c r="R110" s="2"/>
    </row>
    <row r="111" spans="1:18" ht="15.75" customHeight="1">
      <c r="A111" s="19"/>
      <c r="B111" s="20">
        <f>DATE(2022,1,1)</f>
        <v>44562</v>
      </c>
      <c r="C111" s="21">
        <v>234359</v>
      </c>
      <c r="D111" s="21">
        <v>260524</v>
      </c>
      <c r="E111" s="23">
        <f t="shared" si="40"/>
        <v>-0.1004322058620319</v>
      </c>
      <c r="F111" s="21">
        <f>+C111-117571</f>
        <v>116788</v>
      </c>
      <c r="G111" s="21">
        <f>+D111-129652</f>
        <v>130872</v>
      </c>
      <c r="H111" s="23">
        <f t="shared" si="41"/>
        <v>-0.10761660248181429</v>
      </c>
      <c r="I111" s="24">
        <f t="shared" si="42"/>
        <v>63.59234938705149</v>
      </c>
      <c r="J111" s="24">
        <f t="shared" si="43"/>
        <v>127.61105087851492</v>
      </c>
      <c r="K111" s="21">
        <v>14903439.41</v>
      </c>
      <c r="L111" s="21">
        <v>15741735.04</v>
      </c>
      <c r="M111" s="25">
        <f t="shared" si="44"/>
        <v>-0.05325306440934728</v>
      </c>
      <c r="N111" s="10"/>
      <c r="R111" s="2"/>
    </row>
    <row r="112" spans="1:18" ht="15.75" customHeight="1">
      <c r="A112" s="19"/>
      <c r="B112" s="20">
        <f>DATE(2022,2,1)</f>
        <v>44593</v>
      </c>
      <c r="C112" s="21">
        <v>253600</v>
      </c>
      <c r="D112" s="21">
        <v>219600</v>
      </c>
      <c r="E112" s="23">
        <f t="shared" si="40"/>
        <v>0.15482695810564662</v>
      </c>
      <c r="F112" s="21">
        <f>+C112-127165</f>
        <v>126435</v>
      </c>
      <c r="G112" s="21">
        <f>+D112-109391</f>
        <v>110209</v>
      </c>
      <c r="H112" s="23">
        <f t="shared" si="41"/>
        <v>0.14722935513433566</v>
      </c>
      <c r="I112" s="24">
        <f t="shared" si="42"/>
        <v>63.0611619873817</v>
      </c>
      <c r="J112" s="24">
        <f t="shared" si="43"/>
        <v>126.48642132320956</v>
      </c>
      <c r="K112" s="21">
        <v>15992310.68</v>
      </c>
      <c r="L112" s="21">
        <v>13340742.96</v>
      </c>
      <c r="M112" s="25">
        <f t="shared" si="44"/>
        <v>0.19875712529281792</v>
      </c>
      <c r="N112" s="10"/>
      <c r="R112" s="2"/>
    </row>
    <row r="113" spans="1:18" ht="15.75" customHeight="1">
      <c r="A113" s="19"/>
      <c r="B113" s="20">
        <f>DATE(2022,3,1)</f>
        <v>44621</v>
      </c>
      <c r="C113" s="21">
        <v>286481</v>
      </c>
      <c r="D113" s="21">
        <v>314144</v>
      </c>
      <c r="E113" s="23">
        <f t="shared" si="40"/>
        <v>-0.08805834267087705</v>
      </c>
      <c r="F113" s="21">
        <f>+C113-143159</f>
        <v>143322</v>
      </c>
      <c r="G113" s="21">
        <f>+D113-159326</f>
        <v>154818</v>
      </c>
      <c r="H113" s="23">
        <f t="shared" si="41"/>
        <v>-0.07425493159710111</v>
      </c>
      <c r="I113" s="24">
        <f t="shared" si="42"/>
        <v>64.40312558249937</v>
      </c>
      <c r="J113" s="24">
        <f t="shared" si="43"/>
        <v>128.73300553997294</v>
      </c>
      <c r="K113" s="21">
        <v>18450271.82</v>
      </c>
      <c r="L113" s="21">
        <v>19668050.27</v>
      </c>
      <c r="M113" s="25">
        <f t="shared" si="44"/>
        <v>-0.061916582136130535</v>
      </c>
      <c r="N113" s="10"/>
      <c r="R113" s="2"/>
    </row>
    <row r="114" spans="1:18" ht="15.75" customHeight="1" thickBot="1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Bot="1" thickTop="1">
      <c r="A115" s="39" t="s">
        <v>14</v>
      </c>
      <c r="B115" s="40"/>
      <c r="C115" s="41">
        <f>SUM(C105:C114)</f>
        <v>2351655</v>
      </c>
      <c r="D115" s="41">
        <f>SUM(D105:D114)</f>
        <v>2143452</v>
      </c>
      <c r="E115" s="280">
        <f>(+C115-D115)/D115</f>
        <v>0.09713443548071056</v>
      </c>
      <c r="F115" s="41">
        <f>SUM(F105:F114)</f>
        <v>1187303</v>
      </c>
      <c r="G115" s="41">
        <f>SUM(G105:G114)</f>
        <v>1080269</v>
      </c>
      <c r="H115" s="42">
        <f>(+F115-G115)/G115</f>
        <v>0.09908087707783894</v>
      </c>
      <c r="I115" s="43">
        <f>K115/C115</f>
        <v>62.73225386376827</v>
      </c>
      <c r="J115" s="43">
        <f>K115/F115</f>
        <v>124.25187038186543</v>
      </c>
      <c r="K115" s="41">
        <f>SUM(K105:K114)</f>
        <v>147524618.45999998</v>
      </c>
      <c r="L115" s="41">
        <f>SUM(L105:L114)</f>
        <v>131666625.31000002</v>
      </c>
      <c r="M115" s="44">
        <f>(+K115-L115)/L115</f>
        <v>0.1204404921343082</v>
      </c>
      <c r="N115" s="10"/>
      <c r="R115" s="2"/>
    </row>
    <row r="116" spans="1:18" ht="15.75" customHeight="1" thickTop="1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>
      <c r="A117" s="19" t="s">
        <v>54</v>
      </c>
      <c r="B117" s="20">
        <f>DATE(2021,7,1)</f>
        <v>44378</v>
      </c>
      <c r="C117" s="21">
        <v>338901</v>
      </c>
      <c r="D117" s="21">
        <v>223492</v>
      </c>
      <c r="E117" s="23">
        <f aca="true" t="shared" si="45" ref="E117:E125">(+C117-D117)/D117</f>
        <v>0.5163898484062069</v>
      </c>
      <c r="F117" s="21">
        <f>+C117-160819</f>
        <v>178082</v>
      </c>
      <c r="G117" s="21">
        <f>+D117-109534</f>
        <v>113958</v>
      </c>
      <c r="H117" s="23">
        <f aca="true" t="shared" si="46" ref="H117:H125">(+F117-G117)/G117</f>
        <v>0.562698538057881</v>
      </c>
      <c r="I117" s="24">
        <f aca="true" t="shared" si="47" ref="I117:I125">K117/C117</f>
        <v>59.42407481830977</v>
      </c>
      <c r="J117" s="24">
        <f aca="true" t="shared" si="48" ref="J117:J125">K117/F117</f>
        <v>113.08766961287496</v>
      </c>
      <c r="K117" s="21">
        <v>20138878.38</v>
      </c>
      <c r="L117" s="21">
        <v>15036571.48</v>
      </c>
      <c r="M117" s="25">
        <f aca="true" t="shared" si="49" ref="M117:M125">(+K117-L117)/L117</f>
        <v>0.33932648189027187</v>
      </c>
      <c r="N117" s="10"/>
      <c r="R117" s="2"/>
    </row>
    <row r="118" spans="1:18" ht="15.75" customHeight="1">
      <c r="A118" s="19"/>
      <c r="B118" s="20">
        <f>DATE(2021,8,1)</f>
        <v>44409</v>
      </c>
      <c r="C118" s="21">
        <v>315503</v>
      </c>
      <c r="D118" s="21">
        <v>243172</v>
      </c>
      <c r="E118" s="23">
        <f t="shared" si="45"/>
        <v>0.2974478969618213</v>
      </c>
      <c r="F118" s="21">
        <f>+C118-149989</f>
        <v>165514</v>
      </c>
      <c r="G118" s="21">
        <f>+D118-117936</f>
        <v>125236</v>
      </c>
      <c r="H118" s="23">
        <f t="shared" si="46"/>
        <v>0.3216167875051902</v>
      </c>
      <c r="I118" s="24">
        <f t="shared" si="47"/>
        <v>60.83894787054323</v>
      </c>
      <c r="J118" s="24">
        <f t="shared" si="48"/>
        <v>115.97128079799896</v>
      </c>
      <c r="K118" s="21">
        <v>19194870.57</v>
      </c>
      <c r="L118" s="21">
        <v>15861571.8</v>
      </c>
      <c r="M118" s="25">
        <f t="shared" si="49"/>
        <v>0.21014933526323032</v>
      </c>
      <c r="N118" s="10"/>
      <c r="R118" s="2"/>
    </row>
    <row r="119" spans="1:18" ht="15.75" customHeight="1">
      <c r="A119" s="19"/>
      <c r="B119" s="20">
        <f>DATE(2021,9,1)</f>
        <v>44440</v>
      </c>
      <c r="C119" s="21">
        <v>329297</v>
      </c>
      <c r="D119" s="21">
        <v>258989</v>
      </c>
      <c r="E119" s="23">
        <f t="shared" si="45"/>
        <v>0.2714709891153678</v>
      </c>
      <c r="F119" s="21">
        <f>+C119-155913</f>
        <v>173384</v>
      </c>
      <c r="G119" s="21">
        <f>+D119-126754</f>
        <v>132235</v>
      </c>
      <c r="H119" s="23">
        <f t="shared" si="46"/>
        <v>0.3111808522705789</v>
      </c>
      <c r="I119" s="24">
        <f t="shared" si="47"/>
        <v>59.145045171987604</v>
      </c>
      <c r="J119" s="24">
        <f t="shared" si="48"/>
        <v>112.33035308909704</v>
      </c>
      <c r="K119" s="21">
        <v>19476285.94</v>
      </c>
      <c r="L119" s="21">
        <v>16406074.95</v>
      </c>
      <c r="M119" s="25">
        <f t="shared" si="49"/>
        <v>0.18713866658277106</v>
      </c>
      <c r="N119" s="10"/>
      <c r="R119" s="2"/>
    </row>
    <row r="120" spans="1:18" ht="15.75" customHeight="1">
      <c r="A120" s="19"/>
      <c r="B120" s="20">
        <f>DATE(2021,10,1)</f>
        <v>44470</v>
      </c>
      <c r="C120" s="21">
        <v>343168</v>
      </c>
      <c r="D120" s="21">
        <v>272659</v>
      </c>
      <c r="E120" s="23">
        <f t="shared" si="45"/>
        <v>0.2585977356331535</v>
      </c>
      <c r="F120" s="21">
        <f>+C120-164416</f>
        <v>178752</v>
      </c>
      <c r="G120" s="21">
        <f>+D120-130567</f>
        <v>142092</v>
      </c>
      <c r="H120" s="23">
        <f t="shared" si="46"/>
        <v>0.2580018579511866</v>
      </c>
      <c r="I120" s="24">
        <f t="shared" si="47"/>
        <v>61.27494839262402</v>
      </c>
      <c r="J120" s="24">
        <f t="shared" si="48"/>
        <v>117.63561520989974</v>
      </c>
      <c r="K120" s="21">
        <v>21027601.49</v>
      </c>
      <c r="L120" s="21">
        <v>16384207.62</v>
      </c>
      <c r="M120" s="25">
        <f t="shared" si="49"/>
        <v>0.28340667902254035</v>
      </c>
      <c r="N120" s="10"/>
      <c r="R120" s="2"/>
    </row>
    <row r="121" spans="1:18" ht="15.75" customHeight="1">
      <c r="A121" s="19"/>
      <c r="B121" s="20">
        <f>DATE(2021,11,1)</f>
        <v>44501</v>
      </c>
      <c r="C121" s="21">
        <v>319143</v>
      </c>
      <c r="D121" s="21">
        <v>229316</v>
      </c>
      <c r="E121" s="23">
        <f t="shared" si="45"/>
        <v>0.3917171065254932</v>
      </c>
      <c r="F121" s="21">
        <f>+C121-158694</f>
        <v>160449</v>
      </c>
      <c r="G121" s="21">
        <f>+D121-112072</f>
        <v>117244</v>
      </c>
      <c r="H121" s="23">
        <f t="shared" si="46"/>
        <v>0.36850499812357135</v>
      </c>
      <c r="I121" s="24">
        <f t="shared" si="47"/>
        <v>62.14873533181051</v>
      </c>
      <c r="J121" s="24">
        <f t="shared" si="48"/>
        <v>123.61768437322763</v>
      </c>
      <c r="K121" s="21">
        <v>19834333.84</v>
      </c>
      <c r="L121" s="21">
        <v>14486891.19</v>
      </c>
      <c r="M121" s="25">
        <f t="shared" si="49"/>
        <v>0.36912285595761424</v>
      </c>
      <c r="N121" s="10"/>
      <c r="R121" s="2"/>
    </row>
    <row r="122" spans="1:18" ht="15.75" customHeight="1">
      <c r="A122" s="19"/>
      <c r="B122" s="20">
        <f>DATE(2021,12,1)</f>
        <v>44531</v>
      </c>
      <c r="C122" s="21">
        <v>337706</v>
      </c>
      <c r="D122" s="21">
        <v>224469</v>
      </c>
      <c r="E122" s="23">
        <f t="shared" si="45"/>
        <v>0.5044660955410324</v>
      </c>
      <c r="F122" s="21">
        <f>+C122-167775</f>
        <v>169931</v>
      </c>
      <c r="G122" s="21">
        <f>+D122-110658</f>
        <v>113811</v>
      </c>
      <c r="H122" s="23">
        <f t="shared" si="46"/>
        <v>0.49309820667598037</v>
      </c>
      <c r="I122" s="24">
        <f t="shared" si="47"/>
        <v>64.77993817107188</v>
      </c>
      <c r="J122" s="24">
        <f t="shared" si="48"/>
        <v>128.73798070981752</v>
      </c>
      <c r="K122" s="21">
        <v>21876573.8</v>
      </c>
      <c r="L122" s="21">
        <v>14094420.29</v>
      </c>
      <c r="M122" s="25">
        <f t="shared" si="49"/>
        <v>0.5521442776558497</v>
      </c>
      <c r="N122" s="10"/>
      <c r="R122" s="2"/>
    </row>
    <row r="123" spans="1:18" ht="15.75" customHeight="1">
      <c r="A123" s="19"/>
      <c r="B123" s="20">
        <f>DATE(2022,1,1)</f>
        <v>44562</v>
      </c>
      <c r="C123" s="21">
        <v>310561</v>
      </c>
      <c r="D123" s="21">
        <v>245222</v>
      </c>
      <c r="E123" s="23">
        <f t="shared" si="45"/>
        <v>0.26644836107690173</v>
      </c>
      <c r="F123" s="21">
        <f>+C123-154923</f>
        <v>155638</v>
      </c>
      <c r="G123" s="21">
        <f>+D123-119074</f>
        <v>126148</v>
      </c>
      <c r="H123" s="23">
        <f t="shared" si="46"/>
        <v>0.23377302850619908</v>
      </c>
      <c r="I123" s="24">
        <f t="shared" si="47"/>
        <v>60.40809460943261</v>
      </c>
      <c r="J123" s="24">
        <f t="shared" si="48"/>
        <v>120.53867480949383</v>
      </c>
      <c r="K123" s="21">
        <v>18760398.27</v>
      </c>
      <c r="L123" s="21">
        <v>15688493.17</v>
      </c>
      <c r="M123" s="25">
        <f t="shared" si="49"/>
        <v>0.19580625536901067</v>
      </c>
      <c r="N123" s="10"/>
      <c r="R123" s="2"/>
    </row>
    <row r="124" spans="1:18" ht="15.75" customHeight="1">
      <c r="A124" s="19"/>
      <c r="B124" s="20">
        <f>DATE(2022,2,1)</f>
        <v>44593</v>
      </c>
      <c r="C124" s="21">
        <v>302200</v>
      </c>
      <c r="D124" s="21">
        <v>206903</v>
      </c>
      <c r="E124" s="23">
        <f t="shared" si="45"/>
        <v>0.4605878116798693</v>
      </c>
      <c r="F124" s="21">
        <f>+C124-150400</f>
        <v>151800</v>
      </c>
      <c r="G124" s="21">
        <f>+D124-98743</f>
        <v>108160</v>
      </c>
      <c r="H124" s="23">
        <f t="shared" si="46"/>
        <v>0.40347633136094674</v>
      </c>
      <c r="I124" s="24">
        <f t="shared" si="47"/>
        <v>64.47833845135672</v>
      </c>
      <c r="J124" s="24">
        <f t="shared" si="48"/>
        <v>128.36201501976285</v>
      </c>
      <c r="K124" s="21">
        <v>19485353.88</v>
      </c>
      <c r="L124" s="21">
        <v>13345364.67</v>
      </c>
      <c r="M124" s="25">
        <f t="shared" si="49"/>
        <v>0.46008403380707313</v>
      </c>
      <c r="N124" s="10"/>
      <c r="R124" s="2"/>
    </row>
    <row r="125" spans="1:18" ht="15.75" customHeight="1">
      <c r="A125" s="19"/>
      <c r="B125" s="20">
        <f>DATE(2022,3,1)</f>
        <v>44621</v>
      </c>
      <c r="C125" s="21">
        <v>362122</v>
      </c>
      <c r="D125" s="21">
        <v>292430</v>
      </c>
      <c r="E125" s="23">
        <f t="shared" si="45"/>
        <v>0.23832028177683548</v>
      </c>
      <c r="F125" s="21">
        <f>+C125-178958</f>
        <v>183164</v>
      </c>
      <c r="G125" s="21">
        <f>+D125-142039</f>
        <v>150391</v>
      </c>
      <c r="H125" s="23">
        <f t="shared" si="46"/>
        <v>0.21791862544966123</v>
      </c>
      <c r="I125" s="24">
        <f t="shared" si="47"/>
        <v>64.99591728754397</v>
      </c>
      <c r="J125" s="24">
        <f t="shared" si="48"/>
        <v>128.49933152802953</v>
      </c>
      <c r="K125" s="21">
        <v>23536451.56</v>
      </c>
      <c r="L125" s="21">
        <v>18946242.3</v>
      </c>
      <c r="M125" s="25">
        <f t="shared" si="49"/>
        <v>0.24227544371687876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SUM(C117:C126)</f>
        <v>2958601</v>
      </c>
      <c r="D127" s="41">
        <f>SUM(D117:D126)</f>
        <v>2196652</v>
      </c>
      <c r="E127" s="280">
        <f>(+C127-D127)/D127</f>
        <v>0.34686832506924176</v>
      </c>
      <c r="F127" s="41">
        <f>SUM(F117:F126)</f>
        <v>1516714</v>
      </c>
      <c r="G127" s="41">
        <f>SUM(G117:G126)</f>
        <v>1129275</v>
      </c>
      <c r="H127" s="42">
        <f>(+F127-G127)/G127</f>
        <v>0.3430864935467446</v>
      </c>
      <c r="I127" s="43">
        <f>K127/C127</f>
        <v>61.96535042406867</v>
      </c>
      <c r="J127" s="43">
        <f>K127/F127</f>
        <v>120.87364376540336</v>
      </c>
      <c r="K127" s="41">
        <f>SUM(K117:K126)</f>
        <v>183330747.73</v>
      </c>
      <c r="L127" s="41">
        <f>SUM(L117:L126)</f>
        <v>140249837.47000003</v>
      </c>
      <c r="M127" s="44">
        <f>(+K127-L127)/L127</f>
        <v>0.3071726216382613</v>
      </c>
      <c r="N127" s="10"/>
      <c r="R127" s="2"/>
    </row>
    <row r="128" spans="1:18" ht="15.75" customHeight="1" thickTop="1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>
      <c r="A129" s="19" t="s">
        <v>55</v>
      </c>
      <c r="B129" s="20">
        <f>DATE(2021,7,1)</f>
        <v>44378</v>
      </c>
      <c r="C129" s="21">
        <v>54523</v>
      </c>
      <c r="D129" s="21">
        <v>43226</v>
      </c>
      <c r="E129" s="23">
        <f aca="true" t="shared" si="50" ref="E129:E137">(+C129-D129)/D129</f>
        <v>0.26134733725072873</v>
      </c>
      <c r="F129" s="21">
        <f>+C129-27936</f>
        <v>26587</v>
      </c>
      <c r="G129" s="21">
        <f>+D129-22161</f>
        <v>21065</v>
      </c>
      <c r="H129" s="23">
        <f aca="true" t="shared" si="51" ref="H129:H137">(+F129-G129)/G129</f>
        <v>0.26214099216710185</v>
      </c>
      <c r="I129" s="24">
        <f aca="true" t="shared" si="52" ref="I129:I137">K129/C129</f>
        <v>66.70228380683382</v>
      </c>
      <c r="J129" s="24">
        <f aca="true" t="shared" si="53" ref="J129:J137">K129/F129</f>
        <v>136.7889803287321</v>
      </c>
      <c r="K129" s="21">
        <v>3636808.62</v>
      </c>
      <c r="L129" s="21">
        <v>2973337.45</v>
      </c>
      <c r="M129" s="25">
        <f aca="true" t="shared" si="54" ref="M129:M137">(+K129-L129)/L129</f>
        <v>0.22314021908276838</v>
      </c>
      <c r="N129" s="10"/>
      <c r="R129" s="2"/>
    </row>
    <row r="130" spans="1:18" ht="15" customHeight="1">
      <c r="A130" s="19"/>
      <c r="B130" s="20">
        <f>DATE(2021,8,1)</f>
        <v>44409</v>
      </c>
      <c r="C130" s="21">
        <v>47684</v>
      </c>
      <c r="D130" s="21">
        <v>46706</v>
      </c>
      <c r="E130" s="23">
        <f t="shared" si="50"/>
        <v>0.020939493855179205</v>
      </c>
      <c r="F130" s="21">
        <f>+C130-24640</f>
        <v>23044</v>
      </c>
      <c r="G130" s="21">
        <f>+D130-23797</f>
        <v>22909</v>
      </c>
      <c r="H130" s="23">
        <f t="shared" si="51"/>
        <v>0.0058928805273036795</v>
      </c>
      <c r="I130" s="24">
        <f t="shared" si="52"/>
        <v>67.62697319855717</v>
      </c>
      <c r="J130" s="24">
        <f t="shared" si="53"/>
        <v>139.9377100329804</v>
      </c>
      <c r="K130" s="21">
        <v>3224724.59</v>
      </c>
      <c r="L130" s="21">
        <v>3072719.82</v>
      </c>
      <c r="M130" s="25">
        <f t="shared" si="54"/>
        <v>0.04946912797275478</v>
      </c>
      <c r="N130" s="10"/>
      <c r="R130" s="2"/>
    </row>
    <row r="131" spans="1:18" ht="15" customHeight="1">
      <c r="A131" s="19"/>
      <c r="B131" s="20">
        <f>DATE(2021,9,1)</f>
        <v>44440</v>
      </c>
      <c r="C131" s="21">
        <v>47289</v>
      </c>
      <c r="D131" s="21">
        <v>44655</v>
      </c>
      <c r="E131" s="23">
        <f t="shared" si="50"/>
        <v>0.05898555592878737</v>
      </c>
      <c r="F131" s="21">
        <f>+C131-24190</f>
        <v>23099</v>
      </c>
      <c r="G131" s="21">
        <f>+D131-22941</f>
        <v>21714</v>
      </c>
      <c r="H131" s="23">
        <f t="shared" si="51"/>
        <v>0.06378373399649995</v>
      </c>
      <c r="I131" s="24">
        <f t="shared" si="52"/>
        <v>66.49749730381272</v>
      </c>
      <c r="J131" s="24">
        <f t="shared" si="53"/>
        <v>136.13576994675094</v>
      </c>
      <c r="K131" s="21">
        <v>3144600.15</v>
      </c>
      <c r="L131" s="21">
        <v>2816158.99</v>
      </c>
      <c r="M131" s="25">
        <f t="shared" si="54"/>
        <v>0.11662734993523916</v>
      </c>
      <c r="N131" s="10"/>
      <c r="R131" s="2"/>
    </row>
    <row r="132" spans="1:18" ht="15" customHeight="1">
      <c r="A132" s="19"/>
      <c r="B132" s="20">
        <f>DATE(2021,10,1)</f>
        <v>44470</v>
      </c>
      <c r="C132" s="21">
        <v>51019</v>
      </c>
      <c r="D132" s="21">
        <v>42403</v>
      </c>
      <c r="E132" s="23">
        <f t="shared" si="50"/>
        <v>0.20319317029455464</v>
      </c>
      <c r="F132" s="21">
        <f>+C132-26626</f>
        <v>24393</v>
      </c>
      <c r="G132" s="21">
        <f>+D132-22277</f>
        <v>20126</v>
      </c>
      <c r="H132" s="23">
        <f t="shared" si="51"/>
        <v>0.21201430984795785</v>
      </c>
      <c r="I132" s="24">
        <f t="shared" si="52"/>
        <v>68.50660401027069</v>
      </c>
      <c r="J132" s="24">
        <f t="shared" si="53"/>
        <v>143.2844844832534</v>
      </c>
      <c r="K132" s="21">
        <v>3495138.43</v>
      </c>
      <c r="L132" s="21">
        <v>2872212.37</v>
      </c>
      <c r="M132" s="25">
        <f t="shared" si="54"/>
        <v>0.21688022324059555</v>
      </c>
      <c r="N132" s="10"/>
      <c r="R132" s="2"/>
    </row>
    <row r="133" spans="1:18" ht="15" customHeight="1">
      <c r="A133" s="19"/>
      <c r="B133" s="20">
        <f>DATE(2021,11,1)</f>
        <v>44501</v>
      </c>
      <c r="C133" s="21">
        <v>42978</v>
      </c>
      <c r="D133" s="21">
        <v>37816</v>
      </c>
      <c r="E133" s="23">
        <f t="shared" si="50"/>
        <v>0.13650306748466257</v>
      </c>
      <c r="F133" s="21">
        <f>+C133-22231</f>
        <v>20747</v>
      </c>
      <c r="G133" s="21">
        <f>+D133-19316</f>
        <v>18500</v>
      </c>
      <c r="H133" s="23">
        <f t="shared" si="51"/>
        <v>0.12145945945945946</v>
      </c>
      <c r="I133" s="24">
        <f t="shared" si="52"/>
        <v>74.27079645399972</v>
      </c>
      <c r="J133" s="24">
        <f t="shared" si="53"/>
        <v>153.85406516604812</v>
      </c>
      <c r="K133" s="21">
        <v>3192010.29</v>
      </c>
      <c r="L133" s="21">
        <v>2647748.8</v>
      </c>
      <c r="M133" s="25">
        <f t="shared" si="54"/>
        <v>0.20555631636958924</v>
      </c>
      <c r="N133" s="10"/>
      <c r="R133" s="2"/>
    </row>
    <row r="134" spans="1:18" ht="15" customHeight="1">
      <c r="A134" s="19"/>
      <c r="B134" s="20">
        <f>DATE(2021,12,1)</f>
        <v>44531</v>
      </c>
      <c r="C134" s="21">
        <v>46732</v>
      </c>
      <c r="D134" s="21">
        <v>48198</v>
      </c>
      <c r="E134" s="23">
        <f t="shared" si="50"/>
        <v>-0.03041619984231711</v>
      </c>
      <c r="F134" s="21">
        <f>+C134-24398</f>
        <v>22334</v>
      </c>
      <c r="G134" s="21">
        <f>+D134-24463</f>
        <v>23735</v>
      </c>
      <c r="H134" s="23">
        <f t="shared" si="51"/>
        <v>-0.059026753739203706</v>
      </c>
      <c r="I134" s="24">
        <f t="shared" si="52"/>
        <v>67.88380103569288</v>
      </c>
      <c r="J134" s="24">
        <f t="shared" si="53"/>
        <v>142.04109384794484</v>
      </c>
      <c r="K134" s="21">
        <v>3172345.79</v>
      </c>
      <c r="L134" s="21">
        <v>3323052.33</v>
      </c>
      <c r="M134" s="25">
        <f t="shared" si="54"/>
        <v>-0.04535184072770832</v>
      </c>
      <c r="N134" s="10"/>
      <c r="R134" s="2"/>
    </row>
    <row r="135" spans="1:18" ht="15" customHeight="1">
      <c r="A135" s="19"/>
      <c r="B135" s="20">
        <f>DATE(2022,1,1)</f>
        <v>44562</v>
      </c>
      <c r="C135" s="21">
        <v>38219</v>
      </c>
      <c r="D135" s="21">
        <v>49456</v>
      </c>
      <c r="E135" s="23">
        <f t="shared" si="50"/>
        <v>-0.22721206729213847</v>
      </c>
      <c r="F135" s="21">
        <f>+C135-20352</f>
        <v>17867</v>
      </c>
      <c r="G135" s="21">
        <f>+D135-25797</f>
        <v>23659</v>
      </c>
      <c r="H135" s="23">
        <f t="shared" si="51"/>
        <v>-0.2448116995646477</v>
      </c>
      <c r="I135" s="24">
        <f t="shared" si="52"/>
        <v>74.00493864308328</v>
      </c>
      <c r="J135" s="24">
        <f t="shared" si="53"/>
        <v>158.3027228969609</v>
      </c>
      <c r="K135" s="21">
        <v>2828394.75</v>
      </c>
      <c r="L135" s="21">
        <v>3510894.63</v>
      </c>
      <c r="M135" s="25">
        <f t="shared" si="54"/>
        <v>-0.19439486282731303</v>
      </c>
      <c r="N135" s="10"/>
      <c r="R135" s="2"/>
    </row>
    <row r="136" spans="1:18" ht="15" customHeight="1">
      <c r="A136" s="19"/>
      <c r="B136" s="20">
        <f>DATE(2022,2,1)</f>
        <v>44593</v>
      </c>
      <c r="C136" s="21">
        <v>40513</v>
      </c>
      <c r="D136" s="21">
        <v>37429</v>
      </c>
      <c r="E136" s="23">
        <f t="shared" si="50"/>
        <v>0.08239600309920116</v>
      </c>
      <c r="F136" s="21">
        <f>+C136-21623</f>
        <v>18890</v>
      </c>
      <c r="G136" s="21">
        <f>+D136-19952</f>
        <v>17477</v>
      </c>
      <c r="H136" s="23">
        <f t="shared" si="51"/>
        <v>0.08084911598100361</v>
      </c>
      <c r="I136" s="24">
        <f t="shared" si="52"/>
        <v>73.4469397477353</v>
      </c>
      <c r="J136" s="24">
        <f t="shared" si="53"/>
        <v>157.52016251985177</v>
      </c>
      <c r="K136" s="21">
        <v>2975555.87</v>
      </c>
      <c r="L136" s="21">
        <v>2627318.7</v>
      </c>
      <c r="M136" s="25">
        <f t="shared" si="54"/>
        <v>0.13254470042024208</v>
      </c>
      <c r="N136" s="10"/>
      <c r="R136" s="2"/>
    </row>
    <row r="137" spans="1:18" ht="15" customHeight="1">
      <c r="A137" s="19"/>
      <c r="B137" s="20">
        <f>DATE(2022,3,1)</f>
        <v>44621</v>
      </c>
      <c r="C137" s="21">
        <v>49211</v>
      </c>
      <c r="D137" s="21">
        <v>59560</v>
      </c>
      <c r="E137" s="23">
        <f t="shared" si="50"/>
        <v>-0.17375755540631296</v>
      </c>
      <c r="F137" s="21">
        <f>+C137-26110</f>
        <v>23101</v>
      </c>
      <c r="G137" s="21">
        <f>+D137-31450</f>
        <v>28110</v>
      </c>
      <c r="H137" s="23">
        <f t="shared" si="51"/>
        <v>-0.17819281394521522</v>
      </c>
      <c r="I137" s="24">
        <f t="shared" si="52"/>
        <v>71.66710268029506</v>
      </c>
      <c r="J137" s="24">
        <f t="shared" si="53"/>
        <v>152.66913943119346</v>
      </c>
      <c r="K137" s="21">
        <v>3526809.79</v>
      </c>
      <c r="L137" s="21">
        <v>4280670.77</v>
      </c>
      <c r="M137" s="25">
        <f t="shared" si="54"/>
        <v>-0.17610814297685398</v>
      </c>
      <c r="N137" s="10"/>
      <c r="R137" s="2"/>
    </row>
    <row r="138" spans="1:18" ht="15.75" thickBot="1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Bot="1" thickTop="1">
      <c r="A139" s="62" t="s">
        <v>14</v>
      </c>
      <c r="B139" s="52"/>
      <c r="C139" s="48">
        <f>SUM(C129:C138)</f>
        <v>418168</v>
      </c>
      <c r="D139" s="48">
        <f>SUM(D129:D138)</f>
        <v>409449</v>
      </c>
      <c r="E139" s="280">
        <f>(+C139-D139)/D139</f>
        <v>0.021294471350522287</v>
      </c>
      <c r="F139" s="48">
        <f>SUM(F129:F138)</f>
        <v>200062</v>
      </c>
      <c r="G139" s="48">
        <f>SUM(G129:G138)</f>
        <v>197295</v>
      </c>
      <c r="H139" s="42">
        <f>(+F139-G139)/G139</f>
        <v>0.014024683849058516</v>
      </c>
      <c r="I139" s="50">
        <f>K139/C139</f>
        <v>69.81975732241587</v>
      </c>
      <c r="J139" s="50">
        <f>K139/F139</f>
        <v>145.93670102268297</v>
      </c>
      <c r="K139" s="48">
        <f>SUM(K129:K138)</f>
        <v>29196388.279999997</v>
      </c>
      <c r="L139" s="48">
        <f>SUM(L129:L138)</f>
        <v>28124113.859999996</v>
      </c>
      <c r="M139" s="44">
        <f>(+K139-L139)/L139</f>
        <v>0.03812651397081216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>
      <c r="A141" s="19" t="s">
        <v>17</v>
      </c>
      <c r="B141" s="20">
        <f>DATE(2021,7,1)</f>
        <v>44378</v>
      </c>
      <c r="C141" s="21">
        <v>395405</v>
      </c>
      <c r="D141" s="21">
        <v>316439</v>
      </c>
      <c r="E141" s="23">
        <f aca="true" t="shared" si="55" ref="E141:E149">(+C141-D141)/D141</f>
        <v>0.24954572603250547</v>
      </c>
      <c r="F141" s="21">
        <f>+C141-202613</f>
        <v>192792</v>
      </c>
      <c r="G141" s="21">
        <f>+D141-163690</f>
        <v>152749</v>
      </c>
      <c r="H141" s="23">
        <f aca="true" t="shared" si="56" ref="H141:H149">(+F141-G141)/G141</f>
        <v>0.2621490157055038</v>
      </c>
      <c r="I141" s="24">
        <f aca="true" t="shared" si="57" ref="I141:I149">K141/C141</f>
        <v>66.96832900443849</v>
      </c>
      <c r="J141" s="24">
        <f aca="true" t="shared" si="58" ref="J141:J149">K141/F141</f>
        <v>137.3480856570812</v>
      </c>
      <c r="K141" s="21">
        <v>26479612.13</v>
      </c>
      <c r="L141" s="21">
        <v>22725911.81</v>
      </c>
      <c r="M141" s="25">
        <f aca="true" t="shared" si="59" ref="M141:M149">(+K141-L141)/L141</f>
        <v>0.1651727046810185</v>
      </c>
      <c r="N141" s="10"/>
      <c r="R141" s="2"/>
    </row>
    <row r="142" spans="1:18" ht="15.75">
      <c r="A142" s="19"/>
      <c r="B142" s="20">
        <f>DATE(2021,8,1)</f>
        <v>44409</v>
      </c>
      <c r="C142" s="21">
        <v>360122</v>
      </c>
      <c r="D142" s="21">
        <v>305395</v>
      </c>
      <c r="E142" s="23">
        <f t="shared" si="55"/>
        <v>0.17920070728073478</v>
      </c>
      <c r="F142" s="21">
        <f>+C142-186327</f>
        <v>173795</v>
      </c>
      <c r="G142" s="21">
        <f>+D142-155433</f>
        <v>149962</v>
      </c>
      <c r="H142" s="23">
        <f t="shared" si="56"/>
        <v>0.15892692815513262</v>
      </c>
      <c r="I142" s="24">
        <f t="shared" si="57"/>
        <v>67.82060901583353</v>
      </c>
      <c r="J142" s="24">
        <f t="shared" si="58"/>
        <v>140.5316226588797</v>
      </c>
      <c r="K142" s="21">
        <v>24423693.36</v>
      </c>
      <c r="L142" s="21">
        <v>20775703.29</v>
      </c>
      <c r="M142" s="25">
        <f t="shared" si="59"/>
        <v>0.17558924572030699</v>
      </c>
      <c r="N142" s="10"/>
      <c r="R142" s="2"/>
    </row>
    <row r="143" spans="1:18" ht="15.75">
      <c r="A143" s="19"/>
      <c r="B143" s="20">
        <f>DATE(2021,9,1)</f>
        <v>44440</v>
      </c>
      <c r="C143" s="21">
        <v>353289</v>
      </c>
      <c r="D143" s="21">
        <v>318244</v>
      </c>
      <c r="E143" s="23">
        <f t="shared" si="55"/>
        <v>0.11011990799512324</v>
      </c>
      <c r="F143" s="21">
        <f>+C143-183914</f>
        <v>169375</v>
      </c>
      <c r="G143" s="21">
        <f>+D143-166636</f>
        <v>151608</v>
      </c>
      <c r="H143" s="23">
        <f t="shared" si="56"/>
        <v>0.11719038573162366</v>
      </c>
      <c r="I143" s="24">
        <f t="shared" si="57"/>
        <v>67.24789580202044</v>
      </c>
      <c r="J143" s="24">
        <f t="shared" si="58"/>
        <v>140.26829142435423</v>
      </c>
      <c r="K143" s="21">
        <v>23757941.86</v>
      </c>
      <c r="L143" s="21">
        <v>20397277.65</v>
      </c>
      <c r="M143" s="25">
        <f t="shared" si="59"/>
        <v>0.16476042870358246</v>
      </c>
      <c r="N143" s="10"/>
      <c r="R143" s="2"/>
    </row>
    <row r="144" spans="1:18" ht="15.75">
      <c r="A144" s="19"/>
      <c r="B144" s="20">
        <f>DATE(2021,10,1)</f>
        <v>44470</v>
      </c>
      <c r="C144" s="21">
        <v>364454</v>
      </c>
      <c r="D144" s="21">
        <v>334295</v>
      </c>
      <c r="E144" s="23">
        <f t="shared" si="55"/>
        <v>0.09021672474909885</v>
      </c>
      <c r="F144" s="21">
        <f>+C144-184794</f>
        <v>179660</v>
      </c>
      <c r="G144" s="21">
        <f>+D144-175103</f>
        <v>159192</v>
      </c>
      <c r="H144" s="23">
        <f t="shared" si="56"/>
        <v>0.12857430021609126</v>
      </c>
      <c r="I144" s="24">
        <f t="shared" si="57"/>
        <v>73.07088601030583</v>
      </c>
      <c r="J144" s="24">
        <f t="shared" si="58"/>
        <v>148.22986023600134</v>
      </c>
      <c r="K144" s="21">
        <v>26630976.69</v>
      </c>
      <c r="L144" s="21">
        <v>21914196.89</v>
      </c>
      <c r="M144" s="25">
        <f t="shared" si="59"/>
        <v>0.21523854256107308</v>
      </c>
      <c r="N144" s="10"/>
      <c r="R144" s="2"/>
    </row>
    <row r="145" spans="1:18" ht="15.75">
      <c r="A145" s="19"/>
      <c r="B145" s="20">
        <f>DATE(2021,11,1)</f>
        <v>44501</v>
      </c>
      <c r="C145" s="21">
        <v>343235</v>
      </c>
      <c r="D145" s="21">
        <v>292924</v>
      </c>
      <c r="E145" s="23">
        <f t="shared" si="55"/>
        <v>0.17175444825278913</v>
      </c>
      <c r="F145" s="21">
        <f>+C145-177609</f>
        <v>165626</v>
      </c>
      <c r="G145" s="21">
        <f>+D145-150746</f>
        <v>142178</v>
      </c>
      <c r="H145" s="23">
        <f t="shared" si="56"/>
        <v>0.1649200298217727</v>
      </c>
      <c r="I145" s="24">
        <f t="shared" si="57"/>
        <v>69.57171861843926</v>
      </c>
      <c r="J145" s="24">
        <f t="shared" si="58"/>
        <v>144.17693381473924</v>
      </c>
      <c r="K145" s="21">
        <v>23879448.84</v>
      </c>
      <c r="L145" s="21">
        <v>19060349.81</v>
      </c>
      <c r="M145" s="25">
        <f t="shared" si="59"/>
        <v>0.25283371386351283</v>
      </c>
      <c r="N145" s="10"/>
      <c r="R145" s="2"/>
    </row>
    <row r="146" spans="1:18" ht="15.75">
      <c r="A146" s="19"/>
      <c r="B146" s="20">
        <f>DATE(2021,12,1)</f>
        <v>44531</v>
      </c>
      <c r="C146" s="21">
        <v>379724</v>
      </c>
      <c r="D146" s="21">
        <v>344056</v>
      </c>
      <c r="E146" s="23">
        <f t="shared" si="55"/>
        <v>0.10366917013509429</v>
      </c>
      <c r="F146" s="21">
        <f>+C146-197551</f>
        <v>182173</v>
      </c>
      <c r="G146" s="21">
        <f>+D146-176597</f>
        <v>167459</v>
      </c>
      <c r="H146" s="23">
        <f t="shared" si="56"/>
        <v>0.08786628368735033</v>
      </c>
      <c r="I146" s="24">
        <f t="shared" si="57"/>
        <v>71.76307449621304</v>
      </c>
      <c r="J146" s="24">
        <f t="shared" si="58"/>
        <v>149.58397622040587</v>
      </c>
      <c r="K146" s="21">
        <v>27250161.7</v>
      </c>
      <c r="L146" s="21">
        <v>23881076.29</v>
      </c>
      <c r="M146" s="25">
        <f t="shared" si="59"/>
        <v>0.14107762016617217</v>
      </c>
      <c r="N146" s="10"/>
      <c r="R146" s="2"/>
    </row>
    <row r="147" spans="1:18" ht="15.75">
      <c r="A147" s="19"/>
      <c r="B147" s="20">
        <f>DATE(2022,1,1)</f>
        <v>44562</v>
      </c>
      <c r="C147" s="21">
        <v>335416</v>
      </c>
      <c r="D147" s="21">
        <v>393510</v>
      </c>
      <c r="E147" s="23">
        <f t="shared" si="55"/>
        <v>-0.14763030164417676</v>
      </c>
      <c r="F147" s="21">
        <f>+C147-174643</f>
        <v>160773</v>
      </c>
      <c r="G147" s="21">
        <f>+D147-207236</f>
        <v>186274</v>
      </c>
      <c r="H147" s="23">
        <f t="shared" si="56"/>
        <v>-0.13690047993815563</v>
      </c>
      <c r="I147" s="24">
        <f t="shared" si="57"/>
        <v>72.54911017959788</v>
      </c>
      <c r="J147" s="24">
        <f t="shared" si="58"/>
        <v>151.35708321670927</v>
      </c>
      <c r="K147" s="21">
        <v>24334132.34</v>
      </c>
      <c r="L147" s="21">
        <v>25974745.73</v>
      </c>
      <c r="M147" s="25">
        <f t="shared" si="59"/>
        <v>-0.0631618652615007</v>
      </c>
      <c r="N147" s="10"/>
      <c r="R147" s="2"/>
    </row>
    <row r="148" spans="1:18" ht="15.75">
      <c r="A148" s="19"/>
      <c r="B148" s="20">
        <f>DATE(2022,2,1)</f>
        <v>44593</v>
      </c>
      <c r="C148" s="21">
        <v>330616</v>
      </c>
      <c r="D148" s="21">
        <v>319714</v>
      </c>
      <c r="E148" s="23">
        <f t="shared" si="55"/>
        <v>0.034099226183401415</v>
      </c>
      <c r="F148" s="21">
        <f>+C148-173794</f>
        <v>156822</v>
      </c>
      <c r="G148" s="21">
        <f>+D148-169622</f>
        <v>150092</v>
      </c>
      <c r="H148" s="23">
        <f t="shared" si="56"/>
        <v>0.04483916531194201</v>
      </c>
      <c r="I148" s="24">
        <f t="shared" si="57"/>
        <v>70.19677674401723</v>
      </c>
      <c r="J148" s="24">
        <f t="shared" si="58"/>
        <v>147.99057236867276</v>
      </c>
      <c r="K148" s="21">
        <v>23208177.54</v>
      </c>
      <c r="L148" s="21">
        <v>22035625.11</v>
      </c>
      <c r="M148" s="25">
        <f t="shared" si="59"/>
        <v>0.05321167083514609</v>
      </c>
      <c r="N148" s="10"/>
      <c r="R148" s="2"/>
    </row>
    <row r="149" spans="1:18" ht="15.75">
      <c r="A149" s="19"/>
      <c r="B149" s="20">
        <f>DATE(2022,3,1)</f>
        <v>44621</v>
      </c>
      <c r="C149" s="21">
        <v>370986</v>
      </c>
      <c r="D149" s="21">
        <v>399522</v>
      </c>
      <c r="E149" s="23">
        <f t="shared" si="55"/>
        <v>-0.07142535329719014</v>
      </c>
      <c r="F149" s="21">
        <f>+C149-192946</f>
        <v>178040</v>
      </c>
      <c r="G149" s="21">
        <f>+D149-209767</f>
        <v>189755</v>
      </c>
      <c r="H149" s="23">
        <f t="shared" si="56"/>
        <v>-0.06173750362309294</v>
      </c>
      <c r="I149" s="24">
        <f t="shared" si="57"/>
        <v>72.04240979443969</v>
      </c>
      <c r="J149" s="24">
        <f t="shared" si="58"/>
        <v>150.11640889687712</v>
      </c>
      <c r="K149" s="21">
        <v>26726725.44</v>
      </c>
      <c r="L149" s="21">
        <v>27977243.69</v>
      </c>
      <c r="M149" s="25">
        <f t="shared" si="59"/>
        <v>-0.04469769301995167</v>
      </c>
      <c r="N149" s="10"/>
      <c r="R149" s="2"/>
    </row>
    <row r="150" spans="1:18" ht="15.75" thickBot="1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Bot="1" thickTop="1">
      <c r="A151" s="39" t="s">
        <v>14</v>
      </c>
      <c r="B151" s="40"/>
      <c r="C151" s="41">
        <f>SUM(C141:C150)</f>
        <v>3233247</v>
      </c>
      <c r="D151" s="41">
        <f>SUM(D141:D150)</f>
        <v>3024099</v>
      </c>
      <c r="E151" s="280">
        <f>(+C151-D151)/D151</f>
        <v>0.06916043423181582</v>
      </c>
      <c r="F151" s="41">
        <f>SUM(F141:F150)</f>
        <v>1559056</v>
      </c>
      <c r="G151" s="41">
        <f>SUM(G141:G150)</f>
        <v>1449269</v>
      </c>
      <c r="H151" s="42">
        <f>(+F151-G151)/G151</f>
        <v>0.07575336255726163</v>
      </c>
      <c r="I151" s="43">
        <f>K151/C151</f>
        <v>70.11245039429403</v>
      </c>
      <c r="J151" s="43">
        <f>K151/F151</f>
        <v>145.40264743537114</v>
      </c>
      <c r="K151" s="41">
        <f>SUM(K141:K150)</f>
        <v>226690869.89999998</v>
      </c>
      <c r="L151" s="41">
        <f>SUM(L141:L150)</f>
        <v>204742130.26999998</v>
      </c>
      <c r="M151" s="44">
        <f>(+K151-L151)/L151</f>
        <v>0.10720187194035488</v>
      </c>
      <c r="N151" s="10"/>
      <c r="R151" s="2"/>
    </row>
    <row r="152" spans="1:18" ht="15.75" customHeight="1" thickTop="1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>
      <c r="A153" s="19" t="s">
        <v>57</v>
      </c>
      <c r="B153" s="20">
        <f>DATE(2021,7,1)</f>
        <v>44378</v>
      </c>
      <c r="C153" s="21">
        <v>70527</v>
      </c>
      <c r="D153" s="21">
        <v>61338</v>
      </c>
      <c r="E153" s="23">
        <f aca="true" t="shared" si="60" ref="E153:E161">(+C153-D153)/D153</f>
        <v>0.1498092536437445</v>
      </c>
      <c r="F153" s="21">
        <f>+C153-30135</f>
        <v>40392</v>
      </c>
      <c r="G153" s="21">
        <f>+D153-27914</f>
        <v>33424</v>
      </c>
      <c r="H153" s="23">
        <f aca="true" t="shared" si="61" ref="H153:H161">(+F153-G153)/G153</f>
        <v>0.20847295356629966</v>
      </c>
      <c r="I153" s="24">
        <f aca="true" t="shared" si="62" ref="I153:I161">K153/C153</f>
        <v>58.011039318275266</v>
      </c>
      <c r="J153" s="24">
        <f aca="true" t="shared" si="63" ref="J153:J161">K153/F153</f>
        <v>101.29096281441869</v>
      </c>
      <c r="K153" s="21">
        <v>4091344.57</v>
      </c>
      <c r="L153" s="21">
        <v>3513092.29</v>
      </c>
      <c r="M153" s="25">
        <f aca="true" t="shared" si="64" ref="M153:M161">(+K153-L153)/L153</f>
        <v>0.16459922833396437</v>
      </c>
      <c r="N153" s="10"/>
      <c r="R153" s="2"/>
    </row>
    <row r="154" spans="1:18" ht="15.75">
      <c r="A154" s="19"/>
      <c r="B154" s="20">
        <f>DATE(2021,8,1)</f>
        <v>44409</v>
      </c>
      <c r="C154" s="21">
        <v>69916</v>
      </c>
      <c r="D154" s="21">
        <v>61855</v>
      </c>
      <c r="E154" s="23">
        <f t="shared" si="60"/>
        <v>0.13032091180987795</v>
      </c>
      <c r="F154" s="21">
        <f>+C154-30124</f>
        <v>39792</v>
      </c>
      <c r="G154" s="21">
        <f>+D154-27562</f>
        <v>34293</v>
      </c>
      <c r="H154" s="23">
        <f t="shared" si="61"/>
        <v>0.16035342489720936</v>
      </c>
      <c r="I154" s="24">
        <f t="shared" si="62"/>
        <v>56.214888723611196</v>
      </c>
      <c r="J154" s="24">
        <f t="shared" si="63"/>
        <v>98.7716164053076</v>
      </c>
      <c r="K154" s="21">
        <v>3930320.16</v>
      </c>
      <c r="L154" s="21">
        <v>3548299.04</v>
      </c>
      <c r="M154" s="25">
        <f t="shared" si="64"/>
        <v>0.10766316922375294</v>
      </c>
      <c r="N154" s="10"/>
      <c r="R154" s="2"/>
    </row>
    <row r="155" spans="1:18" ht="15.75">
      <c r="A155" s="19"/>
      <c r="B155" s="20">
        <f>DATE(2021,9,1)</f>
        <v>44440</v>
      </c>
      <c r="C155" s="21">
        <v>66900</v>
      </c>
      <c r="D155" s="21">
        <v>58255</v>
      </c>
      <c r="E155" s="23">
        <f t="shared" si="60"/>
        <v>0.14839927903184277</v>
      </c>
      <c r="F155" s="21">
        <f>+C155-28690</f>
        <v>38210</v>
      </c>
      <c r="G155" s="21">
        <f>+D155-26013</f>
        <v>32242</v>
      </c>
      <c r="H155" s="23">
        <f t="shared" si="61"/>
        <v>0.18510017988958502</v>
      </c>
      <c r="I155" s="24">
        <f t="shared" si="62"/>
        <v>54.345169955156955</v>
      </c>
      <c r="J155" s="24">
        <f t="shared" si="63"/>
        <v>95.1502713949228</v>
      </c>
      <c r="K155" s="21">
        <v>3635691.87</v>
      </c>
      <c r="L155" s="21">
        <v>3207756.78</v>
      </c>
      <c r="M155" s="25">
        <f t="shared" si="64"/>
        <v>0.13340633949186145</v>
      </c>
      <c r="N155" s="10"/>
      <c r="R155" s="2"/>
    </row>
    <row r="156" spans="1:18" ht="15.75">
      <c r="A156" s="19"/>
      <c r="B156" s="20">
        <f>DATE(2021,10,1)</f>
        <v>44470</v>
      </c>
      <c r="C156" s="21">
        <v>71041</v>
      </c>
      <c r="D156" s="21">
        <v>55328</v>
      </c>
      <c r="E156" s="23">
        <f t="shared" si="60"/>
        <v>0.28399725274725274</v>
      </c>
      <c r="F156" s="21">
        <f>+C156-30775</f>
        <v>40266</v>
      </c>
      <c r="G156" s="21">
        <f>+D156-22799</f>
        <v>32529</v>
      </c>
      <c r="H156" s="23">
        <f t="shared" si="61"/>
        <v>0.2378493036982385</v>
      </c>
      <c r="I156" s="24">
        <f t="shared" si="62"/>
        <v>58.03491589363888</v>
      </c>
      <c r="J156" s="24">
        <f t="shared" si="63"/>
        <v>102.39056424775245</v>
      </c>
      <c r="K156" s="21">
        <v>4122858.46</v>
      </c>
      <c r="L156" s="21">
        <v>2898446.12</v>
      </c>
      <c r="M156" s="25">
        <f t="shared" si="64"/>
        <v>0.42243750247805184</v>
      </c>
      <c r="N156" s="10"/>
      <c r="R156" s="2"/>
    </row>
    <row r="157" spans="1:18" ht="15.75">
      <c r="A157" s="19"/>
      <c r="B157" s="20">
        <f>DATE(2021,11,1)</f>
        <v>44501</v>
      </c>
      <c r="C157" s="21">
        <v>63538</v>
      </c>
      <c r="D157" s="21">
        <v>49882</v>
      </c>
      <c r="E157" s="23">
        <f t="shared" si="60"/>
        <v>0.27376608796760354</v>
      </c>
      <c r="F157" s="21">
        <f>+C157-27532</f>
        <v>36006</v>
      </c>
      <c r="G157" s="21">
        <f>+D157-20773</f>
        <v>29109</v>
      </c>
      <c r="H157" s="23">
        <f t="shared" si="61"/>
        <v>0.2369370297846027</v>
      </c>
      <c r="I157" s="24">
        <f t="shared" si="62"/>
        <v>58.94457505744594</v>
      </c>
      <c r="J157" s="24">
        <f t="shared" si="63"/>
        <v>104.01656418374716</v>
      </c>
      <c r="K157" s="21">
        <v>3745220.41</v>
      </c>
      <c r="L157" s="21">
        <v>2559239.66</v>
      </c>
      <c r="M157" s="25">
        <f t="shared" si="64"/>
        <v>0.4634113672652291</v>
      </c>
      <c r="N157" s="10"/>
      <c r="R157" s="2"/>
    </row>
    <row r="158" spans="1:18" ht="15.75">
      <c r="A158" s="19"/>
      <c r="B158" s="20">
        <f>DATE(2021,12,1)</f>
        <v>44531</v>
      </c>
      <c r="C158" s="21">
        <v>69761</v>
      </c>
      <c r="D158" s="21">
        <v>53490</v>
      </c>
      <c r="E158" s="23">
        <f t="shared" si="60"/>
        <v>0.3041876986352589</v>
      </c>
      <c r="F158" s="21">
        <f>+C158-31055</f>
        <v>38706</v>
      </c>
      <c r="G158" s="21">
        <f>+D158-22512</f>
        <v>30978</v>
      </c>
      <c r="H158" s="23">
        <f t="shared" si="61"/>
        <v>0.2494673639356963</v>
      </c>
      <c r="I158" s="24">
        <f t="shared" si="62"/>
        <v>59.03780880434627</v>
      </c>
      <c r="J158" s="24">
        <f t="shared" si="63"/>
        <v>106.40563685216762</v>
      </c>
      <c r="K158" s="21">
        <v>4118536.58</v>
      </c>
      <c r="L158" s="21">
        <v>2814228.51</v>
      </c>
      <c r="M158" s="25">
        <f t="shared" si="64"/>
        <v>0.4634691409618334</v>
      </c>
      <c r="N158" s="10"/>
      <c r="R158" s="2"/>
    </row>
    <row r="159" spans="1:18" ht="15.75">
      <c r="A159" s="19"/>
      <c r="B159" s="20">
        <f>DATE(2022,1,1)</f>
        <v>44562</v>
      </c>
      <c r="C159" s="21">
        <v>58380</v>
      </c>
      <c r="D159" s="21">
        <v>60656</v>
      </c>
      <c r="E159" s="23">
        <f t="shared" si="60"/>
        <v>-0.03752308098127143</v>
      </c>
      <c r="F159" s="21">
        <f>+C159-26040</f>
        <v>32340</v>
      </c>
      <c r="G159" s="21">
        <f>+D159-26102</f>
        <v>34554</v>
      </c>
      <c r="H159" s="23">
        <f t="shared" si="61"/>
        <v>-0.06407362389303699</v>
      </c>
      <c r="I159" s="24">
        <f t="shared" si="62"/>
        <v>60.6662183967112</v>
      </c>
      <c r="J159" s="24">
        <f t="shared" si="63"/>
        <v>109.51434230055659</v>
      </c>
      <c r="K159" s="21">
        <v>3541693.83</v>
      </c>
      <c r="L159" s="21">
        <v>3145575.75</v>
      </c>
      <c r="M159" s="25">
        <f t="shared" si="64"/>
        <v>0.12592864120344266</v>
      </c>
      <c r="N159" s="10"/>
      <c r="R159" s="2"/>
    </row>
    <row r="160" spans="1:18" ht="15.75">
      <c r="A160" s="19"/>
      <c r="B160" s="20">
        <f>DATE(2022,2,1)</f>
        <v>44593</v>
      </c>
      <c r="C160" s="21">
        <v>66748</v>
      </c>
      <c r="D160" s="21">
        <v>50775</v>
      </c>
      <c r="E160" s="23">
        <f t="shared" si="60"/>
        <v>0.31458394879369767</v>
      </c>
      <c r="F160" s="21">
        <f>+C160-30082</f>
        <v>36666</v>
      </c>
      <c r="G160" s="21">
        <f>+D160-21966</f>
        <v>28809</v>
      </c>
      <c r="H160" s="23">
        <f t="shared" si="61"/>
        <v>0.2727272727272727</v>
      </c>
      <c r="I160" s="24">
        <f t="shared" si="62"/>
        <v>60.51974171510757</v>
      </c>
      <c r="J160" s="24">
        <f t="shared" si="63"/>
        <v>110.17214094801724</v>
      </c>
      <c r="K160" s="21">
        <v>4039571.72</v>
      </c>
      <c r="L160" s="21">
        <v>2813909.67</v>
      </c>
      <c r="M160" s="25">
        <f t="shared" si="64"/>
        <v>0.4355726351372183</v>
      </c>
      <c r="N160" s="10"/>
      <c r="R160" s="2"/>
    </row>
    <row r="161" spans="1:18" ht="15.75">
      <c r="A161" s="19"/>
      <c r="B161" s="20">
        <f>DATE(2022,3,1)</f>
        <v>44621</v>
      </c>
      <c r="C161" s="21">
        <v>73525</v>
      </c>
      <c r="D161" s="21">
        <v>76729</v>
      </c>
      <c r="E161" s="23">
        <f t="shared" si="60"/>
        <v>-0.0417573538036466</v>
      </c>
      <c r="F161" s="21">
        <f>+C161-32882</f>
        <v>40643</v>
      </c>
      <c r="G161" s="21">
        <f>+D161-32968</f>
        <v>43761</v>
      </c>
      <c r="H161" s="23">
        <f t="shared" si="61"/>
        <v>-0.07125065697767419</v>
      </c>
      <c r="I161" s="24">
        <f t="shared" si="62"/>
        <v>61.68331193471608</v>
      </c>
      <c r="J161" s="24">
        <f t="shared" si="63"/>
        <v>111.5878628546121</v>
      </c>
      <c r="K161" s="21">
        <v>4535265.51</v>
      </c>
      <c r="L161" s="21">
        <v>4472904.94</v>
      </c>
      <c r="M161" s="25">
        <f t="shared" si="64"/>
        <v>0.013941850058633118</v>
      </c>
      <c r="N161" s="10"/>
      <c r="R161" s="2"/>
    </row>
    <row r="162" spans="1:18" ht="15.7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Bot="1" thickTop="1">
      <c r="A163" s="26" t="s">
        <v>14</v>
      </c>
      <c r="B163" s="27"/>
      <c r="C163" s="28">
        <f>SUM(C153:C162)</f>
        <v>610336</v>
      </c>
      <c r="D163" s="28">
        <f>SUM(D153:D162)</f>
        <v>528308</v>
      </c>
      <c r="E163" s="280">
        <f>(+C163-D163)/D163</f>
        <v>0.1552654890707693</v>
      </c>
      <c r="F163" s="28">
        <f>SUM(F153:F162)</f>
        <v>343021</v>
      </c>
      <c r="G163" s="28">
        <f>SUM(G153:G162)</f>
        <v>299699</v>
      </c>
      <c r="H163" s="42">
        <f>(+F163-G163)/G163</f>
        <v>0.1445517002058732</v>
      </c>
      <c r="I163" s="43">
        <f>K163/C163</f>
        <v>58.59150223811147</v>
      </c>
      <c r="J163" s="43">
        <f>K163/F163</f>
        <v>104.25164380606435</v>
      </c>
      <c r="K163" s="28">
        <f>SUM(K153:K162)</f>
        <v>35760503.11</v>
      </c>
      <c r="L163" s="28">
        <f>SUM(L153:L162)</f>
        <v>28973452.76</v>
      </c>
      <c r="M163" s="44">
        <f>(+K163-L163)/L163</f>
        <v>0.2342506571867756</v>
      </c>
      <c r="N163" s="10"/>
      <c r="R163" s="2"/>
    </row>
    <row r="164" spans="1:18" ht="16.5" thickBot="1" thickTop="1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Bot="1" thickTop="1">
      <c r="A165" s="64" t="s">
        <v>18</v>
      </c>
      <c r="B165" s="65"/>
      <c r="C165" s="28">
        <f>C163+C151+C67+C91+C103+C43+C19+C115+C127+C55+C139+C31+C79</f>
        <v>22423724</v>
      </c>
      <c r="D165" s="28">
        <f>D163+D151+D67+D91+D103+D43+D19+D115+D127+D55+D139+D31+D79</f>
        <v>19725291</v>
      </c>
      <c r="E165" s="279">
        <f>(+C165-D165)/D165</f>
        <v>0.13680066874552066</v>
      </c>
      <c r="F165" s="28">
        <f>F163+F151+F67+F91+F103+F43+F19+F115+F127+F55+F139+F31+F79</f>
        <v>11315615</v>
      </c>
      <c r="G165" s="28">
        <f>G163+G151+G67+G91+G103+G43+G19+G115+G127+G55+G139+G31+G79</f>
        <v>10007379</v>
      </c>
      <c r="H165" s="30">
        <f>(+F165-G165)/G165</f>
        <v>0.1307271364460165</v>
      </c>
      <c r="I165" s="31">
        <f>K165/C165</f>
        <v>63.20572327995119</v>
      </c>
      <c r="J165" s="31">
        <f>K165/F165</f>
        <v>125.25237859807002</v>
      </c>
      <c r="K165" s="28">
        <f>K163+K151+K67+K91+K103+K43+K19+K115+K127+K55+K139+K31+K79</f>
        <v>1417307694.0500002</v>
      </c>
      <c r="L165" s="28">
        <f>L163+L151+L67+L91+L103+L43+L19+L115+L127+L55+L139+L31+L79</f>
        <v>1225572162.93</v>
      </c>
      <c r="M165" s="32">
        <f>(+K165-L165)/L165</f>
        <v>0.15644572952898517</v>
      </c>
      <c r="N165" s="10"/>
      <c r="R165" s="2"/>
    </row>
    <row r="166" spans="1:18" ht="17.25" thickBot="1" thickTop="1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Bot="1" thickTop="1">
      <c r="A167" s="64" t="s">
        <v>19</v>
      </c>
      <c r="B167" s="65"/>
      <c r="C167" s="28">
        <f>SUM(C17+C29+C41+C53+C65+C77+C89+C101+C113+C125+C137+C149+C161)</f>
        <v>2665015</v>
      </c>
      <c r="D167" s="28">
        <f>SUM(D17+D29+D41+D53+D65+D77+D89+D101+D113+D125+D137+D149+D161)</f>
        <v>2712133</v>
      </c>
      <c r="E167" s="279">
        <f>(+C167-D167)/D167</f>
        <v>-0.01737304180879035</v>
      </c>
      <c r="F167" s="28">
        <f>SUM(F17+F29+F41+F53+F65+F77+F89+F101+F113+F125+F137+F149+F161)</f>
        <v>1334389</v>
      </c>
      <c r="G167" s="28">
        <f>SUM(G17+G29+G41+G53+G65+G77+G89+G101+G113+G125+G137+G149+G161)</f>
        <v>1358209</v>
      </c>
      <c r="H167" s="30">
        <f>(+F167-G167)/G167</f>
        <v>-0.017537801619632913</v>
      </c>
      <c r="I167" s="31">
        <f>K167/C167</f>
        <v>66.3203953561237</v>
      </c>
      <c r="J167" s="31">
        <f>K167/F167</f>
        <v>132.45376605322733</v>
      </c>
      <c r="K167" s="28">
        <f>SUM(K17+K29+K41+K53+K65+K77+K89+K101+K113+K125+K137+K149+K161)</f>
        <v>176744848.42999998</v>
      </c>
      <c r="L167" s="28">
        <f>SUM(L17+L29+L41+L53+L65+L77+L89+L101+L113+L125+L137+L149+L161)</f>
        <v>176656263.9</v>
      </c>
      <c r="M167" s="32">
        <f>(+K167-L167)/L167</f>
        <v>0.0005014513951801705</v>
      </c>
      <c r="N167" s="10"/>
      <c r="R167" s="2"/>
    </row>
    <row r="168" spans="1:18" ht="15.75" thickTop="1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8.75">
      <c r="A169" s="264" t="s">
        <v>20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8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.7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ht="15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ht="15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.7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.7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.7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.7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DATE(2021,7,1)</f>
        <v>44378</v>
      </c>
      <c r="B10" s="89">
        <f>'MONTHLY STATS'!$C$9*2</f>
        <v>465606</v>
      </c>
      <c r="C10" s="89">
        <f>'MONTHLY STATS'!$C$21*2</f>
        <v>232214</v>
      </c>
      <c r="D10" s="89">
        <f>'MONTHLY STATS'!$C$33*2</f>
        <v>133674</v>
      </c>
      <c r="E10" s="89">
        <f>'MONTHLY STATS'!$C$45*2</f>
        <v>674450</v>
      </c>
      <c r="F10" s="89">
        <f>'MONTHLY STATS'!$C$57*2</f>
        <v>512458</v>
      </c>
      <c r="G10" s="89">
        <f>'MONTHLY STATS'!$C$69*2</f>
        <v>208586</v>
      </c>
      <c r="H10" s="89">
        <f>'MONTHLY STATS'!$C$81*2</f>
        <v>449386</v>
      </c>
      <c r="I10" s="89">
        <f>'MONTHLY STATS'!$C$93*2</f>
        <v>502180</v>
      </c>
      <c r="J10" s="89">
        <f>'MONTHLY STATS'!$C$105*2</f>
        <v>585252</v>
      </c>
      <c r="K10" s="89">
        <f>'MONTHLY STATS'!$C$117*2</f>
        <v>677802</v>
      </c>
      <c r="L10" s="89">
        <f>'MONTHLY STATS'!$C$129*2</f>
        <v>109046</v>
      </c>
      <c r="M10" s="89">
        <f>'MONTHLY STATS'!$C$141*2</f>
        <v>790810</v>
      </c>
      <c r="N10" s="89">
        <f>'MONTHLY STATS'!$C$153*2</f>
        <v>141054</v>
      </c>
      <c r="O10" s="90">
        <f aca="true" t="shared" si="0" ref="O10:O15">SUM(B10:N10)</f>
        <v>5482518</v>
      </c>
      <c r="P10" s="83"/>
    </row>
    <row r="11" spans="1:16" ht="15.75">
      <c r="A11" s="88">
        <f>DATE(2021,8,1)</f>
        <v>44409</v>
      </c>
      <c r="B11" s="89">
        <f>'MONTHLY STATS'!$C$10*2</f>
        <v>449698</v>
      </c>
      <c r="C11" s="89">
        <f>'MONTHLY STATS'!$C$22*2</f>
        <v>206706</v>
      </c>
      <c r="D11" s="89">
        <f>'MONTHLY STATS'!$C$34*2</f>
        <v>112224</v>
      </c>
      <c r="E11" s="89">
        <f>'MONTHLY STATS'!$C$46*2</f>
        <v>604600</v>
      </c>
      <c r="F11" s="89">
        <f>'MONTHLY STATS'!$C$58*2</f>
        <v>465706</v>
      </c>
      <c r="G11" s="89">
        <f>'MONTHLY STATS'!$C$70*2</f>
        <v>186244</v>
      </c>
      <c r="H11" s="89">
        <f>'MONTHLY STATS'!$C$82*2</f>
        <v>507374</v>
      </c>
      <c r="I11" s="89">
        <f>'MONTHLY STATS'!$C$94*2</f>
        <v>430958</v>
      </c>
      <c r="J11" s="89">
        <f>'MONTHLY STATS'!$C$106*2</f>
        <v>505624</v>
      </c>
      <c r="K11" s="89">
        <f>'MONTHLY STATS'!$C$118*2</f>
        <v>631006</v>
      </c>
      <c r="L11" s="89">
        <f>'MONTHLY STATS'!$C$130*2</f>
        <v>95368</v>
      </c>
      <c r="M11" s="89">
        <f>'MONTHLY STATS'!$C$142*2</f>
        <v>720244</v>
      </c>
      <c r="N11" s="89">
        <f>'MONTHLY STATS'!$C$154*2</f>
        <v>139832</v>
      </c>
      <c r="O11" s="90">
        <f t="shared" si="0"/>
        <v>5055584</v>
      </c>
      <c r="P11" s="83"/>
    </row>
    <row r="12" spans="1:16" ht="15.75">
      <c r="A12" s="88">
        <f>DATE(2021,9,1)</f>
        <v>44440</v>
      </c>
      <c r="B12" s="89">
        <f>'MONTHLY STATS'!$C$11*2</f>
        <v>412100</v>
      </c>
      <c r="C12" s="89">
        <f>'MONTHLY STATS'!$C$23*2</f>
        <v>207192</v>
      </c>
      <c r="D12" s="89">
        <f>'MONTHLY STATS'!$C$35*2</f>
        <v>116168</v>
      </c>
      <c r="E12" s="89">
        <f>'MONTHLY STATS'!$C$47*2</f>
        <v>672284</v>
      </c>
      <c r="F12" s="89">
        <f>'MONTHLY STATS'!$C$59*2</f>
        <v>448838</v>
      </c>
      <c r="G12" s="89">
        <f>'MONTHLY STATS'!$C$71*2</f>
        <v>184408</v>
      </c>
      <c r="H12" s="89">
        <f>'MONTHLY STATS'!$C$83*2</f>
        <v>471842</v>
      </c>
      <c r="I12" s="89">
        <f>'MONTHLY STATS'!$C$95*2</f>
        <v>427862</v>
      </c>
      <c r="J12" s="89">
        <f>'MONTHLY STATS'!$C$107*2</f>
        <v>491984</v>
      </c>
      <c r="K12" s="89">
        <f>'MONTHLY STATS'!$C$119*2</f>
        <v>658594</v>
      </c>
      <c r="L12" s="89">
        <f>'MONTHLY STATS'!$C$131*2</f>
        <v>94578</v>
      </c>
      <c r="M12" s="89">
        <f>'MONTHLY STATS'!$C$143*2</f>
        <v>706578</v>
      </c>
      <c r="N12" s="89">
        <f>'MONTHLY STATS'!$C$155*2</f>
        <v>133800</v>
      </c>
      <c r="O12" s="90">
        <f t="shared" si="0"/>
        <v>5026228</v>
      </c>
      <c r="P12" s="83"/>
    </row>
    <row r="13" spans="1:16" ht="15.75">
      <c r="A13" s="88">
        <f>DATE(2021,10,1)</f>
        <v>44470</v>
      </c>
      <c r="B13" s="89">
        <f>'MONTHLY STATS'!$C$12*2</f>
        <v>439076</v>
      </c>
      <c r="C13" s="89">
        <f>'MONTHLY STATS'!$C$24*2</f>
        <v>220158</v>
      </c>
      <c r="D13" s="89">
        <f>'MONTHLY STATS'!$C$36*2</f>
        <v>115720</v>
      </c>
      <c r="E13" s="89">
        <f>'MONTHLY STATS'!$C$48*2</f>
        <v>667614</v>
      </c>
      <c r="F13" s="89">
        <f>'MONTHLY STATS'!$C$60*2</f>
        <v>463784</v>
      </c>
      <c r="G13" s="89">
        <f>'MONTHLY STATS'!$C$72*2</f>
        <v>186650</v>
      </c>
      <c r="H13" s="89">
        <f>'MONTHLY STATS'!$C$84*2</f>
        <v>443600</v>
      </c>
      <c r="I13" s="89">
        <f>'MONTHLY STATS'!$C$96*2</f>
        <v>425830</v>
      </c>
      <c r="J13" s="89">
        <f>'MONTHLY STATS'!$C$108*2</f>
        <v>531886</v>
      </c>
      <c r="K13" s="89">
        <f>'MONTHLY STATS'!$C$120*2</f>
        <v>686336</v>
      </c>
      <c r="L13" s="89">
        <f>'MONTHLY STATS'!$C$132*2</f>
        <v>102038</v>
      </c>
      <c r="M13" s="89">
        <f>'MONTHLY STATS'!$C$144*2</f>
        <v>728908</v>
      </c>
      <c r="N13" s="89">
        <f>'MONTHLY STATS'!$C$156*2</f>
        <v>142082</v>
      </c>
      <c r="O13" s="90">
        <f t="shared" si="0"/>
        <v>5153682</v>
      </c>
      <c r="P13" s="83"/>
    </row>
    <row r="14" spans="1:16" ht="15.75">
      <c r="A14" s="88">
        <f>DATE(2021,11,1)</f>
        <v>44501</v>
      </c>
      <c r="B14" s="89">
        <f>'MONTHLY STATS'!$C$13*2</f>
        <v>402662</v>
      </c>
      <c r="C14" s="89">
        <f>'MONTHLY STATS'!$C$25*2</f>
        <v>190628</v>
      </c>
      <c r="D14" s="89">
        <f>'MONTHLY STATS'!$C$37*2</f>
        <v>103506</v>
      </c>
      <c r="E14" s="89">
        <f>'MONTHLY STATS'!$C$49*2</f>
        <v>606872</v>
      </c>
      <c r="F14" s="89">
        <f>'MONTHLY STATS'!$C$61*2</f>
        <v>439354</v>
      </c>
      <c r="G14" s="89">
        <f>'MONTHLY STATS'!$C$73*2</f>
        <v>175200</v>
      </c>
      <c r="H14" s="89">
        <f>'MONTHLY STATS'!$C$85*2</f>
        <v>404266</v>
      </c>
      <c r="I14" s="89">
        <f>'MONTHLY STATS'!$C$97*2</f>
        <v>368842</v>
      </c>
      <c r="J14" s="89">
        <f>'MONTHLY STATS'!$C$109*2</f>
        <v>503654</v>
      </c>
      <c r="K14" s="89">
        <f>'MONTHLY STATS'!$C$121*2</f>
        <v>638286</v>
      </c>
      <c r="L14" s="89">
        <f>'MONTHLY STATS'!$C$133*2</f>
        <v>85956</v>
      </c>
      <c r="M14" s="89">
        <f>'MONTHLY STATS'!$C$145*2</f>
        <v>686470</v>
      </c>
      <c r="N14" s="89">
        <f>'MONTHLY STATS'!$C$157*2</f>
        <v>127076</v>
      </c>
      <c r="O14" s="90">
        <f t="shared" si="0"/>
        <v>4732772</v>
      </c>
      <c r="P14" s="83"/>
    </row>
    <row r="15" spans="1:16" ht="15.75">
      <c r="A15" s="88">
        <f>DATE(2021,12,1)</f>
        <v>44531</v>
      </c>
      <c r="B15" s="89">
        <f>'MONTHLY STATS'!$C$14*2</f>
        <v>425362</v>
      </c>
      <c r="C15" s="89">
        <f>'MONTHLY STATS'!$C$26*2</f>
        <v>209106</v>
      </c>
      <c r="D15" s="89">
        <f>'MONTHLY STATS'!$C$38*2</f>
        <v>114218</v>
      </c>
      <c r="E15" s="89">
        <f>'MONTHLY STATS'!$C$50*2</f>
        <v>627794</v>
      </c>
      <c r="F15" s="89">
        <f>'MONTHLY STATS'!$C$62*2</f>
        <v>466760</v>
      </c>
      <c r="G15" s="89">
        <f>'MONTHLY STATS'!$C$74*2</f>
        <v>195630</v>
      </c>
      <c r="H15" s="89">
        <f>'MONTHLY STATS'!$C$86*2</f>
        <v>411716</v>
      </c>
      <c r="I15" s="89">
        <f>'MONTHLY STATS'!$C$98*2</f>
        <v>422928</v>
      </c>
      <c r="J15" s="89">
        <f>'MONTHLY STATS'!$C$110*2</f>
        <v>536030</v>
      </c>
      <c r="K15" s="89">
        <f>'MONTHLY STATS'!$C$122*2</f>
        <v>675412</v>
      </c>
      <c r="L15" s="89">
        <f>'MONTHLY STATS'!$C$134*2</f>
        <v>93464</v>
      </c>
      <c r="M15" s="89">
        <f>'MONTHLY STATS'!$C$146*2</f>
        <v>759448</v>
      </c>
      <c r="N15" s="89">
        <f>'MONTHLY STATS'!$C$158*2</f>
        <v>139522</v>
      </c>
      <c r="O15" s="90">
        <f t="shared" si="0"/>
        <v>5077390</v>
      </c>
      <c r="P15" s="83"/>
    </row>
    <row r="16" spans="1:16" ht="15.75">
      <c r="A16" s="88">
        <f>DATE(2022,1,1)</f>
        <v>44562</v>
      </c>
      <c r="B16" s="89">
        <f>'MONTHLY STATS'!$C$15*2</f>
        <v>367126</v>
      </c>
      <c r="C16" s="89">
        <f>'MONTHLY STATS'!$C$27*2</f>
        <v>171746</v>
      </c>
      <c r="D16" s="89">
        <f>'MONTHLY STATS'!$C$39*2</f>
        <v>94542</v>
      </c>
      <c r="E16" s="89">
        <f>'MONTHLY STATS'!$C$51*2</f>
        <v>568630</v>
      </c>
      <c r="F16" s="89">
        <f>'MONTHLY STATS'!$C$63*2</f>
        <v>392450</v>
      </c>
      <c r="G16" s="89">
        <f>'MONTHLY STATS'!$C$75*2</f>
        <v>168356</v>
      </c>
      <c r="H16" s="89">
        <f>'MONTHLY STATS'!$C$87*2</f>
        <v>358398</v>
      </c>
      <c r="I16" s="89">
        <f>'MONTHLY STATS'!$C$99*2</f>
        <v>368476</v>
      </c>
      <c r="J16" s="89">
        <f>'MONTHLY STATS'!$C$111*2</f>
        <v>468718</v>
      </c>
      <c r="K16" s="89">
        <f>'MONTHLY STATS'!$C$123*2</f>
        <v>621122</v>
      </c>
      <c r="L16" s="89">
        <f>'MONTHLY STATS'!$C$135*2</f>
        <v>76438</v>
      </c>
      <c r="M16" s="89">
        <f>'MONTHLY STATS'!$C$147*2</f>
        <v>670832</v>
      </c>
      <c r="N16" s="89">
        <f>'MONTHLY STATS'!$C$159*2</f>
        <v>116760</v>
      </c>
      <c r="O16" s="90">
        <f>SUM(B16:N16)</f>
        <v>4443594</v>
      </c>
      <c r="P16" s="83"/>
    </row>
    <row r="17" spans="1:16" ht="15.75">
      <c r="A17" s="88">
        <f>DATE(2022,2,1)</f>
        <v>44593</v>
      </c>
      <c r="B17" s="89">
        <f>'MONTHLY STATS'!$C$16*2</f>
        <v>396266</v>
      </c>
      <c r="C17" s="89">
        <f>'MONTHLY STATS'!$C$28*2</f>
        <v>190868</v>
      </c>
      <c r="D17" s="89">
        <f>'MONTHLY STATS'!$C$40*2</f>
        <v>102558</v>
      </c>
      <c r="E17" s="89">
        <f>'MONTHLY STATS'!$C$52*2</f>
        <v>558304</v>
      </c>
      <c r="F17" s="89">
        <f>'MONTHLY STATS'!$C$64*2</f>
        <v>396010</v>
      </c>
      <c r="G17" s="89">
        <f>'MONTHLY STATS'!$C$76*2</f>
        <v>172648</v>
      </c>
      <c r="H17" s="89">
        <f>'MONTHLY STATS'!$C$88*2</f>
        <v>369476</v>
      </c>
      <c r="I17" s="89">
        <f>'MONTHLY STATS'!$C$100*2</f>
        <v>372166</v>
      </c>
      <c r="J17" s="89">
        <f>'MONTHLY STATS'!$C$112*2</f>
        <v>507200</v>
      </c>
      <c r="K17" s="89">
        <f>'MONTHLY STATS'!$C$124*2</f>
        <v>604400</v>
      </c>
      <c r="L17" s="89">
        <f>'MONTHLY STATS'!$C$136*2</f>
        <v>81026</v>
      </c>
      <c r="M17" s="89">
        <f>'MONTHLY STATS'!$C$148*2</f>
        <v>661232</v>
      </c>
      <c r="N17" s="89">
        <f>'MONTHLY STATS'!$C$160*2</f>
        <v>133496</v>
      </c>
      <c r="O17" s="90">
        <f>SUM(B17:N17)</f>
        <v>4545650</v>
      </c>
      <c r="P17" s="83"/>
    </row>
    <row r="18" spans="1:16" ht="15.75">
      <c r="A18" s="88">
        <f>DATE(2022,3,1)</f>
        <v>44621</v>
      </c>
      <c r="B18" s="89">
        <f>'MONTHLY STATS'!$C$17*2</f>
        <v>458554</v>
      </c>
      <c r="C18" s="89">
        <f>'MONTHLY STATS'!$C$29*2</f>
        <v>219670</v>
      </c>
      <c r="D18" s="89">
        <f>'MONTHLY STATS'!$C$41*2</f>
        <v>121536</v>
      </c>
      <c r="E18" s="89">
        <f>'MONTHLY STATS'!$C$53*2</f>
        <v>686284</v>
      </c>
      <c r="F18" s="89">
        <f>'MONTHLY STATS'!$C$65*2</f>
        <v>454644</v>
      </c>
      <c r="G18" s="89">
        <f>'MONTHLY STATS'!$C$77*2</f>
        <v>200722</v>
      </c>
      <c r="H18" s="89">
        <f>'MONTHLY STATS'!$C$89*2</f>
        <v>430512</v>
      </c>
      <c r="I18" s="89">
        <f>'MONTHLY STATS'!$C$101*2</f>
        <v>473458</v>
      </c>
      <c r="J18" s="89">
        <f>'MONTHLY STATS'!$C$113*2</f>
        <v>572962</v>
      </c>
      <c r="K18" s="89">
        <f>'MONTHLY STATS'!$C$125*2</f>
        <v>724244</v>
      </c>
      <c r="L18" s="89">
        <f>'MONTHLY STATS'!$C$137*2</f>
        <v>98422</v>
      </c>
      <c r="M18" s="89">
        <f>'MONTHLY STATS'!$C$149*2</f>
        <v>741972</v>
      </c>
      <c r="N18" s="89">
        <f>'MONTHLY STATS'!$C$161*2</f>
        <v>147050</v>
      </c>
      <c r="O18" s="90">
        <f>SUM(B18:N18)</f>
        <v>5330030</v>
      </c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27</v>
      </c>
      <c r="B23" s="90">
        <f aca="true" t="shared" si="1" ref="B23:O23">SUM(B10:B21)</f>
        <v>3816450</v>
      </c>
      <c r="C23" s="90">
        <f t="shared" si="1"/>
        <v>1848288</v>
      </c>
      <c r="D23" s="90">
        <f t="shared" si="1"/>
        <v>1014146</v>
      </c>
      <c r="E23" s="90">
        <f t="shared" si="1"/>
        <v>5666832</v>
      </c>
      <c r="F23" s="90">
        <f t="shared" si="1"/>
        <v>4040004</v>
      </c>
      <c r="G23" s="90">
        <f>SUM(G10:G21)</f>
        <v>1678444</v>
      </c>
      <c r="H23" s="90">
        <f t="shared" si="1"/>
        <v>3846570</v>
      </c>
      <c r="I23" s="90">
        <f>SUM(I10:I21)</f>
        <v>3792700</v>
      </c>
      <c r="J23" s="90">
        <f t="shared" si="1"/>
        <v>4703310</v>
      </c>
      <c r="K23" s="90">
        <f>SUM(K10:K21)</f>
        <v>5917202</v>
      </c>
      <c r="L23" s="90">
        <f t="shared" si="1"/>
        <v>836336</v>
      </c>
      <c r="M23" s="90">
        <f t="shared" si="1"/>
        <v>6466494</v>
      </c>
      <c r="N23" s="90">
        <f t="shared" si="1"/>
        <v>1220672</v>
      </c>
      <c r="O23" s="90">
        <f t="shared" si="1"/>
        <v>44847448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DATE(2021,7,1)</f>
        <v>44378</v>
      </c>
      <c r="B31" s="89">
        <f>'MONTHLY STATS'!$K$9*0.21</f>
        <v>3347290.5080999997</v>
      </c>
      <c r="C31" s="89">
        <f>'MONTHLY STATS'!$K$21*0.21</f>
        <v>1692376.4865</v>
      </c>
      <c r="D31" s="89">
        <f>'MONTHLY STATS'!$K$33*0.21</f>
        <v>966002.7195</v>
      </c>
      <c r="E31" s="89">
        <f>'MONTHLY STATS'!$K$45*0.21</f>
        <v>4051465.2297</v>
      </c>
      <c r="F31" s="89">
        <f>'MONTHLY STATS'!$K$57*0.21</f>
        <v>3404376.3956999998</v>
      </c>
      <c r="G31" s="89">
        <f>'MONTHLY STATS'!$K$69*0.21</f>
        <v>1359356.1113999998</v>
      </c>
      <c r="H31" s="89">
        <f>'MONTHLY STATS'!$K$81*0.21</f>
        <v>1998001.6497</v>
      </c>
      <c r="I31" s="89">
        <f>'MONTHLY STATS'!$K$93*0.21</f>
        <v>3112641.8022</v>
      </c>
      <c r="J31" s="89">
        <f>'MONTHLY STATS'!$K$105*0.21</f>
        <v>3802869.9156</v>
      </c>
      <c r="K31" s="89">
        <f>'MONTHLY STATS'!$K$117*0.21</f>
        <v>4229164.459799999</v>
      </c>
      <c r="L31" s="89">
        <f>'MONTHLY STATS'!$K$129*0.21</f>
        <v>763729.8102</v>
      </c>
      <c r="M31" s="89">
        <f>'MONTHLY STATS'!$K$141*0.21</f>
        <v>5560718.5473</v>
      </c>
      <c r="N31" s="89">
        <f>'MONTHLY STATS'!$K$153*0.21</f>
        <v>859182.3596999999</v>
      </c>
      <c r="O31" s="90">
        <f aca="true" t="shared" si="2" ref="O31:O36">SUM(B31:N31)</f>
        <v>35147175.995400004</v>
      </c>
      <c r="P31" s="83"/>
    </row>
    <row r="32" spans="1:16" ht="15.75">
      <c r="A32" s="88">
        <f>DATE(2021,8,1)</f>
        <v>44409</v>
      </c>
      <c r="B32" s="89">
        <f>'MONTHLY STATS'!$K$10*0.21</f>
        <v>3166085.3951999997</v>
      </c>
      <c r="C32" s="89">
        <f>'MONTHLY STATS'!$K$22*0.21</f>
        <v>1509930.7881</v>
      </c>
      <c r="D32" s="89">
        <f>'MONTHLY STATS'!$K$34*0.21</f>
        <v>806000.4729</v>
      </c>
      <c r="E32" s="89">
        <f>'MONTHLY STATS'!$K$46*0.21</f>
        <v>3699418.1552999998</v>
      </c>
      <c r="F32" s="89">
        <f>'MONTHLY STATS'!$K$58*0.21</f>
        <v>2811660.0855</v>
      </c>
      <c r="G32" s="89">
        <f>'MONTHLY STATS'!$K$70*0.21</f>
        <v>1231968.5007</v>
      </c>
      <c r="H32" s="89">
        <f>'MONTHLY STATS'!$K$82*0.21</f>
        <v>1988771.3874</v>
      </c>
      <c r="I32" s="89">
        <f>'MONTHLY STATS'!$K$94*0.21</f>
        <v>2755751.5986</v>
      </c>
      <c r="J32" s="89">
        <f>'MONTHLY STATS'!$K$106*0.21</f>
        <v>3419526.1169999996</v>
      </c>
      <c r="K32" s="89">
        <f>'MONTHLY STATS'!$K$118*0.21</f>
        <v>4030922.8197</v>
      </c>
      <c r="L32" s="89">
        <f>'MONTHLY STATS'!$K$130*0.21</f>
        <v>677192.1638999999</v>
      </c>
      <c r="M32" s="89">
        <f>'MONTHLY STATS'!$K$142*0.21</f>
        <v>5128975.605599999</v>
      </c>
      <c r="N32" s="89">
        <f>'MONTHLY STATS'!$K$154*0.21</f>
        <v>825367.2336</v>
      </c>
      <c r="O32" s="90">
        <f t="shared" si="2"/>
        <v>32051570.323499996</v>
      </c>
      <c r="P32" s="83"/>
    </row>
    <row r="33" spans="1:16" ht="15.75">
      <c r="A33" s="88">
        <f>DATE(2021,9,1)</f>
        <v>44440</v>
      </c>
      <c r="B33" s="89">
        <f>'MONTHLY STATS'!$K$11*0.21</f>
        <v>2914050.8712</v>
      </c>
      <c r="C33" s="89">
        <f>'MONTHLY STATS'!$K$23*0.21</f>
        <v>1602237.4431</v>
      </c>
      <c r="D33" s="89">
        <f>'MONTHLY STATS'!$K$35*0.21</f>
        <v>858189.4209</v>
      </c>
      <c r="E33" s="89">
        <f>'MONTHLY STATS'!$K$47*0.21</f>
        <v>4071781.6902</v>
      </c>
      <c r="F33" s="89">
        <f>'MONTHLY STATS'!$K$59*0.21</f>
        <v>3042866.5428</v>
      </c>
      <c r="G33" s="89">
        <f>'MONTHLY STATS'!$K$71*0.21</f>
        <v>1257725.1036</v>
      </c>
      <c r="H33" s="89">
        <f>'MONTHLY STATS'!$K$83*0.21</f>
        <v>2110648.4133</v>
      </c>
      <c r="I33" s="89">
        <f>'MONTHLY STATS'!$K$95*0.21</f>
        <v>2545471.0763999997</v>
      </c>
      <c r="J33" s="89">
        <f>'MONTHLY STATS'!$K$107*0.21</f>
        <v>3038934.9795</v>
      </c>
      <c r="K33" s="89">
        <f>'MONTHLY STATS'!$K$119*0.21</f>
        <v>4090020.0474</v>
      </c>
      <c r="L33" s="89">
        <f>'MONTHLY STATS'!$K$131*0.21</f>
        <v>660366.0314999999</v>
      </c>
      <c r="M33" s="89">
        <f>'MONTHLY STATS'!$K$143*0.21</f>
        <v>4989167.7906</v>
      </c>
      <c r="N33" s="89">
        <f>'MONTHLY STATS'!$K$155*0.21</f>
        <v>763495.2927</v>
      </c>
      <c r="O33" s="90">
        <f t="shared" si="2"/>
        <v>31944954.703200005</v>
      </c>
      <c r="P33" s="83"/>
    </row>
    <row r="34" spans="1:16" ht="15.75">
      <c r="A34" s="88">
        <f>DATE(2021,10,1)</f>
        <v>44470</v>
      </c>
      <c r="B34" s="89">
        <f>'MONTHLY STATS'!$K$12*0.21</f>
        <v>3202283.8911</v>
      </c>
      <c r="C34" s="89">
        <f>'MONTHLY STATS'!$K$24*0.21</f>
        <v>1646199.1896</v>
      </c>
      <c r="D34" s="89">
        <f>'MONTHLY STATS'!$K$36*0.21</f>
        <v>861622.5680999999</v>
      </c>
      <c r="E34" s="89">
        <f>'MONTHLY STATS'!$K$48*0.21</f>
        <v>4026629.2458</v>
      </c>
      <c r="F34" s="89">
        <f>'MONTHLY STATS'!$K$60*0.21</f>
        <v>3131092.1816999996</v>
      </c>
      <c r="G34" s="89">
        <f>'MONTHLY STATS'!$K$72*0.21</f>
        <v>1210593.4700999998</v>
      </c>
      <c r="H34" s="89">
        <f>'MONTHLY STATS'!$K$84*0.21</f>
        <v>2183798.0157</v>
      </c>
      <c r="I34" s="89">
        <f>'MONTHLY STATS'!$K$96*0.21</f>
        <v>2694564.7301999996</v>
      </c>
      <c r="J34" s="89">
        <f>'MONTHLY STATS'!$K$108*0.21</f>
        <v>3463632.4316999996</v>
      </c>
      <c r="K34" s="89">
        <f>'MONTHLY STATS'!$K$120*0.21</f>
        <v>4415796.312899999</v>
      </c>
      <c r="L34" s="89">
        <f>'MONTHLY STATS'!$K$132*0.21</f>
        <v>733979.0703</v>
      </c>
      <c r="M34" s="89">
        <f>'MONTHLY STATS'!$K$144*0.21</f>
        <v>5592505.1049</v>
      </c>
      <c r="N34" s="89">
        <f>'MONTHLY STATS'!$K$156*0.21</f>
        <v>865800.2766</v>
      </c>
      <c r="O34" s="90">
        <f t="shared" si="2"/>
        <v>34028496.488699995</v>
      </c>
      <c r="P34" s="83"/>
    </row>
    <row r="35" spans="1:16" ht="15.75">
      <c r="A35" s="88">
        <f>DATE(2021,11,1)</f>
        <v>44501</v>
      </c>
      <c r="B35" s="89">
        <f>'MONTHLY STATS'!$K$13*0.21</f>
        <v>2842089.2094</v>
      </c>
      <c r="C35" s="89">
        <f>'MONTHLY STATS'!$K$25*0.21</f>
        <v>1427173.0494</v>
      </c>
      <c r="D35" s="89">
        <f>'MONTHLY STATS'!$K$37*0.21</f>
        <v>776239.1658</v>
      </c>
      <c r="E35" s="89">
        <f>'MONTHLY STATS'!$K$49*0.21</f>
        <v>3955215.5244</v>
      </c>
      <c r="F35" s="89">
        <f>'MONTHLY STATS'!$K$61*0.21</f>
        <v>3166545.8832</v>
      </c>
      <c r="G35" s="89">
        <f>'MONTHLY STATS'!$K$73*0.21</f>
        <v>1193974.2255</v>
      </c>
      <c r="H35" s="89">
        <f>'MONTHLY STATS'!$K$85*0.21</f>
        <v>2017320.8328</v>
      </c>
      <c r="I35" s="89">
        <f>'MONTHLY STATS'!$K$97*0.21</f>
        <v>2493711.2319</v>
      </c>
      <c r="J35" s="89">
        <f>'MONTHLY STATS'!$K$109*0.21</f>
        <v>3373022.6943</v>
      </c>
      <c r="K35" s="89">
        <f>'MONTHLY STATS'!$K$121*0.21</f>
        <v>4165210.1064</v>
      </c>
      <c r="L35" s="89">
        <f>'MONTHLY STATS'!$K$133*0.21</f>
        <v>670322.1609</v>
      </c>
      <c r="M35" s="89">
        <f>'MONTHLY STATS'!$K$145*0.21</f>
        <v>5014684.256399999</v>
      </c>
      <c r="N35" s="89">
        <f>'MONTHLY STATS'!$K$157*0.21</f>
        <v>786496.2861</v>
      </c>
      <c r="O35" s="90">
        <f t="shared" si="2"/>
        <v>31882004.626499996</v>
      </c>
      <c r="P35" s="83"/>
    </row>
    <row r="36" spans="1:16" ht="15.75">
      <c r="A36" s="88">
        <f>DATE(2021,12,1)</f>
        <v>44531</v>
      </c>
      <c r="B36" s="89">
        <f>'MONTHLY STATS'!$K$14*0.21</f>
        <v>3068195.6969999997</v>
      </c>
      <c r="C36" s="89">
        <f>'MONTHLY STATS'!$K$26*0.21</f>
        <v>1551523.869</v>
      </c>
      <c r="D36" s="89">
        <f>'MONTHLY STATS'!$K$38*0.21</f>
        <v>826341.0456</v>
      </c>
      <c r="E36" s="89">
        <f>'MONTHLY STATS'!$K$50*0.21</f>
        <v>4273948.5012</v>
      </c>
      <c r="F36" s="89">
        <f>'MONTHLY STATS'!$K$62*0.21</f>
        <v>3112418.652</v>
      </c>
      <c r="G36" s="89">
        <f>'MONTHLY STATS'!$K$74*0.21</f>
        <v>1324283.4969</v>
      </c>
      <c r="H36" s="89">
        <f>'MONTHLY STATS'!$K$86*0.21</f>
        <v>2139857.8068</v>
      </c>
      <c r="I36" s="89">
        <f>'MONTHLY STATS'!$K$98*0.21</f>
        <v>2634099.6297</v>
      </c>
      <c r="J36" s="89">
        <f>'MONTHLY STATS'!$K$110*0.21</f>
        <v>3519519.1374</v>
      </c>
      <c r="K36" s="89">
        <f>'MONTHLY STATS'!$K$122*0.21</f>
        <v>4594080.498</v>
      </c>
      <c r="L36" s="89">
        <f>'MONTHLY STATS'!$K$134*0.21</f>
        <v>666192.6159</v>
      </c>
      <c r="M36" s="89">
        <f>'MONTHLY STATS'!$K$146*0.21</f>
        <v>5722533.9569999995</v>
      </c>
      <c r="N36" s="89">
        <f>'MONTHLY STATS'!$K$158*0.21</f>
        <v>864892.6818</v>
      </c>
      <c r="O36" s="90">
        <f t="shared" si="2"/>
        <v>34297887.5883</v>
      </c>
      <c r="P36" s="83"/>
    </row>
    <row r="37" spans="1:16" ht="15.75">
      <c r="A37" s="88">
        <f>DATE(2022,1,1)</f>
        <v>44562</v>
      </c>
      <c r="B37" s="89">
        <f>'MONTHLY STATS'!$K$15*0.21</f>
        <v>2672120.6484</v>
      </c>
      <c r="C37" s="89">
        <f>'MONTHLY STATS'!$K$27*0.21</f>
        <v>1399123.0491</v>
      </c>
      <c r="D37" s="89">
        <f>'MONTHLY STATS'!$K$39*0.21</f>
        <v>721398.6065999999</v>
      </c>
      <c r="E37" s="89">
        <f>'MONTHLY STATS'!$K$51*0.21</f>
        <v>3980140.7394</v>
      </c>
      <c r="F37" s="89">
        <f>'MONTHLY STATS'!$K$63*0.21</f>
        <v>2935660.7973</v>
      </c>
      <c r="G37" s="89">
        <f>'MONTHLY STATS'!$K$75*0.21</f>
        <v>1166561.2749</v>
      </c>
      <c r="H37" s="89">
        <f>'MONTHLY STATS'!$K$87*0.21</f>
        <v>1915632.1316999998</v>
      </c>
      <c r="I37" s="89">
        <f>'MONTHLY STATS'!$K$99*0.21</f>
        <v>2244748.3317</v>
      </c>
      <c r="J37" s="89">
        <f>'MONTHLY STATS'!$K$111*0.21</f>
        <v>3129722.2761</v>
      </c>
      <c r="K37" s="89">
        <f>'MONTHLY STATS'!$K$123*0.21</f>
        <v>3939683.6366999997</v>
      </c>
      <c r="L37" s="89">
        <f>'MONTHLY STATS'!$K$135*0.21</f>
        <v>593962.8975</v>
      </c>
      <c r="M37" s="89">
        <f>'MONTHLY STATS'!$K$147*0.21</f>
        <v>5110167.7913999995</v>
      </c>
      <c r="N37" s="89">
        <f>'MONTHLY STATS'!$K$159*0.21</f>
        <v>743755.7043</v>
      </c>
      <c r="O37" s="90">
        <f>SUM(B37:N37)</f>
        <v>30552677.8851</v>
      </c>
      <c r="P37" s="83"/>
    </row>
    <row r="38" spans="1:16" ht="15.75">
      <c r="A38" s="88">
        <f>DATE(2022,2,1)</f>
        <v>44593</v>
      </c>
      <c r="B38" s="89">
        <f>'MONTHLY STATS'!$K$16*0.21</f>
        <v>2932193.7897</v>
      </c>
      <c r="C38" s="89">
        <f>'MONTHLY STATS'!$K$28*0.21</f>
        <v>1386037.2141</v>
      </c>
      <c r="D38" s="89">
        <f>'MONTHLY STATS'!$K$40*0.21</f>
        <v>795783.2609999999</v>
      </c>
      <c r="E38" s="89">
        <f>'MONTHLY STATS'!$K$52*0.21</f>
        <v>3693007.5819</v>
      </c>
      <c r="F38" s="89">
        <f>'MONTHLY STATS'!$K$64*0.21</f>
        <v>2543536.8041999997</v>
      </c>
      <c r="G38" s="89">
        <f>'MONTHLY STATS'!$K$76*0.21</f>
        <v>1144195.122</v>
      </c>
      <c r="H38" s="89">
        <f>'MONTHLY STATS'!$K$88*0.21</f>
        <v>1940982.6113999998</v>
      </c>
      <c r="I38" s="89">
        <f>'MONTHLY STATS'!$K$100*0.21</f>
        <v>2380489.9502999997</v>
      </c>
      <c r="J38" s="89">
        <f>'MONTHLY STATS'!$K$112*0.21</f>
        <v>3358385.2427999997</v>
      </c>
      <c r="K38" s="89">
        <f>'MONTHLY STATS'!$K$124*0.21</f>
        <v>4091924.3148</v>
      </c>
      <c r="L38" s="89">
        <f>'MONTHLY STATS'!$K$136*0.21</f>
        <v>624866.7327</v>
      </c>
      <c r="M38" s="89">
        <f>'MONTHLY STATS'!$K$148*0.21</f>
        <v>4873717.2834</v>
      </c>
      <c r="N38" s="89">
        <f>'MONTHLY STATS'!$K$160*0.21</f>
        <v>848310.0612</v>
      </c>
      <c r="O38" s="90">
        <f>SUM(B38:N38)</f>
        <v>30613429.9695</v>
      </c>
      <c r="P38" s="83"/>
    </row>
    <row r="39" spans="1:16" ht="15.75">
      <c r="A39" s="88">
        <f>DATE(2022,3,1)</f>
        <v>44621</v>
      </c>
      <c r="B39" s="89">
        <f>'MONTHLY STATS'!$K$17*0.21</f>
        <v>3323096.2254</v>
      </c>
      <c r="C39" s="89">
        <f>'MONTHLY STATS'!$K$29*0.21</f>
        <v>1667856.3909</v>
      </c>
      <c r="D39" s="89">
        <f>'MONTHLY STATS'!$K$41*0.21</f>
        <v>1006201.9925999999</v>
      </c>
      <c r="E39" s="89">
        <f>'MONTHLY STATS'!$K$53*0.21</f>
        <v>4644336.7803</v>
      </c>
      <c r="F39" s="89">
        <f>'MONTHLY STATS'!$K$65*0.21</f>
        <v>3555286.7889</v>
      </c>
      <c r="G39" s="89">
        <f>'MONTHLY STATS'!$K$77*0.21</f>
        <v>1420370.4017999999</v>
      </c>
      <c r="H39" s="89">
        <f>'MONTHLY STATS'!$K$89*0.21</f>
        <v>2341345.6583999996</v>
      </c>
      <c r="I39" s="89">
        <f>'MONTHLY STATS'!$K$101*0.21</f>
        <v>3035063.8668</v>
      </c>
      <c r="J39" s="89">
        <f>'MONTHLY STATS'!$K$113*0.21</f>
        <v>3874557.0822</v>
      </c>
      <c r="K39" s="89">
        <f>'MONTHLY STATS'!$K$125*0.21</f>
        <v>4942654.8275999995</v>
      </c>
      <c r="L39" s="89">
        <f>'MONTHLY STATS'!$K$137*0.21</f>
        <v>740630.0559</v>
      </c>
      <c r="M39" s="89">
        <f>'MONTHLY STATS'!$K$149*0.21</f>
        <v>5612612.3424</v>
      </c>
      <c r="N39" s="89">
        <f>'MONTHLY STATS'!$K$161*0.21</f>
        <v>952405.7570999999</v>
      </c>
      <c r="O39" s="90">
        <f>SUM(B39:N39)</f>
        <v>37116418.1703</v>
      </c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27</v>
      </c>
      <c r="B44" s="90">
        <f aca="true" t="shared" si="3" ref="B44:O44">SUM(B31:B42)</f>
        <v>27467406.235500004</v>
      </c>
      <c r="C44" s="90">
        <f t="shared" si="3"/>
        <v>13882457.4798</v>
      </c>
      <c r="D44" s="90">
        <f t="shared" si="3"/>
        <v>7617779.252999999</v>
      </c>
      <c r="E44" s="90">
        <f t="shared" si="3"/>
        <v>36395943.448199995</v>
      </c>
      <c r="F44" s="90">
        <f t="shared" si="3"/>
        <v>27703444.1313</v>
      </c>
      <c r="G44" s="90">
        <f t="shared" si="3"/>
        <v>11309027.706899997</v>
      </c>
      <c r="H44" s="90">
        <f t="shared" si="3"/>
        <v>18636358.5072</v>
      </c>
      <c r="I44" s="90">
        <f>SUM(I31:I42)</f>
        <v>23896542.2178</v>
      </c>
      <c r="J44" s="90">
        <f t="shared" si="3"/>
        <v>30980169.876599997</v>
      </c>
      <c r="K44" s="90">
        <f>SUM(K31:K42)</f>
        <v>38499457.0233</v>
      </c>
      <c r="L44" s="90">
        <f t="shared" si="3"/>
        <v>6131241.538799999</v>
      </c>
      <c r="M44" s="90">
        <f t="shared" si="3"/>
        <v>47605082.679</v>
      </c>
      <c r="N44" s="90">
        <f t="shared" si="3"/>
        <v>7509705.653100001</v>
      </c>
      <c r="O44" s="90">
        <f t="shared" si="3"/>
        <v>297634615.7505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.7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>
      <c r="A49" s="115"/>
      <c r="B49" s="98"/>
      <c r="C49" s="98"/>
      <c r="D49" s="98"/>
      <c r="E49" s="98"/>
      <c r="F49" s="98"/>
      <c r="G49" s="98"/>
      <c r="H49" s="98"/>
      <c r="I49" s="98"/>
    </row>
    <row r="50" ht="15.7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36</v>
      </c>
      <c r="B9" s="131">
        <f>DATE(2021,7,1)</f>
        <v>44378</v>
      </c>
      <c r="C9" s="204">
        <v>13122165.06</v>
      </c>
      <c r="D9" s="204">
        <v>2401856.06</v>
      </c>
      <c r="E9" s="204">
        <v>1959351.91</v>
      </c>
      <c r="F9" s="132">
        <f aca="true" t="shared" si="0" ref="F9:F17">(+D9-E9)/E9</f>
        <v>0.22584210000336294</v>
      </c>
      <c r="G9" s="215">
        <f aca="true" t="shared" si="1" ref="G9:G17">D9/C9</f>
        <v>0.1830380923435816</v>
      </c>
      <c r="H9" s="123"/>
    </row>
    <row r="10" spans="1:8" ht="15.7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0.6018756759487907</v>
      </c>
      <c r="G10" s="215">
        <f t="shared" si="1"/>
        <v>0.1961917700946535</v>
      </c>
      <c r="H10" s="123"/>
    </row>
    <row r="11" spans="1:8" ht="15.7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0.4105988830755546</v>
      </c>
      <c r="G11" s="215">
        <f t="shared" si="1"/>
        <v>0.15141541376733514</v>
      </c>
      <c r="H11" s="123"/>
    </row>
    <row r="12" spans="1:8" ht="15.7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0.7760464490509466</v>
      </c>
      <c r="G12" s="215">
        <f t="shared" si="1"/>
        <v>0.21265524892658516</v>
      </c>
      <c r="H12" s="123"/>
    </row>
    <row r="13" spans="1:8" ht="15.7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</v>
      </c>
      <c r="G13" s="215">
        <f t="shared" si="1"/>
        <v>0.1893508166142796</v>
      </c>
      <c r="H13" s="123"/>
    </row>
    <row r="14" spans="1:8" ht="15.75">
      <c r="A14" s="130"/>
      <c r="B14" s="131">
        <f>DATE(2021,12,1)</f>
        <v>44531</v>
      </c>
      <c r="C14" s="204">
        <v>13044632</v>
      </c>
      <c r="D14" s="204">
        <v>2277304.5</v>
      </c>
      <c r="E14" s="204">
        <v>1661463</v>
      </c>
      <c r="F14" s="132">
        <f t="shared" si="0"/>
        <v>0.37066218146296365</v>
      </c>
      <c r="G14" s="215">
        <f t="shared" si="1"/>
        <v>0.17457790300255308</v>
      </c>
      <c r="H14" s="123"/>
    </row>
    <row r="15" spans="1:8" ht="15.75">
      <c r="A15" s="130"/>
      <c r="B15" s="131">
        <f>DATE(2022,1,1)</f>
        <v>44562</v>
      </c>
      <c r="C15" s="204">
        <v>14518603</v>
      </c>
      <c r="D15" s="204">
        <v>2164427.5</v>
      </c>
      <c r="E15" s="204">
        <v>1430188</v>
      </c>
      <c r="F15" s="132">
        <f t="shared" si="0"/>
        <v>0.5133867016084599</v>
      </c>
      <c r="G15" s="215">
        <f t="shared" si="1"/>
        <v>0.1490795980852979</v>
      </c>
      <c r="H15" s="123"/>
    </row>
    <row r="16" spans="1:8" ht="15.75">
      <c r="A16" s="130"/>
      <c r="B16" s="131">
        <f>DATE(2022,2,1)</f>
        <v>44593</v>
      </c>
      <c r="C16" s="204">
        <v>13130349</v>
      </c>
      <c r="D16" s="204">
        <v>2316245</v>
      </c>
      <c r="E16" s="204">
        <v>1356444</v>
      </c>
      <c r="F16" s="132">
        <f t="shared" si="0"/>
        <v>0.707586159104246</v>
      </c>
      <c r="G16" s="215">
        <f t="shared" si="1"/>
        <v>0.17640391736731445</v>
      </c>
      <c r="H16" s="123"/>
    </row>
    <row r="17" spans="1:8" ht="15.75">
      <c r="A17" s="130"/>
      <c r="B17" s="131">
        <f>DATE(2022,3,1)</f>
        <v>44621</v>
      </c>
      <c r="C17" s="204">
        <v>15428259</v>
      </c>
      <c r="D17" s="204">
        <v>2654540</v>
      </c>
      <c r="E17" s="204">
        <v>2088206.5</v>
      </c>
      <c r="F17" s="132">
        <f t="shared" si="0"/>
        <v>0.2712056973292632</v>
      </c>
      <c r="G17" s="215">
        <f t="shared" si="1"/>
        <v>0.17205700267282265</v>
      </c>
      <c r="H17" s="123"/>
    </row>
    <row r="18" spans="1:8" ht="15.75" thickBot="1">
      <c r="A18" s="133"/>
      <c r="B18" s="134"/>
      <c r="C18" s="204"/>
      <c r="D18" s="204"/>
      <c r="E18" s="204"/>
      <c r="F18" s="132"/>
      <c r="G18" s="215"/>
      <c r="H18" s="123"/>
    </row>
    <row r="19" spans="1:8" ht="17.25" thickBot="1" thickTop="1">
      <c r="A19" s="135" t="s">
        <v>14</v>
      </c>
      <c r="B19" s="136"/>
      <c r="C19" s="201">
        <f>SUM(C9:C18)</f>
        <v>119248748.56</v>
      </c>
      <c r="D19" s="201">
        <f>SUM(D9:D18)</f>
        <v>21174196.060000002</v>
      </c>
      <c r="E19" s="201">
        <f>SUM(E9:E18)</f>
        <v>14379895.91</v>
      </c>
      <c r="F19" s="137">
        <f>(+D19-E19)/E19</f>
        <v>0.4724860452762486</v>
      </c>
      <c r="G19" s="212">
        <f>D19/C19</f>
        <v>0.17756325593090988</v>
      </c>
      <c r="H19" s="123"/>
    </row>
    <row r="20" spans="1:8" ht="15.75" customHeight="1" thickTop="1">
      <c r="A20" s="138"/>
      <c r="B20" s="139"/>
      <c r="C20" s="205"/>
      <c r="D20" s="205"/>
      <c r="E20" s="205"/>
      <c r="F20" s="140"/>
      <c r="G20" s="216"/>
      <c r="H20" s="123"/>
    </row>
    <row r="21" spans="1:8" ht="15.75">
      <c r="A21" s="19" t="s">
        <v>15</v>
      </c>
      <c r="B21" s="131">
        <f>DATE(2021,7,1)</f>
        <v>44378</v>
      </c>
      <c r="C21" s="204">
        <v>2659715</v>
      </c>
      <c r="D21" s="204">
        <v>753311.5</v>
      </c>
      <c r="E21" s="204">
        <v>547209</v>
      </c>
      <c r="F21" s="132">
        <f aca="true" t="shared" si="2" ref="F21:F29">(+D21-E21)/E21</f>
        <v>0.3766431107675495</v>
      </c>
      <c r="G21" s="215">
        <f aca="true" t="shared" si="3" ref="G21:G29">D21/C21</f>
        <v>0.28323015811844504</v>
      </c>
      <c r="H21" s="123"/>
    </row>
    <row r="22" spans="1:8" ht="15.75">
      <c r="A22" s="19"/>
      <c r="B22" s="131">
        <f>DATE(2021,8,1)</f>
        <v>44409</v>
      </c>
      <c r="C22" s="204">
        <v>2802417</v>
      </c>
      <c r="D22" s="204">
        <v>615974.5</v>
      </c>
      <c r="E22" s="204">
        <v>526001.5</v>
      </c>
      <c r="F22" s="132">
        <f t="shared" si="2"/>
        <v>0.17105084301090395</v>
      </c>
      <c r="G22" s="215">
        <f t="shared" si="3"/>
        <v>0.21980115735809483</v>
      </c>
      <c r="H22" s="123"/>
    </row>
    <row r="23" spans="1:8" ht="15.75">
      <c r="A23" s="19"/>
      <c r="B23" s="131">
        <f>DATE(2021,9,1)</f>
        <v>44440</v>
      </c>
      <c r="C23" s="204">
        <v>2513978</v>
      </c>
      <c r="D23" s="204">
        <v>858656</v>
      </c>
      <c r="E23" s="204">
        <v>401819.5</v>
      </c>
      <c r="F23" s="132">
        <f t="shared" si="2"/>
        <v>1.1369196865756888</v>
      </c>
      <c r="G23" s="215">
        <f t="shared" si="3"/>
        <v>0.3415527104851355</v>
      </c>
      <c r="H23" s="123"/>
    </row>
    <row r="24" spans="1:8" ht="15.75">
      <c r="A24" s="19"/>
      <c r="B24" s="131">
        <f>DATE(2021,10,1)</f>
        <v>44470</v>
      </c>
      <c r="C24" s="204">
        <v>2807049</v>
      </c>
      <c r="D24" s="204">
        <v>649914</v>
      </c>
      <c r="E24" s="204">
        <v>612154.5</v>
      </c>
      <c r="F24" s="132">
        <f t="shared" si="2"/>
        <v>0.0616829574886732</v>
      </c>
      <c r="G24" s="215">
        <f t="shared" si="3"/>
        <v>0.2315292679251413</v>
      </c>
      <c r="H24" s="123"/>
    </row>
    <row r="25" spans="1:8" ht="15.75">
      <c r="A25" s="19"/>
      <c r="B25" s="131">
        <f>DATE(2021,11,1)</f>
        <v>44501</v>
      </c>
      <c r="C25" s="204">
        <v>2435882</v>
      </c>
      <c r="D25" s="204">
        <v>707738</v>
      </c>
      <c r="E25" s="204">
        <v>534831.5</v>
      </c>
      <c r="F25" s="132">
        <f t="shared" si="2"/>
        <v>0.3232915413546136</v>
      </c>
      <c r="G25" s="215">
        <f t="shared" si="3"/>
        <v>0.29054691483413403</v>
      </c>
      <c r="H25" s="123"/>
    </row>
    <row r="26" spans="1:8" ht="15.75">
      <c r="A26" s="19"/>
      <c r="B26" s="131">
        <f>DATE(2021,12,1)</f>
        <v>44531</v>
      </c>
      <c r="C26" s="204">
        <v>2813282</v>
      </c>
      <c r="D26" s="204">
        <v>706014</v>
      </c>
      <c r="E26" s="204">
        <v>508771</v>
      </c>
      <c r="F26" s="132">
        <f t="shared" si="2"/>
        <v>0.38768522576955056</v>
      </c>
      <c r="G26" s="215">
        <f t="shared" si="3"/>
        <v>0.25095742268283094</v>
      </c>
      <c r="H26" s="123"/>
    </row>
    <row r="27" spans="1:8" ht="15.75">
      <c r="A27" s="19"/>
      <c r="B27" s="131">
        <f>DATE(2022,1,1)</f>
        <v>44562</v>
      </c>
      <c r="C27" s="204">
        <v>2328587</v>
      </c>
      <c r="D27" s="204">
        <v>684356</v>
      </c>
      <c r="E27" s="204">
        <v>716489.5</v>
      </c>
      <c r="F27" s="132">
        <f t="shared" si="2"/>
        <v>-0.044848528833988495</v>
      </c>
      <c r="G27" s="215">
        <f t="shared" si="3"/>
        <v>0.29389324942551</v>
      </c>
      <c r="H27" s="123"/>
    </row>
    <row r="28" spans="1:8" ht="15.75">
      <c r="A28" s="19"/>
      <c r="B28" s="131">
        <f>DATE(2022,2,1)</f>
        <v>44593</v>
      </c>
      <c r="C28" s="204">
        <v>2173318</v>
      </c>
      <c r="D28" s="204">
        <v>495607</v>
      </c>
      <c r="E28" s="204">
        <v>476264</v>
      </c>
      <c r="F28" s="132">
        <f t="shared" si="2"/>
        <v>0.04061402919389246</v>
      </c>
      <c r="G28" s="215">
        <f t="shared" si="3"/>
        <v>0.2280416395575797</v>
      </c>
      <c r="H28" s="123"/>
    </row>
    <row r="29" spans="1:8" ht="15.75">
      <c r="A29" s="19"/>
      <c r="B29" s="131">
        <f>DATE(2022,3,1)</f>
        <v>44621</v>
      </c>
      <c r="C29" s="204">
        <v>2540076</v>
      </c>
      <c r="D29" s="204">
        <v>769345</v>
      </c>
      <c r="E29" s="204">
        <v>890723</v>
      </c>
      <c r="F29" s="132">
        <f t="shared" si="2"/>
        <v>-0.13626907579573</v>
      </c>
      <c r="G29" s="215">
        <f t="shared" si="3"/>
        <v>0.3028826696524041</v>
      </c>
      <c r="H29" s="123"/>
    </row>
    <row r="30" spans="1:8" ht="15.75" thickBot="1">
      <c r="A30" s="133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35" t="s">
        <v>14</v>
      </c>
      <c r="B31" s="136"/>
      <c r="C31" s="201">
        <f>SUM(C21:C30)</f>
        <v>23074304</v>
      </c>
      <c r="D31" s="201">
        <f>SUM(D21:D30)</f>
        <v>6240916</v>
      </c>
      <c r="E31" s="201">
        <f>SUM(E21:E30)</f>
        <v>5214263.5</v>
      </c>
      <c r="F31" s="137">
        <f>(+D31-E31)/E31</f>
        <v>0.19689309909251806</v>
      </c>
      <c r="G31" s="212">
        <f>D31/C31</f>
        <v>0.27047038991945327</v>
      </c>
      <c r="H31" s="123"/>
    </row>
    <row r="32" spans="1:8" ht="15.75" customHeight="1" thickTop="1">
      <c r="A32" s="255"/>
      <c r="B32" s="139"/>
      <c r="C32" s="205"/>
      <c r="D32" s="205"/>
      <c r="E32" s="205"/>
      <c r="F32" s="140"/>
      <c r="G32" s="219"/>
      <c r="H32" s="123"/>
    </row>
    <row r="33" spans="1:8" ht="15.75">
      <c r="A33" s="19" t="s">
        <v>64</v>
      </c>
      <c r="B33" s="131">
        <f>DATE(2021,7,1)</f>
        <v>44378</v>
      </c>
      <c r="C33" s="204">
        <v>1594658</v>
      </c>
      <c r="D33" s="204">
        <v>420154</v>
      </c>
      <c r="E33" s="204">
        <v>362069</v>
      </c>
      <c r="F33" s="132">
        <f aca="true" t="shared" si="4" ref="F33:F41">(+D33-E33)/E33</f>
        <v>0.16042522281664545</v>
      </c>
      <c r="G33" s="215">
        <f aca="true" t="shared" si="5" ref="G33:G41">D33/C33</f>
        <v>0.2634759302621628</v>
      </c>
      <c r="H33" s="123"/>
    </row>
    <row r="34" spans="1:8" ht="15.75">
      <c r="A34" s="19"/>
      <c r="B34" s="131">
        <f>DATE(2021,8,1)</f>
        <v>44409</v>
      </c>
      <c r="C34" s="204">
        <v>1384308</v>
      </c>
      <c r="D34" s="204">
        <v>283741.5</v>
      </c>
      <c r="E34" s="204">
        <v>264520</v>
      </c>
      <c r="F34" s="132">
        <f t="shared" si="4"/>
        <v>0.07266558294268864</v>
      </c>
      <c r="G34" s="215">
        <f t="shared" si="5"/>
        <v>0.2049699199889042</v>
      </c>
      <c r="H34" s="123"/>
    </row>
    <row r="35" spans="1:8" ht="15.75">
      <c r="A35" s="19"/>
      <c r="B35" s="131">
        <f>DATE(2021,9,1)</f>
        <v>44440</v>
      </c>
      <c r="C35" s="204">
        <v>1364005</v>
      </c>
      <c r="D35" s="204">
        <v>271461</v>
      </c>
      <c r="E35" s="204">
        <v>282126.5</v>
      </c>
      <c r="F35" s="132">
        <f t="shared" si="4"/>
        <v>-0.03780396382473819</v>
      </c>
      <c r="G35" s="215">
        <f t="shared" si="5"/>
        <v>0.1990175989090949</v>
      </c>
      <c r="H35" s="123"/>
    </row>
    <row r="36" spans="1:8" ht="15.75">
      <c r="A36" s="19"/>
      <c r="B36" s="131">
        <f>DATE(2021,10,1)</f>
        <v>44470</v>
      </c>
      <c r="C36" s="204">
        <v>1507535</v>
      </c>
      <c r="D36" s="204">
        <v>344180</v>
      </c>
      <c r="E36" s="204">
        <v>409251</v>
      </c>
      <c r="F36" s="132">
        <f t="shared" si="4"/>
        <v>-0.15900022235742858</v>
      </c>
      <c r="G36" s="215">
        <f t="shared" si="5"/>
        <v>0.22830647381321165</v>
      </c>
      <c r="H36" s="123"/>
    </row>
    <row r="37" spans="1:8" ht="15.75">
      <c r="A37" s="19"/>
      <c r="B37" s="131">
        <f>DATE(2021,11,1)</f>
        <v>44501</v>
      </c>
      <c r="C37" s="204">
        <v>1413355</v>
      </c>
      <c r="D37" s="204">
        <v>349298.5</v>
      </c>
      <c r="E37" s="204">
        <v>302858</v>
      </c>
      <c r="F37" s="132">
        <f t="shared" si="4"/>
        <v>0.15334083960139736</v>
      </c>
      <c r="G37" s="215">
        <f t="shared" si="5"/>
        <v>0.24714137637040942</v>
      </c>
      <c r="H37" s="123"/>
    </row>
    <row r="38" spans="1:8" ht="15.75">
      <c r="A38" s="19"/>
      <c r="B38" s="131">
        <f>DATE(2021,12,1)</f>
        <v>44531</v>
      </c>
      <c r="C38" s="204">
        <v>1438471</v>
      </c>
      <c r="D38" s="204">
        <v>335226</v>
      </c>
      <c r="E38" s="204">
        <v>403813</v>
      </c>
      <c r="F38" s="132">
        <f t="shared" si="4"/>
        <v>-0.16984841993695102</v>
      </c>
      <c r="G38" s="215">
        <f t="shared" si="5"/>
        <v>0.23304327998270385</v>
      </c>
      <c r="H38" s="123"/>
    </row>
    <row r="39" spans="1:8" ht="15.75">
      <c r="A39" s="19"/>
      <c r="B39" s="131">
        <f>DATE(2022,1,1)</f>
        <v>44562</v>
      </c>
      <c r="C39" s="204">
        <v>1095658</v>
      </c>
      <c r="D39" s="204">
        <v>314386</v>
      </c>
      <c r="E39" s="204">
        <v>346038</v>
      </c>
      <c r="F39" s="132">
        <f t="shared" si="4"/>
        <v>-0.09146972297840121</v>
      </c>
      <c r="G39" s="215">
        <f t="shared" si="5"/>
        <v>0.28693807739276306</v>
      </c>
      <c r="H39" s="123"/>
    </row>
    <row r="40" spans="1:8" ht="15.75">
      <c r="A40" s="19"/>
      <c r="B40" s="131">
        <f>DATE(2022,2,1)</f>
        <v>44593</v>
      </c>
      <c r="C40" s="204">
        <v>1152903</v>
      </c>
      <c r="D40" s="204">
        <v>260435</v>
      </c>
      <c r="E40" s="204">
        <v>285945.5</v>
      </c>
      <c r="F40" s="132">
        <f t="shared" si="4"/>
        <v>-0.0892145531228853</v>
      </c>
      <c r="G40" s="215">
        <f t="shared" si="5"/>
        <v>0.22589497988989535</v>
      </c>
      <c r="H40" s="123"/>
    </row>
    <row r="41" spans="1:8" ht="15.75">
      <c r="A41" s="19"/>
      <c r="B41" s="131">
        <f>DATE(2022,3,1)</f>
        <v>44621</v>
      </c>
      <c r="C41" s="204">
        <v>1384817</v>
      </c>
      <c r="D41" s="204">
        <v>412336.5</v>
      </c>
      <c r="E41" s="204">
        <v>429833</v>
      </c>
      <c r="F41" s="132">
        <f t="shared" si="4"/>
        <v>-0.04070534370325219</v>
      </c>
      <c r="G41" s="215">
        <f t="shared" si="5"/>
        <v>0.29775522686391054</v>
      </c>
      <c r="H41" s="123"/>
    </row>
    <row r="42" spans="1:8" ht="15.75" thickBot="1">
      <c r="A42" s="133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6">
        <f>SUM(C33:C42)</f>
        <v>12335710</v>
      </c>
      <c r="D43" s="206">
        <f>SUM(D33:D42)</f>
        <v>2991218.5</v>
      </c>
      <c r="E43" s="206">
        <f>SUM(E33:E42)</f>
        <v>3086454</v>
      </c>
      <c r="F43" s="143">
        <f>(+D43-E43)/E43</f>
        <v>-0.03085595962227203</v>
      </c>
      <c r="G43" s="217">
        <f>D43/C43</f>
        <v>0.24248450231077093</v>
      </c>
      <c r="H43" s="123"/>
    </row>
    <row r="44" spans="1:8" ht="15.75" thickTop="1">
      <c r="A44" s="133"/>
      <c r="B44" s="134"/>
      <c r="C44" s="204"/>
      <c r="D44" s="204"/>
      <c r="E44" s="204"/>
      <c r="F44" s="132"/>
      <c r="G44" s="218"/>
      <c r="H44" s="123"/>
    </row>
    <row r="45" spans="1:8" ht="15.75">
      <c r="A45" s="177" t="s">
        <v>59</v>
      </c>
      <c r="B45" s="131">
        <f>DATE(2021,7,1)</f>
        <v>44378</v>
      </c>
      <c r="C45" s="204">
        <v>13087616</v>
      </c>
      <c r="D45" s="204">
        <v>2503983</v>
      </c>
      <c r="E45" s="204">
        <v>1708169.06</v>
      </c>
      <c r="F45" s="132">
        <f aca="true" t="shared" si="6" ref="F45:F53">(+D45-E45)/E45</f>
        <v>0.4658871060455807</v>
      </c>
      <c r="G45" s="215">
        <f aca="true" t="shared" si="7" ref="G45:G53">D45/C45</f>
        <v>0.19132460793470712</v>
      </c>
      <c r="H45" s="123"/>
    </row>
    <row r="46" spans="1:8" ht="15.75">
      <c r="A46" s="177"/>
      <c r="B46" s="131">
        <f>DATE(2021,8,1)</f>
        <v>44409</v>
      </c>
      <c r="C46" s="204">
        <v>12295504</v>
      </c>
      <c r="D46" s="204">
        <v>2387806</v>
      </c>
      <c r="E46" s="204">
        <v>2028826.5</v>
      </c>
      <c r="F46" s="132">
        <f t="shared" si="6"/>
        <v>0.1769394770819486</v>
      </c>
      <c r="G46" s="215">
        <f t="shared" si="7"/>
        <v>0.1942015553002138</v>
      </c>
      <c r="H46" s="123"/>
    </row>
    <row r="47" spans="1:8" ht="15.75">
      <c r="A47" s="177"/>
      <c r="B47" s="131">
        <f>DATE(2021,9,1)</f>
        <v>44440</v>
      </c>
      <c r="C47" s="204">
        <v>13803172</v>
      </c>
      <c r="D47" s="204">
        <v>2689723.5</v>
      </c>
      <c r="E47" s="204">
        <v>2149169</v>
      </c>
      <c r="F47" s="132">
        <f t="shared" si="6"/>
        <v>0.25151791227213866</v>
      </c>
      <c r="G47" s="215">
        <f t="shared" si="7"/>
        <v>0.19486270981771436</v>
      </c>
      <c r="H47" s="123"/>
    </row>
    <row r="48" spans="1:8" ht="15.75">
      <c r="A48" s="177"/>
      <c r="B48" s="131">
        <f>DATE(2021,10,1)</f>
        <v>44470</v>
      </c>
      <c r="C48" s="204">
        <v>13466637</v>
      </c>
      <c r="D48" s="204">
        <v>2470116.03</v>
      </c>
      <c r="E48" s="204">
        <v>2042559.98</v>
      </c>
      <c r="F48" s="132">
        <f t="shared" si="6"/>
        <v>0.20932362045005887</v>
      </c>
      <c r="G48" s="215">
        <f t="shared" si="7"/>
        <v>0.1834248617527895</v>
      </c>
      <c r="H48" s="123"/>
    </row>
    <row r="49" spans="1:8" ht="15.75">
      <c r="A49" s="177"/>
      <c r="B49" s="131">
        <f>DATE(2021,11,1)</f>
        <v>44501</v>
      </c>
      <c r="C49" s="204">
        <v>13753377</v>
      </c>
      <c r="D49" s="204">
        <v>3414579.43</v>
      </c>
      <c r="E49" s="204">
        <v>2060677.45</v>
      </c>
      <c r="F49" s="132">
        <f t="shared" si="6"/>
        <v>0.6570179044760257</v>
      </c>
      <c r="G49" s="215">
        <f t="shared" si="7"/>
        <v>0.24827207383321204</v>
      </c>
      <c r="H49" s="123"/>
    </row>
    <row r="50" spans="1:8" ht="15.75">
      <c r="A50" s="177"/>
      <c r="B50" s="131">
        <f>DATE(2021,12,1)</f>
        <v>44531</v>
      </c>
      <c r="C50" s="204">
        <v>14064831.5</v>
      </c>
      <c r="D50" s="204">
        <v>3251944</v>
      </c>
      <c r="E50" s="204">
        <v>2612129.91</v>
      </c>
      <c r="F50" s="132">
        <f t="shared" si="6"/>
        <v>0.24493961328286304</v>
      </c>
      <c r="G50" s="215">
        <f t="shared" si="7"/>
        <v>0.23121101735203867</v>
      </c>
      <c r="H50" s="123"/>
    </row>
    <row r="51" spans="1:8" ht="15.75">
      <c r="A51" s="177"/>
      <c r="B51" s="131">
        <f>DATE(2022,1,1)</f>
        <v>44562</v>
      </c>
      <c r="C51" s="204">
        <v>13221893</v>
      </c>
      <c r="D51" s="204">
        <v>3271232.5</v>
      </c>
      <c r="E51" s="204">
        <v>2320369.71</v>
      </c>
      <c r="F51" s="132">
        <f t="shared" si="6"/>
        <v>0.4097893477501049</v>
      </c>
      <c r="G51" s="215">
        <f t="shared" si="7"/>
        <v>0.24741029896399858</v>
      </c>
      <c r="H51" s="123"/>
    </row>
    <row r="52" spans="1:8" ht="15.75">
      <c r="A52" s="177"/>
      <c r="B52" s="131">
        <f>DATE(2022,2,1)</f>
        <v>44593</v>
      </c>
      <c r="C52" s="204">
        <v>13097961</v>
      </c>
      <c r="D52" s="204">
        <v>2578515.35</v>
      </c>
      <c r="E52" s="204">
        <v>1688741</v>
      </c>
      <c r="F52" s="132">
        <f t="shared" si="6"/>
        <v>0.5268862128650871</v>
      </c>
      <c r="G52" s="215">
        <f t="shared" si="7"/>
        <v>0.1968638744610707</v>
      </c>
      <c r="H52" s="123"/>
    </row>
    <row r="53" spans="1:8" ht="15.75">
      <c r="A53" s="177"/>
      <c r="B53" s="131">
        <f>DATE(2022,3,1)</f>
        <v>44621</v>
      </c>
      <c r="C53" s="204">
        <v>14570093</v>
      </c>
      <c r="D53" s="204">
        <v>2838724.85</v>
      </c>
      <c r="E53" s="204">
        <v>2903594.09</v>
      </c>
      <c r="F53" s="132">
        <f t="shared" si="6"/>
        <v>-0.022341015303554278</v>
      </c>
      <c r="G53" s="215">
        <f t="shared" si="7"/>
        <v>0.19483230820832784</v>
      </c>
      <c r="H53" s="123"/>
    </row>
    <row r="54" spans="1:8" ht="15.75" customHeight="1" thickBot="1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Bot="1" thickTop="1">
      <c r="A55" s="141" t="s">
        <v>14</v>
      </c>
      <c r="B55" s="142"/>
      <c r="C55" s="206">
        <f>SUM(C45:C54)</f>
        <v>121361084.5</v>
      </c>
      <c r="D55" s="206">
        <f>SUM(D45:D54)</f>
        <v>25406624.660000004</v>
      </c>
      <c r="E55" s="206">
        <f>SUM(E45:E54)</f>
        <v>19514236.7</v>
      </c>
      <c r="F55" s="143">
        <f>(+D55-E55)/E55</f>
        <v>0.3019532893131303</v>
      </c>
      <c r="G55" s="217">
        <f>D55/C55</f>
        <v>0.2093473765884154</v>
      </c>
      <c r="H55" s="123"/>
    </row>
    <row r="56" spans="1:8" ht="15.75" customHeight="1" thickTop="1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>
      <c r="A57" s="130" t="s">
        <v>62</v>
      </c>
      <c r="B57" s="131">
        <f>DATE(2021,7,1)</f>
        <v>44378</v>
      </c>
      <c r="C57" s="204">
        <v>14071705.5</v>
      </c>
      <c r="D57" s="204">
        <v>3475895.5</v>
      </c>
      <c r="E57" s="204">
        <v>2410424.5</v>
      </c>
      <c r="F57" s="132">
        <f aca="true" t="shared" si="8" ref="F57:F65">(+D57-E57)/E57</f>
        <v>0.44202629038992924</v>
      </c>
      <c r="G57" s="215">
        <f aca="true" t="shared" si="9" ref="G57:G65">D57/C57</f>
        <v>0.2470130930468947</v>
      </c>
      <c r="H57" s="123"/>
    </row>
    <row r="58" spans="1:8" ht="15" customHeight="1">
      <c r="A58" s="130"/>
      <c r="B58" s="131">
        <f>DATE(2021,8,1)</f>
        <v>44409</v>
      </c>
      <c r="C58" s="204">
        <v>13718026</v>
      </c>
      <c r="D58" s="204">
        <v>1742952</v>
      </c>
      <c r="E58" s="204">
        <v>3089213</v>
      </c>
      <c r="F58" s="132">
        <f t="shared" si="8"/>
        <v>-0.43579416505109875</v>
      </c>
      <c r="G58" s="215">
        <f t="shared" si="9"/>
        <v>0.1270555982325737</v>
      </c>
      <c r="H58" s="123"/>
    </row>
    <row r="59" spans="1:8" ht="15" customHeight="1">
      <c r="A59" s="130"/>
      <c r="B59" s="131">
        <f>DATE(2021,9,1)</f>
        <v>44440</v>
      </c>
      <c r="C59" s="204">
        <v>12923567</v>
      </c>
      <c r="D59" s="204">
        <v>3305560.5</v>
      </c>
      <c r="E59" s="204">
        <v>3482637.89</v>
      </c>
      <c r="F59" s="132">
        <f t="shared" si="8"/>
        <v>-0.05084576565035882</v>
      </c>
      <c r="G59" s="215">
        <f t="shared" si="9"/>
        <v>0.2557777198818252</v>
      </c>
      <c r="H59" s="123"/>
    </row>
    <row r="60" spans="1:8" ht="15" customHeight="1">
      <c r="A60" s="130"/>
      <c r="B60" s="131">
        <f>DATE(2021,10,1)</f>
        <v>44470</v>
      </c>
      <c r="C60" s="204">
        <v>12696171.5</v>
      </c>
      <c r="D60" s="204">
        <v>3513957.5</v>
      </c>
      <c r="E60" s="204">
        <v>3513244</v>
      </c>
      <c r="F60" s="132">
        <f t="shared" si="8"/>
        <v>0.00020308865538516539</v>
      </c>
      <c r="G60" s="215">
        <f t="shared" si="9"/>
        <v>0.2767730020030054</v>
      </c>
      <c r="H60" s="123"/>
    </row>
    <row r="61" spans="1:8" ht="15" customHeight="1">
      <c r="A61" s="130"/>
      <c r="B61" s="131">
        <f>DATE(2021,11,1)</f>
        <v>44501</v>
      </c>
      <c r="C61" s="204">
        <v>13220454</v>
      </c>
      <c r="D61" s="204">
        <v>3943943</v>
      </c>
      <c r="E61" s="204">
        <v>2437183.5</v>
      </c>
      <c r="F61" s="132">
        <f t="shared" si="8"/>
        <v>0.6182380194187266</v>
      </c>
      <c r="G61" s="215">
        <f t="shared" si="9"/>
        <v>0.2983212981944493</v>
      </c>
      <c r="H61" s="123"/>
    </row>
    <row r="62" spans="1:8" ht="15" customHeight="1">
      <c r="A62" s="130"/>
      <c r="B62" s="131">
        <f>DATE(2021,12,1)</f>
        <v>44531</v>
      </c>
      <c r="C62" s="204">
        <v>14266562</v>
      </c>
      <c r="D62" s="204">
        <v>2827634.5</v>
      </c>
      <c r="E62" s="204">
        <v>2589172</v>
      </c>
      <c r="F62" s="132">
        <f t="shared" si="8"/>
        <v>0.09209990684280535</v>
      </c>
      <c r="G62" s="215">
        <f t="shared" si="9"/>
        <v>0.19820013399163722</v>
      </c>
      <c r="H62" s="123"/>
    </row>
    <row r="63" spans="1:8" ht="15" customHeight="1">
      <c r="A63" s="130"/>
      <c r="B63" s="131">
        <f>DATE(2022,1,1)</f>
        <v>44562</v>
      </c>
      <c r="C63" s="204">
        <v>15062919</v>
      </c>
      <c r="D63" s="204">
        <v>3537082.5</v>
      </c>
      <c r="E63" s="204">
        <v>3152748</v>
      </c>
      <c r="F63" s="132">
        <f t="shared" si="8"/>
        <v>0.12190460512543343</v>
      </c>
      <c r="G63" s="215">
        <f t="shared" si="9"/>
        <v>0.23482052183909374</v>
      </c>
      <c r="H63" s="123"/>
    </row>
    <row r="64" spans="1:8" ht="15" customHeight="1">
      <c r="A64" s="130"/>
      <c r="B64" s="131">
        <f>DATE(2022,2,1)</f>
        <v>44593</v>
      </c>
      <c r="C64" s="204">
        <v>12090471.25</v>
      </c>
      <c r="D64" s="204">
        <v>1988046.25</v>
      </c>
      <c r="E64" s="204">
        <v>2941714</v>
      </c>
      <c r="F64" s="132">
        <f t="shared" si="8"/>
        <v>-0.32418778644015017</v>
      </c>
      <c r="G64" s="215">
        <f t="shared" si="9"/>
        <v>0.1644308322556079</v>
      </c>
      <c r="H64" s="123"/>
    </row>
    <row r="65" spans="1:8" ht="15" customHeight="1">
      <c r="A65" s="130"/>
      <c r="B65" s="131">
        <f>DATE(2022,3,1)</f>
        <v>44621</v>
      </c>
      <c r="C65" s="204">
        <v>14143160</v>
      </c>
      <c r="D65" s="204">
        <v>4616996.5</v>
      </c>
      <c r="E65" s="204">
        <v>3606590.5</v>
      </c>
      <c r="F65" s="132">
        <f t="shared" si="8"/>
        <v>0.2801554542995663</v>
      </c>
      <c r="G65" s="215">
        <f t="shared" si="9"/>
        <v>0.32644730739099326</v>
      </c>
      <c r="H65" s="123"/>
    </row>
    <row r="66" spans="1:8" ht="15.75" thickBot="1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7">
        <f>SUM(C57:C66)</f>
        <v>122193036.25</v>
      </c>
      <c r="D67" s="261">
        <f>SUM(D57:D66)</f>
        <v>28952068.25</v>
      </c>
      <c r="E67" s="206">
        <f>SUM(E57:E66)</f>
        <v>27222927.39</v>
      </c>
      <c r="F67" s="268">
        <f>(+D67-E67)/E67</f>
        <v>0.06351781479001327</v>
      </c>
      <c r="G67" s="267">
        <f>D67/C67</f>
        <v>0.23693713765132832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66</v>
      </c>
      <c r="B69" s="131">
        <f>DATE(2021,7,1)</f>
        <v>44378</v>
      </c>
      <c r="C69" s="204">
        <v>3514368</v>
      </c>
      <c r="D69" s="204">
        <v>729030</v>
      </c>
      <c r="E69" s="204">
        <v>572750</v>
      </c>
      <c r="F69" s="132">
        <f aca="true" t="shared" si="10" ref="F69:F77">(+D69-E69)/E69</f>
        <v>0.27285901353120906</v>
      </c>
      <c r="G69" s="215">
        <f aca="true" t="shared" si="11" ref="G69:G77">D69/C69</f>
        <v>0.2074427037805944</v>
      </c>
      <c r="H69" s="123"/>
    </row>
    <row r="70" spans="1:8" ht="15.75">
      <c r="A70" s="130"/>
      <c r="B70" s="131">
        <f>DATE(2021,8,1)</f>
        <v>44409</v>
      </c>
      <c r="C70" s="204">
        <v>2699849</v>
      </c>
      <c r="D70" s="204">
        <v>844084.5</v>
      </c>
      <c r="E70" s="204">
        <v>629353.5</v>
      </c>
      <c r="F70" s="132">
        <f t="shared" si="10"/>
        <v>0.34119298613577265</v>
      </c>
      <c r="G70" s="215">
        <f t="shared" si="11"/>
        <v>0.31264137364719286</v>
      </c>
      <c r="H70" s="123"/>
    </row>
    <row r="71" spans="1:8" ht="15.75">
      <c r="A71" s="130"/>
      <c r="B71" s="131">
        <f>DATE(2021,9,1)</f>
        <v>44440</v>
      </c>
      <c r="C71" s="204">
        <v>2582290</v>
      </c>
      <c r="D71" s="204">
        <v>707619</v>
      </c>
      <c r="E71" s="204">
        <v>564621.5</v>
      </c>
      <c r="F71" s="132">
        <f t="shared" si="10"/>
        <v>0.2532625838725589</v>
      </c>
      <c r="G71" s="215">
        <f t="shared" si="11"/>
        <v>0.2740277040921043</v>
      </c>
      <c r="H71" s="123"/>
    </row>
    <row r="72" spans="1:8" ht="15.75">
      <c r="A72" s="130"/>
      <c r="B72" s="131">
        <f>DATE(2021,10,1)</f>
        <v>44470</v>
      </c>
      <c r="C72" s="204">
        <v>2647781</v>
      </c>
      <c r="D72" s="204">
        <v>435392</v>
      </c>
      <c r="E72" s="204">
        <v>553335.5</v>
      </c>
      <c r="F72" s="132">
        <f t="shared" si="10"/>
        <v>-0.21315006899069372</v>
      </c>
      <c r="G72" s="215">
        <f t="shared" si="11"/>
        <v>0.16443656027443357</v>
      </c>
      <c r="H72" s="123"/>
    </row>
    <row r="73" spans="1:8" ht="15.75">
      <c r="A73" s="130"/>
      <c r="B73" s="131">
        <f>DATE(2021,11,1)</f>
        <v>44501</v>
      </c>
      <c r="C73" s="204">
        <v>2909471</v>
      </c>
      <c r="D73" s="204">
        <v>706210</v>
      </c>
      <c r="E73" s="204">
        <v>402553.5</v>
      </c>
      <c r="F73" s="132">
        <f t="shared" si="10"/>
        <v>0.7543258225304215</v>
      </c>
      <c r="G73" s="215">
        <f t="shared" si="11"/>
        <v>0.24272797357320283</v>
      </c>
      <c r="H73" s="123"/>
    </row>
    <row r="74" spans="1:8" ht="15.75">
      <c r="A74" s="130"/>
      <c r="B74" s="131">
        <f>DATE(2021,12,1)</f>
        <v>44531</v>
      </c>
      <c r="C74" s="204">
        <v>3194523</v>
      </c>
      <c r="D74" s="204">
        <v>737876.5</v>
      </c>
      <c r="E74" s="204">
        <v>614666.5</v>
      </c>
      <c r="F74" s="132">
        <f t="shared" si="10"/>
        <v>0.20045016281186628</v>
      </c>
      <c r="G74" s="215">
        <f t="shared" si="11"/>
        <v>0.2309817459445432</v>
      </c>
      <c r="H74" s="123"/>
    </row>
    <row r="75" spans="1:8" ht="15.75">
      <c r="A75" s="130"/>
      <c r="B75" s="131">
        <f>DATE(2022,1,1)</f>
        <v>44562</v>
      </c>
      <c r="C75" s="204">
        <v>2693167</v>
      </c>
      <c r="D75" s="204">
        <v>670212</v>
      </c>
      <c r="E75" s="204">
        <v>697063</v>
      </c>
      <c r="F75" s="132">
        <f t="shared" si="10"/>
        <v>-0.038520191144846304</v>
      </c>
      <c r="G75" s="215">
        <f t="shared" si="11"/>
        <v>0.2488564578431267</v>
      </c>
      <c r="H75" s="123"/>
    </row>
    <row r="76" spans="1:8" ht="15.75">
      <c r="A76" s="130"/>
      <c r="B76" s="131">
        <f>DATE(2022,2,1)</f>
        <v>44593</v>
      </c>
      <c r="C76" s="204">
        <v>2573481</v>
      </c>
      <c r="D76" s="204">
        <v>521651.5</v>
      </c>
      <c r="E76" s="204">
        <v>596898</v>
      </c>
      <c r="F76" s="132">
        <f t="shared" si="10"/>
        <v>-0.12606257685567718</v>
      </c>
      <c r="G76" s="215">
        <f t="shared" si="11"/>
        <v>0.20270268169844657</v>
      </c>
      <c r="H76" s="123"/>
    </row>
    <row r="77" spans="1:8" ht="15.75">
      <c r="A77" s="130"/>
      <c r="B77" s="131">
        <f>DATE(2022,3,1)</f>
        <v>44621</v>
      </c>
      <c r="C77" s="204">
        <v>3209245</v>
      </c>
      <c r="D77" s="204">
        <v>982292</v>
      </c>
      <c r="E77" s="204">
        <v>649953.5</v>
      </c>
      <c r="F77" s="132">
        <f t="shared" si="10"/>
        <v>0.5113265795168423</v>
      </c>
      <c r="G77" s="215">
        <f t="shared" si="11"/>
        <v>0.30608196008718563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7">
        <f>SUM(C69:C78)</f>
        <v>26024175</v>
      </c>
      <c r="D79" s="261">
        <f>SUM(D69:D78)</f>
        <v>6334367.5</v>
      </c>
      <c r="E79" s="207">
        <f>SUM(E69:E78)</f>
        <v>5281195</v>
      </c>
      <c r="F79" s="268">
        <f>(+D79-E79)/E79</f>
        <v>0.19941935489979068</v>
      </c>
      <c r="G79" s="267">
        <f>D79/C79</f>
        <v>0.24340320106208937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.75">
      <c r="A81" s="130" t="s">
        <v>70</v>
      </c>
      <c r="B81" s="131">
        <f>DATE(2021,7,1)</f>
        <v>44378</v>
      </c>
      <c r="C81" s="204">
        <v>6154700</v>
      </c>
      <c r="D81" s="204">
        <v>1067621</v>
      </c>
      <c r="E81" s="204">
        <v>248731.5</v>
      </c>
      <c r="F81" s="132">
        <f aca="true" t="shared" si="12" ref="F81:F89">(+D81-E81)/E81</f>
        <v>3.292262942168563</v>
      </c>
      <c r="G81" s="215">
        <f aca="true" t="shared" si="13" ref="G81:G89">D81/C81</f>
        <v>0.1734643443222253</v>
      </c>
      <c r="H81" s="123"/>
    </row>
    <row r="82" spans="1:8" ht="15.75">
      <c r="A82" s="130"/>
      <c r="B82" s="131">
        <f>DATE(2021,8,1)</f>
        <v>44409</v>
      </c>
      <c r="C82" s="204">
        <v>5891930</v>
      </c>
      <c r="D82" s="204">
        <v>666603.5</v>
      </c>
      <c r="E82" s="204">
        <v>268487</v>
      </c>
      <c r="F82" s="132">
        <f t="shared" si="12"/>
        <v>1.4828148104005037</v>
      </c>
      <c r="G82" s="215">
        <f t="shared" si="13"/>
        <v>0.11313839438010974</v>
      </c>
      <c r="H82" s="123"/>
    </row>
    <row r="83" spans="1:8" ht="15.75">
      <c r="A83" s="130"/>
      <c r="B83" s="131">
        <f>DATE(2021,9,1)</f>
        <v>44440</v>
      </c>
      <c r="C83" s="204">
        <v>7061445</v>
      </c>
      <c r="D83" s="204">
        <v>1135711.5</v>
      </c>
      <c r="E83" s="204">
        <v>277957.5</v>
      </c>
      <c r="F83" s="132">
        <f t="shared" si="12"/>
        <v>3.085917811176169</v>
      </c>
      <c r="G83" s="215">
        <f t="shared" si="13"/>
        <v>0.16083273324369163</v>
      </c>
      <c r="H83" s="123"/>
    </row>
    <row r="84" spans="1:8" ht="15.75">
      <c r="A84" s="130"/>
      <c r="B84" s="131">
        <f>DATE(2021,10,1)</f>
        <v>44470</v>
      </c>
      <c r="C84" s="204">
        <v>7202787</v>
      </c>
      <c r="D84" s="204">
        <v>1168170.5</v>
      </c>
      <c r="E84" s="204">
        <v>306011.5</v>
      </c>
      <c r="F84" s="132">
        <f t="shared" si="12"/>
        <v>2.8174071889455137</v>
      </c>
      <c r="G84" s="215">
        <f t="shared" si="13"/>
        <v>0.16218312439337718</v>
      </c>
      <c r="H84" s="123"/>
    </row>
    <row r="85" spans="1:8" ht="15.75">
      <c r="A85" s="130"/>
      <c r="B85" s="131">
        <f>DATE(2021,11,1)</f>
        <v>44501</v>
      </c>
      <c r="C85" s="204">
        <v>6938331</v>
      </c>
      <c r="D85" s="204">
        <v>1094072</v>
      </c>
      <c r="E85" s="204">
        <v>264033.5</v>
      </c>
      <c r="F85" s="132">
        <f t="shared" si="12"/>
        <v>3.1436863125323113</v>
      </c>
      <c r="G85" s="215">
        <f t="shared" si="13"/>
        <v>0.15768518394409262</v>
      </c>
      <c r="H85" s="123"/>
    </row>
    <row r="86" spans="1:8" ht="15.75">
      <c r="A86" s="130"/>
      <c r="B86" s="131">
        <f>DATE(2021,12,1)</f>
        <v>44531</v>
      </c>
      <c r="C86" s="204">
        <v>7475553</v>
      </c>
      <c r="D86" s="204">
        <v>924398</v>
      </c>
      <c r="E86" s="204">
        <v>310571</v>
      </c>
      <c r="F86" s="132">
        <f t="shared" si="12"/>
        <v>1.976446609631936</v>
      </c>
      <c r="G86" s="215">
        <f t="shared" si="13"/>
        <v>0.12365613620825108</v>
      </c>
      <c r="H86" s="123"/>
    </row>
    <row r="87" spans="1:8" ht="15.75">
      <c r="A87" s="130"/>
      <c r="B87" s="131">
        <f>DATE(2022,1,1)</f>
        <v>44562</v>
      </c>
      <c r="C87" s="204">
        <v>6391156</v>
      </c>
      <c r="D87" s="204">
        <v>1117761</v>
      </c>
      <c r="E87" s="204">
        <v>371981</v>
      </c>
      <c r="F87" s="132">
        <f t="shared" si="12"/>
        <v>2.0048873463967247</v>
      </c>
      <c r="G87" s="215">
        <f t="shared" si="13"/>
        <v>0.17489183490435847</v>
      </c>
      <c r="H87" s="123"/>
    </row>
    <row r="88" spans="1:8" ht="15.75">
      <c r="A88" s="130"/>
      <c r="B88" s="131">
        <f>DATE(2022,2,1)</f>
        <v>44593</v>
      </c>
      <c r="C88" s="204">
        <v>6103967</v>
      </c>
      <c r="D88" s="204">
        <v>934678</v>
      </c>
      <c r="E88" s="204">
        <v>412016.5</v>
      </c>
      <c r="F88" s="132">
        <f t="shared" si="12"/>
        <v>1.2685450704037338</v>
      </c>
      <c r="G88" s="215">
        <f t="shared" si="13"/>
        <v>0.15312631932643148</v>
      </c>
      <c r="H88" s="123"/>
    </row>
    <row r="89" spans="1:8" ht="15.75">
      <c r="A89" s="130"/>
      <c r="B89" s="131">
        <f>DATE(2022,3,1)</f>
        <v>44621</v>
      </c>
      <c r="C89" s="204">
        <v>5949984</v>
      </c>
      <c r="D89" s="204">
        <v>957431</v>
      </c>
      <c r="E89" s="204">
        <v>636027.5</v>
      </c>
      <c r="F89" s="132">
        <f t="shared" si="12"/>
        <v>0.5053295651524502</v>
      </c>
      <c r="G89" s="215">
        <f t="shared" si="13"/>
        <v>0.16091320581702404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7">
        <f>SUM(C81:C90)</f>
        <v>59169853</v>
      </c>
      <c r="D91" s="261">
        <f>SUM(D81:D90)</f>
        <v>9066446.5</v>
      </c>
      <c r="E91" s="207">
        <f>SUM(E81:E90)</f>
        <v>3095817</v>
      </c>
      <c r="F91" s="269">
        <f>(+D91-E91)/E91</f>
        <v>1.9286118979254911</v>
      </c>
      <c r="G91" s="267">
        <f>D91/C91</f>
        <v>0.15322746365450662</v>
      </c>
      <c r="H91" s="123"/>
    </row>
    <row r="92" spans="1:8" ht="15.75" customHeight="1" thickTop="1">
      <c r="A92" s="130"/>
      <c r="B92" s="139"/>
      <c r="C92" s="205"/>
      <c r="D92" s="205"/>
      <c r="E92" s="205"/>
      <c r="F92" s="140"/>
      <c r="G92" s="216"/>
      <c r="H92" s="123"/>
    </row>
    <row r="93" spans="1:8" ht="15.75">
      <c r="A93" s="130" t="s">
        <v>52</v>
      </c>
      <c r="B93" s="131">
        <f>DATE(2021,7,1)</f>
        <v>44378</v>
      </c>
      <c r="C93" s="204">
        <v>6084758</v>
      </c>
      <c r="D93" s="204">
        <v>1287648</v>
      </c>
      <c r="E93" s="204">
        <v>671384</v>
      </c>
      <c r="F93" s="132">
        <f aca="true" t="shared" si="14" ref="F93:F101">(+D93-E93)/E93</f>
        <v>0.9179009329981054</v>
      </c>
      <c r="G93" s="215">
        <f aca="true" t="shared" si="15" ref="G93:G101">D93/C93</f>
        <v>0.21161860504559096</v>
      </c>
      <c r="H93" s="123"/>
    </row>
    <row r="94" spans="1:8" ht="15.75">
      <c r="A94" s="130"/>
      <c r="B94" s="131">
        <f>DATE(2021,8,1)</f>
        <v>44409</v>
      </c>
      <c r="C94" s="204">
        <v>5252172</v>
      </c>
      <c r="D94" s="204">
        <v>1323019.5</v>
      </c>
      <c r="E94" s="204">
        <v>647438.06</v>
      </c>
      <c r="F94" s="132">
        <f t="shared" si="14"/>
        <v>1.043468837775771</v>
      </c>
      <c r="G94" s="215">
        <f t="shared" si="15"/>
        <v>0.25189949986405624</v>
      </c>
      <c r="H94" s="123"/>
    </row>
    <row r="95" spans="1:8" ht="15.75">
      <c r="A95" s="130"/>
      <c r="B95" s="131">
        <f>DATE(2021,9,1)</f>
        <v>44440</v>
      </c>
      <c r="C95" s="204">
        <v>4855923</v>
      </c>
      <c r="D95" s="204">
        <v>858985.36</v>
      </c>
      <c r="E95" s="204">
        <v>476389</v>
      </c>
      <c r="F95" s="132">
        <f t="shared" si="14"/>
        <v>0.8031175362991169</v>
      </c>
      <c r="G95" s="215">
        <f t="shared" si="15"/>
        <v>0.17689435355544147</v>
      </c>
      <c r="H95" s="123"/>
    </row>
    <row r="96" spans="1:8" ht="15.75">
      <c r="A96" s="130"/>
      <c r="B96" s="131">
        <f>DATE(2021,10,1)</f>
        <v>44470</v>
      </c>
      <c r="C96" s="204">
        <v>5531948</v>
      </c>
      <c r="D96" s="204">
        <v>980676.58</v>
      </c>
      <c r="E96" s="204">
        <v>822284.63</v>
      </c>
      <c r="F96" s="132">
        <f t="shared" si="14"/>
        <v>0.19262423766816603</v>
      </c>
      <c r="G96" s="215">
        <f t="shared" si="15"/>
        <v>0.17727509007676862</v>
      </c>
      <c r="H96" s="123"/>
    </row>
    <row r="97" spans="1:8" ht="15.75">
      <c r="A97" s="130"/>
      <c r="B97" s="131">
        <f>DATE(2021,11,1)</f>
        <v>44501</v>
      </c>
      <c r="C97" s="204">
        <v>4904264</v>
      </c>
      <c r="D97" s="204">
        <v>1337612.57</v>
      </c>
      <c r="E97" s="204">
        <v>587592.5</v>
      </c>
      <c r="F97" s="132">
        <f t="shared" si="14"/>
        <v>1.2764289367206016</v>
      </c>
      <c r="G97" s="215">
        <f t="shared" si="15"/>
        <v>0.27274481349291146</v>
      </c>
      <c r="H97" s="123"/>
    </row>
    <row r="98" spans="1:8" ht="15.75">
      <c r="A98" s="130"/>
      <c r="B98" s="131">
        <f>DATE(2021,12,1)</f>
        <v>44531</v>
      </c>
      <c r="C98" s="204">
        <v>5252655</v>
      </c>
      <c r="D98" s="204">
        <v>927044</v>
      </c>
      <c r="E98" s="204">
        <v>844069.86</v>
      </c>
      <c r="F98" s="132">
        <f t="shared" si="14"/>
        <v>0.09830245567588447</v>
      </c>
      <c r="G98" s="215">
        <f t="shared" si="15"/>
        <v>0.176490555728484</v>
      </c>
      <c r="H98" s="123"/>
    </row>
    <row r="99" spans="1:8" ht="15.75">
      <c r="A99" s="130"/>
      <c r="B99" s="131">
        <f>DATE(2022,1,1)</f>
        <v>44562</v>
      </c>
      <c r="C99" s="204">
        <v>4730977</v>
      </c>
      <c r="D99" s="204">
        <v>922135.79</v>
      </c>
      <c r="E99" s="204">
        <v>1044151.5</v>
      </c>
      <c r="F99" s="132">
        <f t="shared" si="14"/>
        <v>-0.11685632784131418</v>
      </c>
      <c r="G99" s="215">
        <f t="shared" si="15"/>
        <v>0.19491445213113487</v>
      </c>
      <c r="H99" s="123"/>
    </row>
    <row r="100" spans="1:8" ht="15.75">
      <c r="A100" s="130"/>
      <c r="B100" s="131">
        <f>DATE(2022,2,1)</f>
        <v>44593</v>
      </c>
      <c r="C100" s="204">
        <v>5193592</v>
      </c>
      <c r="D100" s="204">
        <v>1013590.48</v>
      </c>
      <c r="E100" s="204">
        <v>1000996.5</v>
      </c>
      <c r="F100" s="132">
        <f t="shared" si="14"/>
        <v>0.012581442592456598</v>
      </c>
      <c r="G100" s="215">
        <f t="shared" si="15"/>
        <v>0.195161745474038</v>
      </c>
      <c r="H100" s="123"/>
    </row>
    <row r="101" spans="1:8" ht="15.75">
      <c r="A101" s="130"/>
      <c r="B101" s="131">
        <f>DATE(2022,3,1)</f>
        <v>44621</v>
      </c>
      <c r="C101" s="204">
        <v>6342961</v>
      </c>
      <c r="D101" s="204">
        <v>1404872.12</v>
      </c>
      <c r="E101" s="204">
        <v>1370156.18</v>
      </c>
      <c r="F101" s="132">
        <f t="shared" si="14"/>
        <v>0.025337213747413947</v>
      </c>
      <c r="G101" s="215">
        <f t="shared" si="15"/>
        <v>0.2214852211766713</v>
      </c>
      <c r="H101" s="123"/>
    </row>
    <row r="102" spans="1:8" ht="15.75" customHeight="1" thickBot="1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Bot="1" thickTop="1">
      <c r="A103" s="141" t="s">
        <v>14</v>
      </c>
      <c r="B103" s="142"/>
      <c r="C103" s="206">
        <f>SUM(C93:C102)</f>
        <v>48149250</v>
      </c>
      <c r="D103" s="206">
        <f>SUM(D93:D102)</f>
        <v>10055584.399999999</v>
      </c>
      <c r="E103" s="206">
        <f>SUM(E93:E102)</f>
        <v>7464462.2299999995</v>
      </c>
      <c r="F103" s="143">
        <f>(+D103-E103)/E103</f>
        <v>0.3471277756066828</v>
      </c>
      <c r="G103" s="217">
        <f>D103/C103</f>
        <v>0.20884197365483365</v>
      </c>
      <c r="H103" s="123"/>
    </row>
    <row r="104" spans="1:8" ht="15.75" customHeight="1" thickTop="1">
      <c r="A104" s="138"/>
      <c r="B104" s="139"/>
      <c r="C104" s="205"/>
      <c r="D104" s="205"/>
      <c r="E104" s="205"/>
      <c r="F104" s="140"/>
      <c r="G104" s="216"/>
      <c r="H104" s="123"/>
    </row>
    <row r="105" spans="1:8" ht="15.75">
      <c r="A105" s="130" t="s">
        <v>16</v>
      </c>
      <c r="B105" s="131">
        <f>DATE(2021,7,1)</f>
        <v>44378</v>
      </c>
      <c r="C105" s="204">
        <v>10188404</v>
      </c>
      <c r="D105" s="204">
        <v>1960105</v>
      </c>
      <c r="E105" s="204">
        <v>1702806.5</v>
      </c>
      <c r="F105" s="132">
        <f aca="true" t="shared" si="16" ref="F105:F113">(+D105-E105)/E105</f>
        <v>0.1511026061974746</v>
      </c>
      <c r="G105" s="215">
        <f aca="true" t="shared" si="17" ref="G105:G113">D105/C105</f>
        <v>0.19238587319466327</v>
      </c>
      <c r="H105" s="123"/>
    </row>
    <row r="106" spans="1:8" ht="15.75">
      <c r="A106" s="130"/>
      <c r="B106" s="131">
        <f>DATE(2021,8,1)</f>
        <v>44409</v>
      </c>
      <c r="C106" s="204">
        <v>8876957</v>
      </c>
      <c r="D106" s="204">
        <v>2276188.5</v>
      </c>
      <c r="E106" s="204">
        <v>1570570.5</v>
      </c>
      <c r="F106" s="132">
        <f t="shared" si="16"/>
        <v>0.44927496091388447</v>
      </c>
      <c r="G106" s="215">
        <f t="shared" si="17"/>
        <v>0.25641540226003123</v>
      </c>
      <c r="H106" s="123"/>
    </row>
    <row r="107" spans="1:8" ht="15.75">
      <c r="A107" s="130"/>
      <c r="B107" s="131">
        <f>DATE(2021,9,1)</f>
        <v>44440</v>
      </c>
      <c r="C107" s="204">
        <v>8784096</v>
      </c>
      <c r="D107" s="204">
        <v>937001</v>
      </c>
      <c r="E107" s="204">
        <v>1447626.5</v>
      </c>
      <c r="F107" s="132">
        <f t="shared" si="16"/>
        <v>-0.35273290451646194</v>
      </c>
      <c r="G107" s="215">
        <f t="shared" si="17"/>
        <v>0.10667016844988944</v>
      </c>
      <c r="H107" s="123"/>
    </row>
    <row r="108" spans="1:8" ht="15.75">
      <c r="A108" s="130"/>
      <c r="B108" s="131">
        <f>DATE(2021,10,1)</f>
        <v>44470</v>
      </c>
      <c r="C108" s="204">
        <v>9422231</v>
      </c>
      <c r="D108" s="204">
        <v>1775955</v>
      </c>
      <c r="E108" s="204">
        <v>1659455</v>
      </c>
      <c r="F108" s="132">
        <f t="shared" si="16"/>
        <v>0.07020377172023345</v>
      </c>
      <c r="G108" s="215">
        <f t="shared" si="17"/>
        <v>0.1884856145004299</v>
      </c>
      <c r="H108" s="123"/>
    </row>
    <row r="109" spans="1:8" ht="15.75">
      <c r="A109" s="130"/>
      <c r="B109" s="131">
        <f>DATE(2021,11,1)</f>
        <v>44501</v>
      </c>
      <c r="C109" s="204">
        <v>10195584</v>
      </c>
      <c r="D109" s="204">
        <v>2249032.5</v>
      </c>
      <c r="E109" s="204">
        <v>1564224</v>
      </c>
      <c r="F109" s="132">
        <f t="shared" si="16"/>
        <v>0.43779439517613844</v>
      </c>
      <c r="G109" s="215">
        <f t="shared" si="17"/>
        <v>0.22058888436405408</v>
      </c>
      <c r="H109" s="123"/>
    </row>
    <row r="110" spans="1:8" ht="15.75">
      <c r="A110" s="130"/>
      <c r="B110" s="131">
        <f>DATE(2021,12,1)</f>
        <v>44531</v>
      </c>
      <c r="C110" s="204">
        <v>10435449</v>
      </c>
      <c r="D110" s="204">
        <v>1878218</v>
      </c>
      <c r="E110" s="204">
        <v>1930831.5</v>
      </c>
      <c r="F110" s="132">
        <f t="shared" si="16"/>
        <v>-0.027249141108377402</v>
      </c>
      <c r="G110" s="215">
        <f t="shared" si="17"/>
        <v>0.17998439741308686</v>
      </c>
      <c r="H110" s="123"/>
    </row>
    <row r="111" spans="1:8" ht="15.75">
      <c r="A111" s="130"/>
      <c r="B111" s="131">
        <f>DATE(2022,1,1)</f>
        <v>44562</v>
      </c>
      <c r="C111" s="204">
        <v>9421097</v>
      </c>
      <c r="D111" s="204">
        <v>1684861.5</v>
      </c>
      <c r="E111" s="204">
        <v>2028934.5</v>
      </c>
      <c r="F111" s="132">
        <f t="shared" si="16"/>
        <v>-0.1695830989122616</v>
      </c>
      <c r="G111" s="215">
        <f t="shared" si="17"/>
        <v>0.17883920524329597</v>
      </c>
      <c r="H111" s="123"/>
    </row>
    <row r="112" spans="1:8" ht="15.75">
      <c r="A112" s="130"/>
      <c r="B112" s="131">
        <f>DATE(2022,2,1)</f>
        <v>44593</v>
      </c>
      <c r="C112" s="204">
        <v>9395663</v>
      </c>
      <c r="D112" s="204">
        <v>1881049</v>
      </c>
      <c r="E112" s="204">
        <v>1539079.5</v>
      </c>
      <c r="F112" s="132">
        <f t="shared" si="16"/>
        <v>0.22219092645961433</v>
      </c>
      <c r="G112" s="215">
        <f t="shared" si="17"/>
        <v>0.20020396644707245</v>
      </c>
      <c r="H112" s="123"/>
    </row>
    <row r="113" spans="1:8" ht="15.75">
      <c r="A113" s="130"/>
      <c r="B113" s="131">
        <f>DATE(2022,3,1)</f>
        <v>44621</v>
      </c>
      <c r="C113" s="204">
        <v>10215030</v>
      </c>
      <c r="D113" s="204">
        <v>2361969</v>
      </c>
      <c r="E113" s="204">
        <v>1917378.5</v>
      </c>
      <c r="F113" s="132">
        <f t="shared" si="16"/>
        <v>0.23187414482847282</v>
      </c>
      <c r="G113" s="215">
        <f t="shared" si="17"/>
        <v>0.23122487158628022</v>
      </c>
      <c r="H113" s="123"/>
    </row>
    <row r="114" spans="1:8" ht="15.75" customHeight="1" thickBot="1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Bot="1" thickTop="1">
      <c r="A115" s="141" t="s">
        <v>14</v>
      </c>
      <c r="B115" s="142"/>
      <c r="C115" s="206">
        <f>SUM(C105:C114)</f>
        <v>86934511</v>
      </c>
      <c r="D115" s="206">
        <f>SUM(D105:D114)</f>
        <v>17004379.5</v>
      </c>
      <c r="E115" s="206">
        <f>SUM(E105:E114)</f>
        <v>15360906.5</v>
      </c>
      <c r="F115" s="143">
        <f>(+D115-E115)/E115</f>
        <v>0.1069906258462025</v>
      </c>
      <c r="G115" s="217">
        <f>D115/C115</f>
        <v>0.19559987517500385</v>
      </c>
      <c r="H115" s="123"/>
    </row>
    <row r="116" spans="1:8" ht="15.75" customHeight="1" thickTop="1">
      <c r="A116" s="138"/>
      <c r="B116" s="139"/>
      <c r="C116" s="205"/>
      <c r="D116" s="205"/>
      <c r="E116" s="205"/>
      <c r="F116" s="140"/>
      <c r="G116" s="216"/>
      <c r="H116" s="123"/>
    </row>
    <row r="117" spans="1:8" ht="15.75">
      <c r="A117" s="130" t="s">
        <v>54</v>
      </c>
      <c r="B117" s="131">
        <f>DATE(2021,7,1)</f>
        <v>44378</v>
      </c>
      <c r="C117" s="204">
        <v>12892239.5</v>
      </c>
      <c r="D117" s="204">
        <v>2503594.66</v>
      </c>
      <c r="E117" s="204">
        <v>1922906.33</v>
      </c>
      <c r="F117" s="132">
        <f aca="true" t="shared" si="18" ref="F117:F125">(+D117-E117)/E117</f>
        <v>0.30198472018135175</v>
      </c>
      <c r="G117" s="215">
        <f aca="true" t="shared" si="19" ref="G117:G125">D117/C117</f>
        <v>0.1941939303873466</v>
      </c>
      <c r="H117" s="123"/>
    </row>
    <row r="118" spans="1:8" ht="15.75">
      <c r="A118" s="130"/>
      <c r="B118" s="131">
        <f>DATE(2021,8,1)</f>
        <v>44409</v>
      </c>
      <c r="C118" s="204">
        <v>12937175</v>
      </c>
      <c r="D118" s="204">
        <v>2041955.48</v>
      </c>
      <c r="E118" s="204">
        <v>2698345.86</v>
      </c>
      <c r="F118" s="132">
        <f t="shared" si="18"/>
        <v>-0.24325657793919714</v>
      </c>
      <c r="G118" s="215">
        <f t="shared" si="19"/>
        <v>0.15783627260201705</v>
      </c>
      <c r="H118" s="123"/>
    </row>
    <row r="119" spans="1:8" ht="15.75">
      <c r="A119" s="130"/>
      <c r="B119" s="131">
        <f>DATE(2021,9,1)</f>
        <v>44440</v>
      </c>
      <c r="C119" s="204">
        <v>13265484</v>
      </c>
      <c r="D119" s="204">
        <v>2713567.27</v>
      </c>
      <c r="E119" s="204">
        <v>2773332.44</v>
      </c>
      <c r="F119" s="132">
        <f t="shared" si="18"/>
        <v>-0.021549948047339007</v>
      </c>
      <c r="G119" s="215">
        <f t="shared" si="19"/>
        <v>0.20455848199733986</v>
      </c>
      <c r="H119" s="123"/>
    </row>
    <row r="120" spans="1:8" ht="15.75">
      <c r="A120" s="130"/>
      <c r="B120" s="131">
        <f>DATE(2021,10,1)</f>
        <v>44470</v>
      </c>
      <c r="C120" s="204">
        <v>14843224</v>
      </c>
      <c r="D120" s="204">
        <v>2659301.47</v>
      </c>
      <c r="E120" s="204">
        <v>2099358.01</v>
      </c>
      <c r="F120" s="132">
        <f t="shared" si="18"/>
        <v>0.2667212820932817</v>
      </c>
      <c r="G120" s="215">
        <f t="shared" si="19"/>
        <v>0.17915928978771728</v>
      </c>
      <c r="H120" s="123"/>
    </row>
    <row r="121" spans="1:8" ht="15.75">
      <c r="A121" s="130"/>
      <c r="B121" s="131">
        <f>DATE(2021,11,1)</f>
        <v>44501</v>
      </c>
      <c r="C121" s="204">
        <v>13846501</v>
      </c>
      <c r="D121" s="204">
        <v>2735220.29</v>
      </c>
      <c r="E121" s="204">
        <v>2138602.36</v>
      </c>
      <c r="F121" s="132">
        <f t="shared" si="18"/>
        <v>0.2789756249965048</v>
      </c>
      <c r="G121" s="215">
        <f t="shared" si="19"/>
        <v>0.1975387348760528</v>
      </c>
      <c r="H121" s="123"/>
    </row>
    <row r="122" spans="1:8" ht="15.75">
      <c r="A122" s="130"/>
      <c r="B122" s="131">
        <f>DATE(2021,12,1)</f>
        <v>44531</v>
      </c>
      <c r="C122" s="204">
        <v>15351934</v>
      </c>
      <c r="D122" s="204">
        <v>3180649.5</v>
      </c>
      <c r="E122" s="204">
        <v>1971253.86</v>
      </c>
      <c r="F122" s="132">
        <f t="shared" si="18"/>
        <v>0.6135159273702068</v>
      </c>
      <c r="G122" s="215">
        <f t="shared" si="19"/>
        <v>0.20718233285786664</v>
      </c>
      <c r="H122" s="123"/>
    </row>
    <row r="123" spans="1:8" ht="15.75">
      <c r="A123" s="130"/>
      <c r="B123" s="131">
        <f>DATE(2022,1,1)</f>
        <v>44562</v>
      </c>
      <c r="C123" s="204">
        <v>12615740</v>
      </c>
      <c r="D123" s="204">
        <v>2491683.57</v>
      </c>
      <c r="E123" s="204">
        <v>2332941.5</v>
      </c>
      <c r="F123" s="132">
        <f t="shared" si="18"/>
        <v>0.0680437422027084</v>
      </c>
      <c r="G123" s="215">
        <f t="shared" si="19"/>
        <v>0.1975059386131927</v>
      </c>
      <c r="H123" s="123"/>
    </row>
    <row r="124" spans="1:8" ht="15.75">
      <c r="A124" s="130"/>
      <c r="B124" s="131">
        <f>DATE(2022,2,1)</f>
        <v>44593</v>
      </c>
      <c r="C124" s="204">
        <v>13258339</v>
      </c>
      <c r="D124" s="204">
        <v>2634766.65</v>
      </c>
      <c r="E124" s="204">
        <v>2002620.27</v>
      </c>
      <c r="F124" s="132">
        <f t="shared" si="18"/>
        <v>0.31565963326637053</v>
      </c>
      <c r="G124" s="215">
        <f t="shared" si="19"/>
        <v>0.19872524378807932</v>
      </c>
      <c r="H124" s="123"/>
    </row>
    <row r="125" spans="1:8" ht="15.75">
      <c r="A125" s="130"/>
      <c r="B125" s="131">
        <f>DATE(2022,3,1)</f>
        <v>44621</v>
      </c>
      <c r="C125" s="204">
        <v>16256295</v>
      </c>
      <c r="D125" s="204">
        <v>3434413.46</v>
      </c>
      <c r="E125" s="204">
        <v>2026634.3</v>
      </c>
      <c r="F125" s="132">
        <f t="shared" si="18"/>
        <v>0.694638968658529</v>
      </c>
      <c r="G125" s="215">
        <f t="shared" si="19"/>
        <v>0.2112666791541369</v>
      </c>
      <c r="H125" s="123"/>
    </row>
    <row r="126" spans="1:8" ht="15.75" thickBot="1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7">
        <f>SUM(C117:C126)</f>
        <v>125266931.5</v>
      </c>
      <c r="D127" s="207">
        <f>SUM(D117:D126)</f>
        <v>24395152.35</v>
      </c>
      <c r="E127" s="207">
        <f>SUM(E117:E126)</f>
        <v>19965994.93</v>
      </c>
      <c r="F127" s="143">
        <f>(+D127-E127)/E127</f>
        <v>0.22183504681476957</v>
      </c>
      <c r="G127" s="267">
        <f>D127/C127</f>
        <v>0.19474534945401772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9"/>
      <c r="H128" s="123"/>
    </row>
    <row r="129" spans="1:8" ht="15.75">
      <c r="A129" s="130" t="s">
        <v>55</v>
      </c>
      <c r="B129" s="131">
        <f>DATE(2021,7,1)</f>
        <v>44378</v>
      </c>
      <c r="C129" s="204">
        <v>371140</v>
      </c>
      <c r="D129" s="204">
        <v>95940.5</v>
      </c>
      <c r="E129" s="204">
        <v>188605.5</v>
      </c>
      <c r="F129" s="132">
        <f aca="true" t="shared" si="20" ref="F129:F137">(+D129-E129)/E129</f>
        <v>-0.49131653106616724</v>
      </c>
      <c r="G129" s="215">
        <f aca="true" t="shared" si="21" ref="G129:G137">D129/C129</f>
        <v>0.2585021824648381</v>
      </c>
      <c r="H129" s="123"/>
    </row>
    <row r="130" spans="1:8" ht="15.75">
      <c r="A130" s="130"/>
      <c r="B130" s="131">
        <f>DATE(2021,8,1)</f>
        <v>44409</v>
      </c>
      <c r="C130" s="204">
        <v>365006</v>
      </c>
      <c r="D130" s="204">
        <v>109429</v>
      </c>
      <c r="E130" s="204">
        <v>111546</v>
      </c>
      <c r="F130" s="132">
        <f t="shared" si="20"/>
        <v>-0.0189787173004859</v>
      </c>
      <c r="G130" s="215">
        <f t="shared" si="21"/>
        <v>0.2998005512238155</v>
      </c>
      <c r="H130" s="123"/>
    </row>
    <row r="131" spans="1:8" ht="15.75">
      <c r="A131" s="130"/>
      <c r="B131" s="131">
        <f>DATE(2021,9,1)</f>
        <v>44440</v>
      </c>
      <c r="C131" s="204">
        <v>306911</v>
      </c>
      <c r="D131" s="204">
        <v>101758.5</v>
      </c>
      <c r="E131" s="204">
        <v>108554</v>
      </c>
      <c r="F131" s="132">
        <f t="shared" si="20"/>
        <v>-0.06260018055529967</v>
      </c>
      <c r="G131" s="215">
        <f t="shared" si="21"/>
        <v>0.3315570311914529</v>
      </c>
      <c r="H131" s="123"/>
    </row>
    <row r="132" spans="1:8" ht="15.75">
      <c r="A132" s="130"/>
      <c r="B132" s="131">
        <f>DATE(2021,10,1)</f>
        <v>44470</v>
      </c>
      <c r="C132" s="204">
        <v>384507</v>
      </c>
      <c r="D132" s="204">
        <v>79721.5</v>
      </c>
      <c r="E132" s="204">
        <v>95084.5</v>
      </c>
      <c r="F132" s="132">
        <f t="shared" si="20"/>
        <v>-0.16157207536454418</v>
      </c>
      <c r="G132" s="215">
        <f t="shared" si="21"/>
        <v>0.207334326813296</v>
      </c>
      <c r="H132" s="123"/>
    </row>
    <row r="133" spans="1:8" ht="15.75">
      <c r="A133" s="130"/>
      <c r="B133" s="131">
        <f>DATE(2021,11,1)</f>
        <v>44501</v>
      </c>
      <c r="C133" s="204">
        <v>305940</v>
      </c>
      <c r="D133" s="204">
        <v>65199</v>
      </c>
      <c r="E133" s="204">
        <v>102680.5</v>
      </c>
      <c r="F133" s="132">
        <f t="shared" si="20"/>
        <v>-0.3650303611688685</v>
      </c>
      <c r="G133" s="215">
        <f t="shared" si="21"/>
        <v>0.21311041380662876</v>
      </c>
      <c r="H133" s="123"/>
    </row>
    <row r="134" spans="1:8" ht="15.75">
      <c r="A134" s="130"/>
      <c r="B134" s="131">
        <f>DATE(2021,12,1)</f>
        <v>44531</v>
      </c>
      <c r="C134" s="204">
        <v>301496</v>
      </c>
      <c r="D134" s="204">
        <v>91444</v>
      </c>
      <c r="E134" s="204">
        <v>47733</v>
      </c>
      <c r="F134" s="132">
        <f t="shared" si="20"/>
        <v>0.9157396350533175</v>
      </c>
      <c r="G134" s="215">
        <f t="shared" si="21"/>
        <v>0.3033008729800727</v>
      </c>
      <c r="H134" s="123"/>
    </row>
    <row r="135" spans="1:8" ht="15.75">
      <c r="A135" s="130"/>
      <c r="B135" s="131">
        <f>DATE(2022,1,1)</f>
        <v>44562</v>
      </c>
      <c r="C135" s="204">
        <v>295803</v>
      </c>
      <c r="D135" s="204">
        <v>130796.5</v>
      </c>
      <c r="E135" s="204">
        <v>134105.5</v>
      </c>
      <c r="F135" s="132">
        <f t="shared" si="20"/>
        <v>-0.024674603204193714</v>
      </c>
      <c r="G135" s="215">
        <f t="shared" si="21"/>
        <v>0.44217435252516035</v>
      </c>
      <c r="H135" s="123"/>
    </row>
    <row r="136" spans="1:8" ht="15.75">
      <c r="A136" s="130"/>
      <c r="B136" s="131">
        <f>DATE(2022,2,1)</f>
        <v>44593</v>
      </c>
      <c r="C136" s="204">
        <v>285955</v>
      </c>
      <c r="D136" s="204">
        <v>64197.5</v>
      </c>
      <c r="E136" s="204">
        <v>30769</v>
      </c>
      <c r="F136" s="132">
        <f t="shared" si="20"/>
        <v>1.086434398257987</v>
      </c>
      <c r="G136" s="215">
        <f t="shared" si="21"/>
        <v>0.22450210697487366</v>
      </c>
      <c r="H136" s="123"/>
    </row>
    <row r="137" spans="1:8" ht="15.75">
      <c r="A137" s="130"/>
      <c r="B137" s="131">
        <f>DATE(2022,3,1)</f>
        <v>44621</v>
      </c>
      <c r="C137" s="204">
        <v>342304</v>
      </c>
      <c r="D137" s="204">
        <v>83632.5</v>
      </c>
      <c r="E137" s="204">
        <v>150714.5</v>
      </c>
      <c r="F137" s="132">
        <f t="shared" si="20"/>
        <v>-0.445093206028617</v>
      </c>
      <c r="G137" s="215">
        <f t="shared" si="21"/>
        <v>0.2443222983079368</v>
      </c>
      <c r="H137" s="123"/>
    </row>
    <row r="138" spans="1:8" ht="15.7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Bot="1" thickTop="1">
      <c r="A139" s="144" t="s">
        <v>14</v>
      </c>
      <c r="B139" s="145"/>
      <c r="C139" s="207">
        <f>SUM(C129:C138)</f>
        <v>2959062</v>
      </c>
      <c r="D139" s="207">
        <f>SUM(D129:D138)</f>
        <v>822119</v>
      </c>
      <c r="E139" s="207">
        <f>SUM(E129:E138)</f>
        <v>969792.5</v>
      </c>
      <c r="F139" s="143">
        <f>(+D139-E139)/E139</f>
        <v>-0.15227329557611552</v>
      </c>
      <c r="G139" s="217">
        <f>D139/C139</f>
        <v>0.27783094778007356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.75">
      <c r="A141" s="130" t="s">
        <v>37</v>
      </c>
      <c r="B141" s="131">
        <f>DATE(2021,7,1)</f>
        <v>44378</v>
      </c>
      <c r="C141" s="204">
        <v>21135748</v>
      </c>
      <c r="D141" s="204">
        <v>4828759.44</v>
      </c>
      <c r="E141" s="204">
        <v>4944391.55</v>
      </c>
      <c r="F141" s="132">
        <f aca="true" t="shared" si="22" ref="F141:F149">(+D141-E141)/E141</f>
        <v>-0.0233865196214081</v>
      </c>
      <c r="G141" s="215">
        <f aca="true" t="shared" si="23" ref="G141:G149">D141/C141</f>
        <v>0.2284640903175038</v>
      </c>
      <c r="H141" s="123"/>
    </row>
    <row r="142" spans="1:8" ht="15.75">
      <c r="A142" s="130"/>
      <c r="B142" s="131">
        <f>DATE(2021,8,1)</f>
        <v>44409</v>
      </c>
      <c r="C142" s="204">
        <v>21125231</v>
      </c>
      <c r="D142" s="204">
        <v>4617763.22</v>
      </c>
      <c r="E142" s="204">
        <v>3489579.3</v>
      </c>
      <c r="F142" s="132">
        <f t="shared" si="22"/>
        <v>0.32330084030473244</v>
      </c>
      <c r="G142" s="215">
        <f t="shared" si="23"/>
        <v>0.21858995151342958</v>
      </c>
      <c r="H142" s="123"/>
    </row>
    <row r="143" spans="1:8" ht="15.75">
      <c r="A143" s="130"/>
      <c r="B143" s="131">
        <f>DATE(2021,9,1)</f>
        <v>44440</v>
      </c>
      <c r="C143" s="204">
        <v>19406042</v>
      </c>
      <c r="D143" s="204">
        <v>4146063.59</v>
      </c>
      <c r="E143" s="204">
        <v>3694673.89</v>
      </c>
      <c r="F143" s="132">
        <f t="shared" si="22"/>
        <v>0.12217308304847432</v>
      </c>
      <c r="G143" s="215">
        <f t="shared" si="23"/>
        <v>0.21364807877876385</v>
      </c>
      <c r="H143" s="123"/>
    </row>
    <row r="144" spans="1:8" ht="15.75">
      <c r="A144" s="130"/>
      <c r="B144" s="131">
        <f>DATE(2021,10,1)</f>
        <v>44470</v>
      </c>
      <c r="C144" s="204">
        <v>22309255.5</v>
      </c>
      <c r="D144" s="204">
        <v>5459139.57</v>
      </c>
      <c r="E144" s="204">
        <v>4159604.05</v>
      </c>
      <c r="F144" s="132">
        <f t="shared" si="22"/>
        <v>0.3124180821970304</v>
      </c>
      <c r="G144" s="215">
        <f t="shared" si="23"/>
        <v>0.24470290234472417</v>
      </c>
      <c r="H144" s="123"/>
    </row>
    <row r="145" spans="1:8" ht="15.75">
      <c r="A145" s="130"/>
      <c r="B145" s="131">
        <f>DATE(2021,11,1)</f>
        <v>44501</v>
      </c>
      <c r="C145" s="204">
        <v>22481941</v>
      </c>
      <c r="D145" s="204">
        <v>4253233.65</v>
      </c>
      <c r="E145" s="204">
        <v>3752761.48</v>
      </c>
      <c r="F145" s="132">
        <f t="shared" si="22"/>
        <v>0.13336103897549076</v>
      </c>
      <c r="G145" s="215">
        <f t="shared" si="23"/>
        <v>0.18918445031058487</v>
      </c>
      <c r="H145" s="123"/>
    </row>
    <row r="146" spans="1:8" ht="15.75">
      <c r="A146" s="130"/>
      <c r="B146" s="131">
        <f>DATE(2021,12,1)</f>
        <v>44531</v>
      </c>
      <c r="C146" s="204">
        <v>24035711</v>
      </c>
      <c r="D146" s="204">
        <v>5369859.74</v>
      </c>
      <c r="E146" s="204">
        <v>4490962</v>
      </c>
      <c r="F146" s="132">
        <f t="shared" si="22"/>
        <v>0.19570366883531862</v>
      </c>
      <c r="G146" s="215">
        <f t="shared" si="23"/>
        <v>0.223411728490162</v>
      </c>
      <c r="H146" s="123"/>
    </row>
    <row r="147" spans="1:8" ht="15.75">
      <c r="A147" s="130"/>
      <c r="B147" s="131">
        <f>DATE(2022,1,1)</f>
        <v>44562</v>
      </c>
      <c r="C147" s="204">
        <v>21675537</v>
      </c>
      <c r="D147" s="204">
        <v>5388467.76</v>
      </c>
      <c r="E147" s="204">
        <v>4702074.91</v>
      </c>
      <c r="F147" s="132">
        <f t="shared" si="22"/>
        <v>0.14597658759970705</v>
      </c>
      <c r="G147" s="215">
        <f t="shared" si="23"/>
        <v>0.2485967364960785</v>
      </c>
      <c r="H147" s="123"/>
    </row>
    <row r="148" spans="1:8" ht="15.75">
      <c r="A148" s="130"/>
      <c r="B148" s="131">
        <f>DATE(2022,2,1)</f>
        <v>44593</v>
      </c>
      <c r="C148" s="204">
        <v>19782448</v>
      </c>
      <c r="D148" s="204">
        <v>4784961.13</v>
      </c>
      <c r="E148" s="204">
        <v>4573683.54</v>
      </c>
      <c r="F148" s="132">
        <f t="shared" si="22"/>
        <v>0.046194186404072864</v>
      </c>
      <c r="G148" s="215">
        <f t="shared" si="23"/>
        <v>0.24187912082468258</v>
      </c>
      <c r="H148" s="123"/>
    </row>
    <row r="149" spans="1:8" ht="15.75">
      <c r="A149" s="130"/>
      <c r="B149" s="131">
        <f>DATE(2022,3,1)</f>
        <v>44621</v>
      </c>
      <c r="C149" s="204">
        <v>21853986</v>
      </c>
      <c r="D149" s="204">
        <v>4993811.12</v>
      </c>
      <c r="E149" s="204">
        <v>4732473.02</v>
      </c>
      <c r="F149" s="132">
        <f t="shared" si="22"/>
        <v>0.05522231165303095</v>
      </c>
      <c r="G149" s="215">
        <f t="shared" si="23"/>
        <v>0.22850802228938924</v>
      </c>
      <c r="H149" s="123"/>
    </row>
    <row r="150" spans="1:8" ht="15.75" thickBot="1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Bot="1" thickTop="1">
      <c r="A151" s="141" t="s">
        <v>14</v>
      </c>
      <c r="B151" s="142"/>
      <c r="C151" s="206">
        <f>SUM(C141:C150)</f>
        <v>193805899.5</v>
      </c>
      <c r="D151" s="207">
        <f>SUM(D141:D150)</f>
        <v>43842059.22</v>
      </c>
      <c r="E151" s="206">
        <f>SUM(E141:E150)</f>
        <v>38540203.739999995</v>
      </c>
      <c r="F151" s="143">
        <f>(+D151-E151)/E151</f>
        <v>0.1375668773254909</v>
      </c>
      <c r="G151" s="217">
        <f>D151/C151</f>
        <v>0.2262163294982669</v>
      </c>
      <c r="H151" s="123"/>
    </row>
    <row r="152" spans="1:8" ht="15.75" customHeight="1" thickTop="1">
      <c r="A152" s="130"/>
      <c r="B152" s="134"/>
      <c r="C152" s="204"/>
      <c r="D152" s="204"/>
      <c r="E152" s="204"/>
      <c r="F152" s="132"/>
      <c r="G152" s="218"/>
      <c r="H152" s="123"/>
    </row>
    <row r="153" spans="1:8" ht="15.75">
      <c r="A153" s="130" t="s">
        <v>58</v>
      </c>
      <c r="B153" s="131">
        <f>DATE(2021,7,1)</f>
        <v>44378</v>
      </c>
      <c r="C153" s="204">
        <v>576838</v>
      </c>
      <c r="D153" s="204">
        <v>127439.5</v>
      </c>
      <c r="E153" s="204">
        <v>155770.5</v>
      </c>
      <c r="F153" s="132">
        <f aca="true" t="shared" si="24" ref="F153:F161">(+D153-E153)/E153</f>
        <v>-0.18187654273434314</v>
      </c>
      <c r="G153" s="215">
        <f aca="true" t="shared" si="25" ref="G153:G161">D153/C153</f>
        <v>0.22092771280671522</v>
      </c>
      <c r="H153" s="123"/>
    </row>
    <row r="154" spans="1:8" ht="15.75">
      <c r="A154" s="130"/>
      <c r="B154" s="131">
        <f>DATE(2021,8,1)</f>
        <v>44409</v>
      </c>
      <c r="C154" s="204">
        <v>465052</v>
      </c>
      <c r="D154" s="204">
        <v>132624</v>
      </c>
      <c r="E154" s="204">
        <v>187855</v>
      </c>
      <c r="F154" s="132">
        <f t="shared" si="24"/>
        <v>-0.2940086769050598</v>
      </c>
      <c r="G154" s="215">
        <f t="shared" si="25"/>
        <v>0.2851810120158606</v>
      </c>
      <c r="H154" s="123"/>
    </row>
    <row r="155" spans="1:8" ht="15.75">
      <c r="A155" s="130"/>
      <c r="B155" s="131">
        <f>DATE(2021,9,1)</f>
        <v>44440</v>
      </c>
      <c r="C155" s="204">
        <v>546162</v>
      </c>
      <c r="D155" s="204">
        <v>116203.5</v>
      </c>
      <c r="E155" s="204">
        <v>175772.5</v>
      </c>
      <c r="F155" s="132">
        <f t="shared" si="24"/>
        <v>-0.338898291826082</v>
      </c>
      <c r="G155" s="215">
        <f t="shared" si="25"/>
        <v>0.21276379535742143</v>
      </c>
      <c r="H155" s="123"/>
    </row>
    <row r="156" spans="1:8" ht="15.75">
      <c r="A156" s="130"/>
      <c r="B156" s="131">
        <f>DATE(2021,10,1)</f>
        <v>44470</v>
      </c>
      <c r="C156" s="204">
        <v>611813</v>
      </c>
      <c r="D156" s="204">
        <v>167500.5</v>
      </c>
      <c r="E156" s="204">
        <v>128393</v>
      </c>
      <c r="F156" s="132">
        <f t="shared" si="24"/>
        <v>0.3045921506624193</v>
      </c>
      <c r="G156" s="215">
        <f t="shared" si="25"/>
        <v>0.2737772816203644</v>
      </c>
      <c r="H156" s="123"/>
    </row>
    <row r="157" spans="1:8" ht="15.75">
      <c r="A157" s="130"/>
      <c r="B157" s="131">
        <f>DATE(2021,11,1)</f>
        <v>44501</v>
      </c>
      <c r="C157" s="204">
        <v>574384</v>
      </c>
      <c r="D157" s="204">
        <v>144385.5</v>
      </c>
      <c r="E157" s="204">
        <v>162751.5</v>
      </c>
      <c r="F157" s="132">
        <f t="shared" si="24"/>
        <v>-0.11284688620381379</v>
      </c>
      <c r="G157" s="215">
        <f t="shared" si="25"/>
        <v>0.2513745160032313</v>
      </c>
      <c r="H157" s="123"/>
    </row>
    <row r="158" spans="1:8" ht="15.75">
      <c r="A158" s="130"/>
      <c r="B158" s="131">
        <f>DATE(2021,12,1)</f>
        <v>44531</v>
      </c>
      <c r="C158" s="204">
        <v>651978</v>
      </c>
      <c r="D158" s="204">
        <v>189046.5</v>
      </c>
      <c r="E158" s="204">
        <v>165476</v>
      </c>
      <c r="F158" s="132">
        <f t="shared" si="24"/>
        <v>0.14244059561507408</v>
      </c>
      <c r="G158" s="215">
        <f t="shared" si="25"/>
        <v>0.2899584035044127</v>
      </c>
      <c r="H158" s="123"/>
    </row>
    <row r="159" spans="1:8" ht="15.75">
      <c r="A159" s="130"/>
      <c r="B159" s="131">
        <f>DATE(2022,1,1)</f>
        <v>44562</v>
      </c>
      <c r="C159" s="204">
        <v>437094</v>
      </c>
      <c r="D159" s="204">
        <v>129604.5</v>
      </c>
      <c r="E159" s="204">
        <v>104168.5</v>
      </c>
      <c r="F159" s="132">
        <f t="shared" si="24"/>
        <v>0.2441813024090776</v>
      </c>
      <c r="G159" s="215">
        <f t="shared" si="25"/>
        <v>0.2965140221554174</v>
      </c>
      <c r="H159" s="123"/>
    </row>
    <row r="160" spans="1:8" ht="15.75">
      <c r="A160" s="130"/>
      <c r="B160" s="131">
        <f>DATE(2022,2,1)</f>
        <v>44593</v>
      </c>
      <c r="C160" s="204">
        <v>532439</v>
      </c>
      <c r="D160" s="204">
        <v>141185</v>
      </c>
      <c r="E160" s="204">
        <v>114089.5</v>
      </c>
      <c r="F160" s="132">
        <f t="shared" si="24"/>
        <v>0.23749337143207744</v>
      </c>
      <c r="G160" s="215">
        <f t="shared" si="25"/>
        <v>0.26516652611848496</v>
      </c>
      <c r="H160" s="123"/>
    </row>
    <row r="161" spans="1:8" ht="15.75">
      <c r="A161" s="130"/>
      <c r="B161" s="131">
        <f>DATE(2022,3,1)</f>
        <v>44621</v>
      </c>
      <c r="C161" s="204">
        <v>702347</v>
      </c>
      <c r="D161" s="204">
        <v>258133.5</v>
      </c>
      <c r="E161" s="204">
        <v>155568.5</v>
      </c>
      <c r="F161" s="132">
        <f t="shared" si="24"/>
        <v>0.6592915660946785</v>
      </c>
      <c r="G161" s="215">
        <f t="shared" si="25"/>
        <v>0.36752986771496143</v>
      </c>
      <c r="H161" s="123"/>
    </row>
    <row r="162" spans="1:8" ht="15.7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Bot="1" thickTop="1">
      <c r="A163" s="135" t="s">
        <v>14</v>
      </c>
      <c r="B163" s="136"/>
      <c r="C163" s="201">
        <f>SUM(C153:C162)</f>
        <v>5098107</v>
      </c>
      <c r="D163" s="207">
        <f>SUM(D153:D162)</f>
        <v>1406122.5</v>
      </c>
      <c r="E163" s="207">
        <f>SUM(E153:E162)</f>
        <v>1349845</v>
      </c>
      <c r="F163" s="143">
        <f>(+D163-E163)/E163</f>
        <v>0.04169182387607466</v>
      </c>
      <c r="G163" s="217">
        <f>D163/C163</f>
        <v>0.2758126692907779</v>
      </c>
      <c r="H163" s="123"/>
    </row>
    <row r="164" spans="1:8" ht="16.5" thickBot="1" thickTop="1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Bot="1" thickTop="1">
      <c r="A165" s="147" t="s">
        <v>38</v>
      </c>
      <c r="B165" s="121"/>
      <c r="C165" s="201">
        <f>C163+C151+C115+C91+C67+C43+C19+C55+C139+C31+C103+C127+C79</f>
        <v>945620672.31</v>
      </c>
      <c r="D165" s="201">
        <f>D163+D151+D115+D91+D67+D43+D19+D55+D139+D31+D103+D127+D79</f>
        <v>197691254.44</v>
      </c>
      <c r="E165" s="201">
        <f>E163+E151+E115+E91+E67+E43+E19+E55+E139+E31+E103+E127+E79</f>
        <v>161445994.4</v>
      </c>
      <c r="F165" s="137">
        <f>(+D165-E165)/E165</f>
        <v>0.2245039288506497</v>
      </c>
      <c r="G165" s="212">
        <f>D165/C165</f>
        <v>0.2090597849950466</v>
      </c>
      <c r="H165" s="123"/>
    </row>
    <row r="166" spans="1:8" ht="17.25" thickBot="1" thickTop="1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Bot="1" thickTop="1">
      <c r="A167" s="265" t="s">
        <v>39</v>
      </c>
      <c r="B167" s="266"/>
      <c r="C167" s="206">
        <f>SUM(C17+C29+C41+C53+C65+C77+C89+C101+C113+C125+C137+C149+C161)</f>
        <v>112938557</v>
      </c>
      <c r="D167" s="206">
        <f>SUM(D17+D29+D41+D53+D65+D77+D89+D101+D113+D125+D137+D149+D161)</f>
        <v>25768497.55</v>
      </c>
      <c r="E167" s="206">
        <f>SUM(E17+E29+E41+E53+E65+E77+E89+E101+E113+E125+E137+E149+E161)</f>
        <v>21557853.09</v>
      </c>
      <c r="F167" s="268">
        <f>(+D167-E167)/E167</f>
        <v>0.19531835765005676</v>
      </c>
      <c r="G167" s="217">
        <f>D167/C167</f>
        <v>0.22816386391407498</v>
      </c>
      <c r="H167" s="123"/>
    </row>
    <row r="168" spans="1:8" ht="16.5" thickTop="1">
      <c r="A168" s="256"/>
      <c r="B168" s="258"/>
      <c r="C168" s="259"/>
      <c r="D168" s="259"/>
      <c r="E168" s="259"/>
      <c r="F168" s="260"/>
      <c r="G168" s="257"/>
      <c r="H168" s="257"/>
    </row>
    <row r="169" spans="1:7" ht="18.75">
      <c r="A169" s="263" t="s">
        <v>40</v>
      </c>
      <c r="B169" s="117"/>
      <c r="C169" s="208"/>
      <c r="D169" s="208"/>
      <c r="E169" s="208"/>
      <c r="F169" s="148"/>
      <c r="G169" s="220"/>
    </row>
    <row r="170" ht="15.75">
      <c r="A170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85" zoomScaleSheetLayoutView="85" workbookViewId="0" topLeftCell="A151">
      <selection activeCell="K99" sqref="K99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8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>
      <c r="A9" s="161"/>
      <c r="B9" s="162"/>
      <c r="C9" s="225"/>
      <c r="D9" s="225"/>
      <c r="E9" s="225"/>
      <c r="F9" s="163"/>
      <c r="G9" s="239"/>
      <c r="H9" s="240"/>
    </row>
    <row r="10" spans="1:8" ht="15.7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>+D14/C14</f>
        <v>0.046645198441424555</v>
      </c>
      <c r="H14" s="289">
        <f>1-G14</f>
        <v>0.9533548015585754</v>
      </c>
    </row>
    <row r="15" spans="1:8" ht="15.7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>+D15/C15</f>
        <v>0.03204154159493143</v>
      </c>
      <c r="H15" s="289">
        <f>1-G15</f>
        <v>0.9679584584050686</v>
      </c>
    </row>
    <row r="16" spans="1:8" ht="15.75">
      <c r="A16" s="164"/>
      <c r="B16" s="165">
        <f>DATE(22,1,1)</f>
        <v>8037</v>
      </c>
      <c r="C16" s="226">
        <v>2639798.91</v>
      </c>
      <c r="D16" s="226">
        <v>119559.87</v>
      </c>
      <c r="E16" s="226">
        <v>0</v>
      </c>
      <c r="F16" s="166">
        <v>1</v>
      </c>
      <c r="G16" s="241">
        <f>+D16/C16</f>
        <v>0.045291279402793594</v>
      </c>
      <c r="H16" s="289">
        <f>1-G16</f>
        <v>0.9547087205972065</v>
      </c>
    </row>
    <row r="17" spans="1:8" ht="15.75">
      <c r="A17" s="164"/>
      <c r="B17" s="165">
        <f>DATE(22,2,1)</f>
        <v>8068</v>
      </c>
      <c r="C17" s="226">
        <v>2750043.44</v>
      </c>
      <c r="D17" s="226">
        <v>134655.35</v>
      </c>
      <c r="E17" s="226">
        <v>0</v>
      </c>
      <c r="F17" s="166">
        <v>1</v>
      </c>
      <c r="G17" s="241">
        <f>+D17/C17</f>
        <v>0.0489648083522637</v>
      </c>
      <c r="H17" s="289">
        <f>1-G17</f>
        <v>0.9510351916477363</v>
      </c>
    </row>
    <row r="18" spans="1:8" ht="15.75">
      <c r="A18" s="164"/>
      <c r="B18" s="165">
        <f>DATE(22,3,1)</f>
        <v>8096</v>
      </c>
      <c r="C18" s="226">
        <v>3052094.59</v>
      </c>
      <c r="D18" s="226">
        <v>138761.57</v>
      </c>
      <c r="E18" s="226">
        <v>0</v>
      </c>
      <c r="F18" s="166">
        <v>1</v>
      </c>
      <c r="G18" s="241">
        <f>+D18/C18</f>
        <v>0.0454643740251838</v>
      </c>
      <c r="H18" s="289">
        <f>1-G18</f>
        <v>0.9545356259748162</v>
      </c>
    </row>
    <row r="19" spans="1:8" ht="15.75" thickBot="1">
      <c r="A19" s="167"/>
      <c r="B19" s="168"/>
      <c r="C19" s="226"/>
      <c r="D19" s="226"/>
      <c r="E19" s="226"/>
      <c r="F19" s="166"/>
      <c r="G19" s="241"/>
      <c r="H19" s="242"/>
    </row>
    <row r="20" spans="1:8" ht="17.25" thickBot="1" thickTop="1">
      <c r="A20" s="169" t="s">
        <v>14</v>
      </c>
      <c r="B20" s="155"/>
      <c r="C20" s="223">
        <f>SUM(C10:C19)</f>
        <v>12352420.87</v>
      </c>
      <c r="D20" s="223">
        <f>SUM(D10:D19)</f>
        <v>534273.4099999999</v>
      </c>
      <c r="E20" s="223">
        <f>SUM(E10:E19)</f>
        <v>0</v>
      </c>
      <c r="F20" s="170">
        <v>1</v>
      </c>
      <c r="G20" s="245">
        <f>+D20/C20</f>
        <v>0.04325252641751996</v>
      </c>
      <c r="H20" s="246">
        <f>1-G20</f>
        <v>0.95674747358248</v>
      </c>
    </row>
    <row r="21" spans="1:8" ht="15.75" thickTop="1">
      <c r="A21" s="171"/>
      <c r="B21" s="172"/>
      <c r="C21" s="227"/>
      <c r="D21" s="227"/>
      <c r="E21" s="227"/>
      <c r="F21" s="173"/>
      <c r="G21" s="243"/>
      <c r="H21" s="244"/>
    </row>
    <row r="22" spans="1:8" ht="15.75">
      <c r="A22" s="19" t="s">
        <v>48</v>
      </c>
      <c r="B22" s="165">
        <f>DATE(21,7,1)</f>
        <v>7853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>
      <c r="A23" s="19"/>
      <c r="B23" s="165">
        <f>DATE(21,8,1)</f>
        <v>7884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>
      <c r="A24" s="19"/>
      <c r="B24" s="165">
        <f>DATE(21,9,1)</f>
        <v>7915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>
      <c r="A25" s="19"/>
      <c r="B25" s="165">
        <f>DATE(21,10,1)</f>
        <v>7945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>
      <c r="A26" s="19"/>
      <c r="B26" s="165">
        <f>DATE(21,11,1)</f>
        <v>7976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>
      <c r="A27" s="19"/>
      <c r="B27" s="165">
        <f>DATE(21,12,1)</f>
        <v>8006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>
      <c r="A28" s="19"/>
      <c r="B28" s="165">
        <f>DATE(22,1,1)</f>
        <v>8037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>
      <c r="A29" s="19"/>
      <c r="B29" s="165">
        <f>DATE(22,2,1)</f>
        <v>8068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>
      <c r="A30" s="19"/>
      <c r="B30" s="165">
        <f>DATE(22,3,1)</f>
        <v>8096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>
      <c r="A31" s="167"/>
      <c r="B31" s="165"/>
      <c r="C31" s="226"/>
      <c r="D31" s="226"/>
      <c r="E31" s="226"/>
      <c r="F31" s="166"/>
      <c r="G31" s="241"/>
      <c r="H31" s="242"/>
    </row>
    <row r="32" spans="1:8" ht="17.25" thickBot="1" thickTop="1">
      <c r="A32" s="169" t="s">
        <v>14</v>
      </c>
      <c r="B32" s="155"/>
      <c r="C32" s="223">
        <f>SUM(C22:C31)</f>
        <v>0</v>
      </c>
      <c r="D32" s="223">
        <f>SUM(D22:D31)</f>
        <v>0</v>
      </c>
      <c r="E32" s="223">
        <f>SUM(E22:E31)</f>
        <v>0</v>
      </c>
      <c r="F32" s="170">
        <v>0</v>
      </c>
      <c r="G32" s="236">
        <v>0</v>
      </c>
      <c r="H32" s="237">
        <v>0</v>
      </c>
    </row>
    <row r="33" spans="1:8" ht="15.75" thickTop="1">
      <c r="A33" s="171"/>
      <c r="B33" s="172"/>
      <c r="C33" s="227"/>
      <c r="D33" s="227"/>
      <c r="E33" s="227"/>
      <c r="F33" s="173"/>
      <c r="G33" s="243"/>
      <c r="H33" s="244"/>
    </row>
    <row r="34" spans="1:8" ht="15.75">
      <c r="A34" s="19" t="s">
        <v>64</v>
      </c>
      <c r="B34" s="165">
        <f>DATE(21,7,1)</f>
        <v>7853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>
      <c r="A35" s="19"/>
      <c r="B35" s="165">
        <f>DATE(21,8,1)</f>
        <v>7884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>
      <c r="A36" s="19"/>
      <c r="B36" s="165">
        <f>DATE(21,9,1)</f>
        <v>7915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>
      <c r="A37" s="19"/>
      <c r="B37" s="165">
        <f>DATE(21,10,1)</f>
        <v>7945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>
      <c r="A38" s="19"/>
      <c r="B38" s="165">
        <f>DATE(21,11,1)</f>
        <v>7976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>
      <c r="A39" s="19"/>
      <c r="B39" s="165">
        <f>DATE(21,12,1)</f>
        <v>8006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>
      <c r="A40" s="19"/>
      <c r="B40" s="165">
        <f>DATE(22,1,1)</f>
        <v>8037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>
      <c r="A41" s="19"/>
      <c r="B41" s="165">
        <f>DATE(22,2,1)</f>
        <v>8068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>
      <c r="A42" s="19"/>
      <c r="B42" s="165">
        <f>DATE(22,3,1)</f>
        <v>8096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>
      <c r="A43" s="167"/>
      <c r="B43" s="165"/>
      <c r="C43" s="226"/>
      <c r="D43" s="226"/>
      <c r="E43" s="226"/>
      <c r="F43" s="166"/>
      <c r="G43" s="241"/>
      <c r="H43" s="242"/>
    </row>
    <row r="44" spans="1:8" ht="17.25" thickBot="1" thickTop="1">
      <c r="A44" s="174" t="s">
        <v>14</v>
      </c>
      <c r="B44" s="175"/>
      <c r="C44" s="228">
        <f>SUM(C34:C43)</f>
        <v>0</v>
      </c>
      <c r="D44" s="228">
        <f>SUM(D34:D43)</f>
        <v>0</v>
      </c>
      <c r="E44" s="228">
        <f>SUM(E34:E43)</f>
        <v>0</v>
      </c>
      <c r="F44" s="176">
        <v>0</v>
      </c>
      <c r="G44" s="245">
        <v>0</v>
      </c>
      <c r="H44" s="246">
        <v>0</v>
      </c>
    </row>
    <row r="45" spans="1:8" ht="15.75" thickTop="1">
      <c r="A45" s="167"/>
      <c r="B45" s="168"/>
      <c r="C45" s="226"/>
      <c r="D45" s="226"/>
      <c r="E45" s="226"/>
      <c r="F45" s="166"/>
      <c r="G45" s="241"/>
      <c r="H45" s="242"/>
    </row>
    <row r="46" spans="1:8" ht="15.75">
      <c r="A46" s="177" t="s">
        <v>59</v>
      </c>
      <c r="B46" s="165">
        <f>DATE(21,7,1)</f>
        <v>7853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>
      <c r="A47" s="177"/>
      <c r="B47" s="165">
        <f>DATE(21,8,1)</f>
        <v>7884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>
      <c r="A48" s="177"/>
      <c r="B48" s="165">
        <f>DATE(21,9,1)</f>
        <v>7915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>
      <c r="A49" s="177"/>
      <c r="B49" s="165">
        <f>DATE(21,10,1)</f>
        <v>7945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>
      <c r="A50" s="177"/>
      <c r="B50" s="165">
        <f>DATE(21,11,1)</f>
        <v>7976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>
      <c r="A51" s="177"/>
      <c r="B51" s="165">
        <f>DATE(21,12,1)</f>
        <v>8006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>
      <c r="A52" s="177"/>
      <c r="B52" s="165">
        <f>DATE(22,1,1)</f>
        <v>8037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>
      <c r="A53" s="177"/>
      <c r="B53" s="165">
        <f>DATE(22,2,1)</f>
        <v>8068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>
      <c r="A54" s="177"/>
      <c r="B54" s="165">
        <f>DATE(22,3,1)</f>
        <v>8096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>
      <c r="A55" s="167"/>
      <c r="B55" s="168"/>
      <c r="C55" s="226"/>
      <c r="D55" s="226"/>
      <c r="E55" s="226"/>
      <c r="F55" s="166"/>
      <c r="G55" s="241"/>
      <c r="H55" s="242"/>
    </row>
    <row r="56" spans="1:8" ht="17.25" thickBot="1" thickTop="1">
      <c r="A56" s="174" t="s">
        <v>14</v>
      </c>
      <c r="B56" s="178"/>
      <c r="C56" s="228">
        <f>SUM(C46:C55)</f>
        <v>0</v>
      </c>
      <c r="D56" s="228">
        <f>SUM(D46:D55)</f>
        <v>0</v>
      </c>
      <c r="E56" s="228">
        <f>SUM(E46:E55)</f>
        <v>0</v>
      </c>
      <c r="F56" s="176">
        <v>0</v>
      </c>
      <c r="G56" s="245">
        <v>0</v>
      </c>
      <c r="H56" s="246">
        <v>0</v>
      </c>
    </row>
    <row r="57" spans="1:8" ht="15.75" thickTop="1">
      <c r="A57" s="167"/>
      <c r="B57" s="168"/>
      <c r="C57" s="226"/>
      <c r="D57" s="226"/>
      <c r="E57" s="226"/>
      <c r="F57" s="166"/>
      <c r="G57" s="241"/>
      <c r="H57" s="242"/>
    </row>
    <row r="58" spans="1:8" ht="15.75">
      <c r="A58" s="164" t="s">
        <v>62</v>
      </c>
      <c r="B58" s="165">
        <f>DATE(21,7,1)</f>
        <v>7853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>
      <c r="A59" s="164"/>
      <c r="B59" s="165">
        <f>DATE(21,8,1)</f>
        <v>7884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>
      <c r="A60" s="164"/>
      <c r="B60" s="165">
        <f>DATE(21,9,1)</f>
        <v>7915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>
      <c r="A61" s="164"/>
      <c r="B61" s="165">
        <f>DATE(21,10,1)</f>
        <v>7945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>
      <c r="A62" s="164"/>
      <c r="B62" s="165">
        <f>DATE(21,11,1)</f>
        <v>7976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>
      <c r="A63" s="164"/>
      <c r="B63" s="165">
        <f>DATE(21,12,1)</f>
        <v>8006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>
      <c r="A64" s="164"/>
      <c r="B64" s="165">
        <f>DATE(22,1,1)</f>
        <v>8037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>
      <c r="A65" s="164"/>
      <c r="B65" s="165">
        <f>DATE(22,2,1)</f>
        <v>8068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>
      <c r="A66" s="164"/>
      <c r="B66" s="165">
        <f>DATE(22,3,1)</f>
        <v>8096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>
      <c r="A67" s="167"/>
      <c r="B67" s="165"/>
      <c r="C67" s="226"/>
      <c r="D67" s="226"/>
      <c r="E67" s="226"/>
      <c r="F67" s="166"/>
      <c r="G67" s="241"/>
      <c r="H67" s="242"/>
    </row>
    <row r="68" spans="1:8" ht="17.25" thickBot="1" thickTop="1">
      <c r="A68" s="174" t="s">
        <v>14</v>
      </c>
      <c r="B68" s="175"/>
      <c r="C68" s="228">
        <f>SUM(C58:C67)</f>
        <v>0</v>
      </c>
      <c r="D68" s="230">
        <f>SUM(D58:D67)</f>
        <v>0</v>
      </c>
      <c r="E68" s="271">
        <f>SUM(E58:E67)</f>
        <v>0</v>
      </c>
      <c r="F68" s="176">
        <v>0</v>
      </c>
      <c r="G68" s="245">
        <v>0</v>
      </c>
      <c r="H68" s="246">
        <v>0</v>
      </c>
    </row>
    <row r="69" spans="1:8" ht="15.75" thickTop="1">
      <c r="A69" s="167"/>
      <c r="B69" s="168"/>
      <c r="C69" s="226"/>
      <c r="D69" s="226"/>
      <c r="E69" s="226"/>
      <c r="F69" s="166"/>
      <c r="G69" s="241"/>
      <c r="H69" s="242"/>
    </row>
    <row r="70" spans="1:8" ht="15.75">
      <c r="A70" s="164" t="s">
        <v>66</v>
      </c>
      <c r="B70" s="165">
        <f>DATE(21,7,1)</f>
        <v>7853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>
      <c r="A71" s="164"/>
      <c r="B71" s="165">
        <f>DATE(21,8,1)</f>
        <v>7884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>
      <c r="A72" s="164"/>
      <c r="B72" s="165">
        <f>DATE(21,9,1)</f>
        <v>7915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>
      <c r="A73" s="164"/>
      <c r="B73" s="165">
        <f>DATE(21,10,1)</f>
        <v>7945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>
      <c r="A74" s="164"/>
      <c r="B74" s="165">
        <f>DATE(21,11,1)</f>
        <v>7976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>
      <c r="A75" s="164"/>
      <c r="B75" s="165">
        <f>DATE(21,12,1)</f>
        <v>8006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>
      <c r="A76" s="164"/>
      <c r="B76" s="165">
        <f>DATE(22,1,1)</f>
        <v>8037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>
      <c r="A77" s="164"/>
      <c r="B77" s="165">
        <f>DATE(22,2,1)</f>
        <v>8068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>
      <c r="A78" s="164"/>
      <c r="B78" s="165">
        <f>DATE(22,3,1)</f>
        <v>8096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>
      <c r="A79" s="167"/>
      <c r="B79" s="165"/>
      <c r="C79" s="226"/>
      <c r="D79" s="226"/>
      <c r="E79" s="226"/>
      <c r="F79" s="166"/>
      <c r="G79" s="241"/>
      <c r="H79" s="242"/>
    </row>
    <row r="80" spans="1:8" ht="17.25" thickBot="1" thickTop="1">
      <c r="A80" s="174" t="s">
        <v>14</v>
      </c>
      <c r="B80" s="175"/>
      <c r="C80" s="228">
        <f>SUM(C70:C79)</f>
        <v>0</v>
      </c>
      <c r="D80" s="230">
        <f>SUM(D70:D79)</f>
        <v>0</v>
      </c>
      <c r="E80" s="271">
        <f>SUM(E70:E79)</f>
        <v>0</v>
      </c>
      <c r="F80" s="176">
        <v>0</v>
      </c>
      <c r="G80" s="245">
        <v>0</v>
      </c>
      <c r="H80" s="246">
        <v>0</v>
      </c>
    </row>
    <row r="81" spans="1:8" ht="15.75" thickTop="1">
      <c r="A81" s="167"/>
      <c r="B81" s="168"/>
      <c r="C81" s="226"/>
      <c r="D81" s="226"/>
      <c r="E81" s="226"/>
      <c r="F81" s="166"/>
      <c r="G81" s="241"/>
      <c r="H81" s="242"/>
    </row>
    <row r="82" spans="1:8" ht="15.75">
      <c r="A82" s="164" t="s">
        <v>70</v>
      </c>
      <c r="B82" s="165">
        <f>DATE(21,7,1)</f>
        <v>7853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>
      <c r="A83" s="164"/>
      <c r="B83" s="165">
        <f>DATE(21,8,1)</f>
        <v>7884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>
      <c r="A84" s="164"/>
      <c r="B84" s="165">
        <f>DATE(21,9,1)</f>
        <v>7915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>
      <c r="A85" s="164"/>
      <c r="B85" s="165">
        <f>DATE(21,10,1)</f>
        <v>7945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>
      <c r="A86" s="164"/>
      <c r="B86" s="165">
        <f>DATE(21,11,1)</f>
        <v>7976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>
      <c r="A87" s="164"/>
      <c r="B87" s="165">
        <f>DATE(21,12,1)</f>
        <v>8006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>
      <c r="A88" s="164"/>
      <c r="B88" s="165">
        <f>DATE(22,1,1)</f>
        <v>8037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>
      <c r="A89" s="164"/>
      <c r="B89" s="165">
        <f>DATE(22,2,1)</f>
        <v>8068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>
      <c r="A90" s="164"/>
      <c r="B90" s="165">
        <f>DATE(22,3,1)</f>
        <v>8096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>
      <c r="A91" s="167"/>
      <c r="B91" s="165"/>
      <c r="C91" s="226"/>
      <c r="D91" s="226"/>
      <c r="E91" s="226"/>
      <c r="F91" s="166"/>
      <c r="G91" s="241"/>
      <c r="H91" s="242"/>
    </row>
    <row r="92" spans="1:8" ht="17.25" thickBot="1" thickTop="1">
      <c r="A92" s="174" t="s">
        <v>14</v>
      </c>
      <c r="B92" s="175"/>
      <c r="C92" s="228">
        <f>SUM(C82:C91)</f>
        <v>0</v>
      </c>
      <c r="D92" s="230">
        <f>SUM(D82:D91)</f>
        <v>0</v>
      </c>
      <c r="E92" s="271">
        <f>SUM(E82:E91)</f>
        <v>0</v>
      </c>
      <c r="F92" s="176">
        <v>0</v>
      </c>
      <c r="G92" s="245">
        <v>0</v>
      </c>
      <c r="H92" s="246">
        <v>0</v>
      </c>
    </row>
    <row r="93" spans="1:8" ht="15.75" thickTop="1">
      <c r="A93" s="167"/>
      <c r="B93" s="168"/>
      <c r="C93" s="226"/>
      <c r="D93" s="226"/>
      <c r="E93" s="226"/>
      <c r="F93" s="166"/>
      <c r="G93" s="241"/>
      <c r="H93" s="242"/>
    </row>
    <row r="94" spans="1:8" ht="15.75">
      <c r="A94" s="164" t="s">
        <v>60</v>
      </c>
      <c r="B94" s="165">
        <f>DATE(21,7,1)</f>
        <v>7853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>
      <c r="A95" s="164"/>
      <c r="B95" s="165">
        <f>DATE(21,8,1)</f>
        <v>7884</v>
      </c>
      <c r="C95" s="226">
        <v>0</v>
      </c>
      <c r="D95" s="226">
        <v>0</v>
      </c>
      <c r="E95" s="226">
        <v>118455</v>
      </c>
      <c r="F95" s="166">
        <v>-1</v>
      </c>
      <c r="G95" s="241">
        <v>0</v>
      </c>
      <c r="H95" s="242">
        <v>0</v>
      </c>
    </row>
    <row r="96" spans="1:8" ht="15.75">
      <c r="A96" s="164"/>
      <c r="B96" s="165">
        <f>DATE(21,9,1)</f>
        <v>7915</v>
      </c>
      <c r="C96" s="226">
        <v>0</v>
      </c>
      <c r="D96" s="226">
        <v>0</v>
      </c>
      <c r="E96" s="226">
        <v>106241</v>
      </c>
      <c r="F96" s="166">
        <v>-1</v>
      </c>
      <c r="G96" s="241">
        <v>0</v>
      </c>
      <c r="H96" s="242">
        <v>0</v>
      </c>
    </row>
    <row r="97" spans="1:8" ht="15.75">
      <c r="A97" s="164"/>
      <c r="B97" s="165">
        <f>DATE(21,10,1)</f>
        <v>7945</v>
      </c>
      <c r="C97" s="226">
        <v>0</v>
      </c>
      <c r="D97" s="226">
        <v>0</v>
      </c>
      <c r="E97" s="226">
        <v>82618</v>
      </c>
      <c r="F97" s="166">
        <v>-1</v>
      </c>
      <c r="G97" s="241">
        <v>0</v>
      </c>
      <c r="H97" s="242">
        <v>0</v>
      </c>
    </row>
    <row r="98" spans="1:8" ht="15.75">
      <c r="A98" s="164"/>
      <c r="B98" s="165">
        <f>DATE(21,11,1)</f>
        <v>7976</v>
      </c>
      <c r="C98" s="226">
        <v>0</v>
      </c>
      <c r="D98" s="226">
        <v>0</v>
      </c>
      <c r="E98" s="226">
        <v>81702.08</v>
      </c>
      <c r="F98" s="166">
        <v>-1</v>
      </c>
      <c r="G98" s="241">
        <v>0</v>
      </c>
      <c r="H98" s="242">
        <v>0</v>
      </c>
    </row>
    <row r="99" spans="1:8" ht="15.75">
      <c r="A99" s="164"/>
      <c r="B99" s="165">
        <f>DATE(21,12,1)</f>
        <v>8006</v>
      </c>
      <c r="C99" s="226">
        <v>0</v>
      </c>
      <c r="D99" s="226">
        <v>0</v>
      </c>
      <c r="E99" s="226">
        <v>84775</v>
      </c>
      <c r="F99" s="166">
        <v>-1</v>
      </c>
      <c r="G99" s="241">
        <v>0</v>
      </c>
      <c r="H99" s="242">
        <v>0</v>
      </c>
    </row>
    <row r="100" spans="1:8" ht="15.75">
      <c r="A100" s="164"/>
      <c r="B100" s="165">
        <f>DATE(22,1,1)</f>
        <v>8037</v>
      </c>
      <c r="C100" s="226">
        <v>0</v>
      </c>
      <c r="D100" s="226">
        <v>0</v>
      </c>
      <c r="E100" s="226">
        <v>127657</v>
      </c>
      <c r="F100" s="166">
        <v>-1</v>
      </c>
      <c r="G100" s="241">
        <v>0</v>
      </c>
      <c r="H100" s="242">
        <v>0</v>
      </c>
    </row>
    <row r="101" spans="1:8" ht="15.75">
      <c r="A101" s="164"/>
      <c r="B101" s="165">
        <f>DATE(22,2,1)</f>
        <v>8068</v>
      </c>
      <c r="C101" s="226">
        <v>0</v>
      </c>
      <c r="D101" s="226">
        <v>0</v>
      </c>
      <c r="E101" s="226">
        <v>94650</v>
      </c>
      <c r="F101" s="166">
        <v>-1</v>
      </c>
      <c r="G101" s="241">
        <v>0</v>
      </c>
      <c r="H101" s="242">
        <v>0</v>
      </c>
    </row>
    <row r="102" spans="1:8" ht="15.75">
      <c r="A102" s="164"/>
      <c r="B102" s="165">
        <f>DATE(22,3,1)</f>
        <v>8096</v>
      </c>
      <c r="C102" s="226">
        <v>0</v>
      </c>
      <c r="D102" s="226">
        <v>0</v>
      </c>
      <c r="E102" s="226">
        <v>5436.5</v>
      </c>
      <c r="F102" s="166">
        <v>-1</v>
      </c>
      <c r="G102" s="241">
        <v>0</v>
      </c>
      <c r="H102" s="242">
        <v>0</v>
      </c>
    </row>
    <row r="103" spans="1:8" ht="15.75" thickBot="1">
      <c r="A103" s="167"/>
      <c r="B103" s="165"/>
      <c r="C103" s="226"/>
      <c r="D103" s="226"/>
      <c r="E103" s="226"/>
      <c r="F103" s="166"/>
      <c r="G103" s="241"/>
      <c r="H103" s="242"/>
    </row>
    <row r="104" spans="1:8" ht="17.25" thickBot="1" thickTop="1">
      <c r="A104" s="174" t="s">
        <v>14</v>
      </c>
      <c r="B104" s="175"/>
      <c r="C104" s="228">
        <f>SUM(C94:C103)</f>
        <v>0</v>
      </c>
      <c r="D104" s="230">
        <f>SUM(D94:D103)</f>
        <v>0</v>
      </c>
      <c r="E104" s="271">
        <f>SUM(E94:E103)</f>
        <v>701534.5800000001</v>
      </c>
      <c r="F104" s="176">
        <f>+(D104-E104)/E104</f>
        <v>-1</v>
      </c>
      <c r="G104" s="249">
        <v>0</v>
      </c>
      <c r="H104" s="270">
        <v>0</v>
      </c>
    </row>
    <row r="105" spans="1:8" ht="15.75" thickTop="1">
      <c r="A105" s="167"/>
      <c r="B105" s="179"/>
      <c r="C105" s="229"/>
      <c r="D105" s="229"/>
      <c r="E105" s="229"/>
      <c r="F105" s="180"/>
      <c r="G105" s="247"/>
      <c r="H105" s="248"/>
    </row>
    <row r="106" spans="1:8" ht="15.75">
      <c r="A106" s="164" t="s">
        <v>16</v>
      </c>
      <c r="B106" s="165">
        <f>DATE(21,7,1)</f>
        <v>7853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>
      <c r="A107" s="164"/>
      <c r="B107" s="165">
        <f>DATE(21,8,1)</f>
        <v>7884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>
      <c r="A108" s="164"/>
      <c r="B108" s="165">
        <f>DATE(21,9,1)</f>
        <v>7915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>
      <c r="A109" s="164"/>
      <c r="B109" s="165">
        <f>DATE(21,10,1)</f>
        <v>7945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>
      <c r="A110" s="164"/>
      <c r="B110" s="165">
        <f>DATE(21,11,1)</f>
        <v>7976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>
      <c r="A111" s="164"/>
      <c r="B111" s="165">
        <f>DATE(21,12,1)</f>
        <v>8006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>
      <c r="A112" s="164"/>
      <c r="B112" s="165">
        <f>DATE(22,1,1)</f>
        <v>8037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>
      <c r="A113" s="164"/>
      <c r="B113" s="165">
        <f>DATE(22,2,1)</f>
        <v>8068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>
      <c r="A114" s="164"/>
      <c r="B114" s="165">
        <f>DATE(22,3,1)</f>
        <v>8096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6.5" thickBot="1">
      <c r="A115" s="164"/>
      <c r="B115" s="165"/>
      <c r="C115" s="226"/>
      <c r="D115" s="226"/>
      <c r="E115" s="226"/>
      <c r="F115" s="166"/>
      <c r="G115" s="241"/>
      <c r="H115" s="242"/>
    </row>
    <row r="116" spans="1:8" ht="17.25" thickBot="1" thickTop="1">
      <c r="A116" s="174" t="s">
        <v>14</v>
      </c>
      <c r="B116" s="181"/>
      <c r="C116" s="228">
        <f>SUM(C106:C115)</f>
        <v>0</v>
      </c>
      <c r="D116" s="228">
        <f>SUM(D106:D115)</f>
        <v>0</v>
      </c>
      <c r="E116" s="228">
        <f>SUM(E106:E115)</f>
        <v>0</v>
      </c>
      <c r="F116" s="176">
        <v>0</v>
      </c>
      <c r="G116" s="245">
        <v>0</v>
      </c>
      <c r="H116" s="246">
        <v>0</v>
      </c>
    </row>
    <row r="117" spans="1:8" ht="15.75" thickTop="1">
      <c r="A117" s="171"/>
      <c r="B117" s="172"/>
      <c r="C117" s="227"/>
      <c r="D117" s="227"/>
      <c r="E117" s="227"/>
      <c r="F117" s="173"/>
      <c r="G117" s="243"/>
      <c r="H117" s="244"/>
    </row>
    <row r="118" spans="1:8" ht="15.75">
      <c r="A118" s="164" t="s">
        <v>54</v>
      </c>
      <c r="B118" s="165">
        <f>DATE(21,7,1)</f>
        <v>7853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>
      <c r="A119" s="164"/>
      <c r="B119" s="165">
        <f>DATE(21,8,1)</f>
        <v>7884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>
      <c r="A120" s="164"/>
      <c r="B120" s="165">
        <f>DATE(21,9,1)</f>
        <v>7915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>
      <c r="A121" s="164"/>
      <c r="B121" s="165">
        <f>DATE(21,10,1)</f>
        <v>7945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>
      <c r="A122" s="164"/>
      <c r="B122" s="165">
        <f>DATE(21,11,1)</f>
        <v>7976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>
      <c r="A123" s="164"/>
      <c r="B123" s="165">
        <f>DATE(21,12,1)</f>
        <v>8006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>
      <c r="A124" s="164"/>
      <c r="B124" s="165">
        <f>DATE(22,1,1)</f>
        <v>8037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>
      <c r="A125" s="164"/>
      <c r="B125" s="165">
        <f>DATE(22,2,1)</f>
        <v>8068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>
      <c r="A126" s="164"/>
      <c r="B126" s="165">
        <f>DATE(22,3,1)</f>
        <v>8096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thickBot="1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Bot="1" thickTop="1">
      <c r="A128" s="174" t="s">
        <v>14</v>
      </c>
      <c r="B128" s="175"/>
      <c r="C128" s="228">
        <f>SUM(C118:C127)</f>
        <v>0</v>
      </c>
      <c r="D128" s="228">
        <f>SUM(D118:D127)</f>
        <v>0</v>
      </c>
      <c r="E128" s="228">
        <f>SUM(E118:E127)</f>
        <v>0</v>
      </c>
      <c r="F128" s="176">
        <v>0</v>
      </c>
      <c r="G128" s="245">
        <v>0</v>
      </c>
      <c r="H128" s="246">
        <v>0</v>
      </c>
    </row>
    <row r="129" spans="1:8" ht="15.75" thickTop="1">
      <c r="A129" s="167"/>
      <c r="B129" s="168"/>
      <c r="C129" s="226"/>
      <c r="D129" s="226"/>
      <c r="E129" s="226"/>
      <c r="F129" s="166"/>
      <c r="G129" s="241"/>
      <c r="H129" s="242"/>
    </row>
    <row r="130" spans="1:8" ht="15.75">
      <c r="A130" s="164" t="s">
        <v>55</v>
      </c>
      <c r="B130" s="165">
        <f>DATE(21,7,1)</f>
        <v>7853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>
      <c r="A131" s="164"/>
      <c r="B131" s="165">
        <f>DATE(21,8,1)</f>
        <v>7884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>
      <c r="A132" s="164"/>
      <c r="B132" s="165">
        <f>DATE(21,9,1)</f>
        <v>7915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>
      <c r="A133" s="164"/>
      <c r="B133" s="165">
        <f>DATE(21,10,1)</f>
        <v>7945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>
      <c r="A134" s="164"/>
      <c r="B134" s="165">
        <f>DATE(21,11,1)</f>
        <v>7976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>
      <c r="A135" s="164"/>
      <c r="B135" s="165">
        <f>DATE(21,12,1)</f>
        <v>8006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>
      <c r="A136" s="164"/>
      <c r="B136" s="165">
        <f>DATE(22,1,1)</f>
        <v>8037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>
      <c r="A137" s="164"/>
      <c r="B137" s="165">
        <f>DATE(22,2,1)</f>
        <v>8068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>
      <c r="A138" s="164"/>
      <c r="B138" s="165">
        <f>DATE(22,3,1)</f>
        <v>8096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thickBot="1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Bot="1" thickTop="1">
      <c r="A140" s="182" t="s">
        <v>14</v>
      </c>
      <c r="B140" s="183"/>
      <c r="C140" s="230">
        <f>SUM(C130:C139)</f>
        <v>0</v>
      </c>
      <c r="D140" s="230">
        <f>SUM(D130:D139)</f>
        <v>0</v>
      </c>
      <c r="E140" s="230">
        <f>SUM(E130:E139)</f>
        <v>0</v>
      </c>
      <c r="F140" s="176">
        <v>0</v>
      </c>
      <c r="G140" s="245">
        <v>0</v>
      </c>
      <c r="H140" s="246">
        <v>0</v>
      </c>
    </row>
    <row r="141" spans="1:8" ht="15.75" thickTop="1">
      <c r="A141" s="167"/>
      <c r="B141" s="168"/>
      <c r="C141" s="226"/>
      <c r="D141" s="226"/>
      <c r="E141" s="226"/>
      <c r="F141" s="166"/>
      <c r="G141" s="241"/>
      <c r="H141" s="242"/>
    </row>
    <row r="142" spans="1:8" ht="15.75">
      <c r="A142" s="164" t="s">
        <v>37</v>
      </c>
      <c r="B142" s="165">
        <f>DATE(21,7,1)</f>
        <v>7853</v>
      </c>
      <c r="C142" s="226">
        <v>4521310.28</v>
      </c>
      <c r="D142" s="226">
        <v>209181.95</v>
      </c>
      <c r="E142" s="226">
        <v>0</v>
      </c>
      <c r="F142" s="166">
        <v>1</v>
      </c>
      <c r="G142" s="241">
        <f aca="true" t="shared" si="0" ref="G142:G150">+D142/C142</f>
        <v>0.04626578072407807</v>
      </c>
      <c r="H142" s="289">
        <f aca="true" t="shared" si="1" ref="H142:H150">1-G142</f>
        <v>0.953734219275922</v>
      </c>
    </row>
    <row r="143" spans="1:8" ht="15.75">
      <c r="A143" s="164"/>
      <c r="B143" s="165">
        <f>DATE(21,8,1)</f>
        <v>7884</v>
      </c>
      <c r="C143" s="226">
        <v>3704866.99</v>
      </c>
      <c r="D143" s="226">
        <v>126701.54</v>
      </c>
      <c r="E143" s="226">
        <v>0</v>
      </c>
      <c r="F143" s="166">
        <v>1</v>
      </c>
      <c r="G143" s="241">
        <f t="shared" si="0"/>
        <v>0.034198674430684486</v>
      </c>
      <c r="H143" s="289">
        <f t="shared" si="1"/>
        <v>0.9658013255693155</v>
      </c>
    </row>
    <row r="144" spans="1:8" ht="15.75">
      <c r="A144" s="164"/>
      <c r="B144" s="165">
        <f>DATE(21,9,1)</f>
        <v>7915</v>
      </c>
      <c r="C144" s="226">
        <v>3225792.95</v>
      </c>
      <c r="D144" s="226">
        <v>145306.89</v>
      </c>
      <c r="E144" s="226">
        <v>0</v>
      </c>
      <c r="F144" s="166">
        <v>1</v>
      </c>
      <c r="G144" s="241">
        <f t="shared" si="0"/>
        <v>0.045045324437205436</v>
      </c>
      <c r="H144" s="289">
        <f t="shared" si="1"/>
        <v>0.9549546755627946</v>
      </c>
    </row>
    <row r="145" spans="1:8" ht="15.75">
      <c r="A145" s="164"/>
      <c r="B145" s="165">
        <f>DATE(21,10,1)</f>
        <v>7945</v>
      </c>
      <c r="C145" s="226">
        <v>4369745.44</v>
      </c>
      <c r="D145" s="226">
        <v>179665.17</v>
      </c>
      <c r="E145" s="226">
        <v>0</v>
      </c>
      <c r="F145" s="166">
        <v>1</v>
      </c>
      <c r="G145" s="241">
        <f t="shared" si="0"/>
        <v>0.04111570627326978</v>
      </c>
      <c r="H145" s="289">
        <f t="shared" si="1"/>
        <v>0.9588842937267302</v>
      </c>
    </row>
    <row r="146" spans="1:8" ht="15.75">
      <c r="A146" s="164"/>
      <c r="B146" s="165">
        <f>DATE(21,11,1)</f>
        <v>7976</v>
      </c>
      <c r="C146" s="226">
        <v>5826637.73</v>
      </c>
      <c r="D146" s="226">
        <v>200635.43</v>
      </c>
      <c r="E146" s="226">
        <v>0</v>
      </c>
      <c r="F146" s="166">
        <v>1</v>
      </c>
      <c r="G146" s="241">
        <f t="shared" si="0"/>
        <v>0.03443416929234761</v>
      </c>
      <c r="H146" s="289">
        <f t="shared" si="1"/>
        <v>0.9655658307076523</v>
      </c>
    </row>
    <row r="147" spans="1:8" ht="15.75">
      <c r="A147" s="164"/>
      <c r="B147" s="165">
        <f>DATE(21,12,1)</f>
        <v>8006</v>
      </c>
      <c r="C147" s="226">
        <v>6300712.05</v>
      </c>
      <c r="D147" s="226">
        <v>258639.24</v>
      </c>
      <c r="E147" s="226">
        <v>0</v>
      </c>
      <c r="F147" s="166">
        <v>1</v>
      </c>
      <c r="G147" s="241">
        <f t="shared" si="0"/>
        <v>0.04104920808117235</v>
      </c>
      <c r="H147" s="289">
        <f t="shared" si="1"/>
        <v>0.9589507919188276</v>
      </c>
    </row>
    <row r="148" spans="1:8" ht="15.75">
      <c r="A148" s="164"/>
      <c r="B148" s="165">
        <f>DATE(22,1,1)</f>
        <v>8037</v>
      </c>
      <c r="C148" s="226">
        <v>6265473.48</v>
      </c>
      <c r="D148" s="226">
        <v>255321.86</v>
      </c>
      <c r="E148" s="226">
        <v>13801.5</v>
      </c>
      <c r="F148" s="166">
        <f>+(D148-E148)/E148</f>
        <v>17.499573234793317</v>
      </c>
      <c r="G148" s="241">
        <f t="shared" si="0"/>
        <v>0.04075060900265753</v>
      </c>
      <c r="H148" s="289">
        <f t="shared" si="1"/>
        <v>0.9592493909973425</v>
      </c>
    </row>
    <row r="149" spans="1:8" ht="15.75">
      <c r="A149" s="164"/>
      <c r="B149" s="165">
        <f>DATE(22,2,1)</f>
        <v>8068</v>
      </c>
      <c r="C149" s="226">
        <v>5041575</v>
      </c>
      <c r="D149" s="226">
        <v>283659.46</v>
      </c>
      <c r="E149" s="226">
        <v>31538.07</v>
      </c>
      <c r="F149" s="166">
        <f>+(D149-E149)/E149</f>
        <v>7.994192098628737</v>
      </c>
      <c r="G149" s="241">
        <f t="shared" si="0"/>
        <v>0.05626405637127287</v>
      </c>
      <c r="H149" s="289">
        <f t="shared" si="1"/>
        <v>0.9437359436287271</v>
      </c>
    </row>
    <row r="150" spans="1:8" ht="15.75">
      <c r="A150" s="164"/>
      <c r="B150" s="165">
        <f>DATE(22,3,1)</f>
        <v>8096</v>
      </c>
      <c r="C150" s="226">
        <v>5160278.99</v>
      </c>
      <c r="D150" s="226">
        <v>172733.04</v>
      </c>
      <c r="E150" s="226">
        <v>34334.9</v>
      </c>
      <c r="F150" s="166">
        <f>+(D150-E150)/E150</f>
        <v>4.030829855336698</v>
      </c>
      <c r="G150" s="241">
        <f t="shared" si="0"/>
        <v>0.03347358550472481</v>
      </c>
      <c r="H150" s="289">
        <f t="shared" si="1"/>
        <v>0.9665264144952752</v>
      </c>
    </row>
    <row r="151" spans="1:8" ht="15.75" thickBot="1">
      <c r="A151" s="167"/>
      <c r="B151" s="168"/>
      <c r="C151" s="226"/>
      <c r="D151" s="226"/>
      <c r="E151" s="226"/>
      <c r="F151" s="166"/>
      <c r="G151" s="241"/>
      <c r="H151" s="242"/>
    </row>
    <row r="152" spans="1:8" ht="17.25" thickBot="1" thickTop="1">
      <c r="A152" s="174" t="s">
        <v>14</v>
      </c>
      <c r="B152" s="175"/>
      <c r="C152" s="228">
        <f>SUM(C142:C151)</f>
        <v>44416392.910000004</v>
      </c>
      <c r="D152" s="228">
        <f>SUM(D142:D151)</f>
        <v>1831844.58</v>
      </c>
      <c r="E152" s="228">
        <f>SUM(E142:E151)</f>
        <v>79674.47</v>
      </c>
      <c r="F152" s="176">
        <v>1</v>
      </c>
      <c r="G152" s="245">
        <f>+D152/C152</f>
        <v>0.041242533667959665</v>
      </c>
      <c r="H152" s="246">
        <f>1-G152</f>
        <v>0.9587574663320403</v>
      </c>
    </row>
    <row r="153" spans="1:8" ht="15.75" thickTop="1">
      <c r="A153" s="167"/>
      <c r="B153" s="168"/>
      <c r="C153" s="226"/>
      <c r="D153" s="226"/>
      <c r="E153" s="226"/>
      <c r="F153" s="166"/>
      <c r="G153" s="241"/>
      <c r="H153" s="242"/>
    </row>
    <row r="154" spans="1:8" ht="15.75">
      <c r="A154" s="164" t="s">
        <v>58</v>
      </c>
      <c r="B154" s="165">
        <f>DATE(21,7,1)</f>
        <v>7853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>
      <c r="A155" s="164"/>
      <c r="B155" s="165">
        <f>DATE(21,8,1)</f>
        <v>7884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>
      <c r="A156" s="164"/>
      <c r="B156" s="165">
        <f>DATE(21,9,1)</f>
        <v>7915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>
      <c r="A157" s="164"/>
      <c r="B157" s="165">
        <f>DATE(21,10,1)</f>
        <v>7945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>
      <c r="A158" s="164"/>
      <c r="B158" s="165">
        <f>DATE(21,11,1)</f>
        <v>7976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>
      <c r="A159" s="164"/>
      <c r="B159" s="165">
        <f>DATE(21,12,1)</f>
        <v>8006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>
      <c r="A160" s="164"/>
      <c r="B160" s="165">
        <f>DATE(22,1,1)</f>
        <v>8037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>
      <c r="A161" s="164"/>
      <c r="B161" s="165">
        <f>DATE(22,2,1)</f>
        <v>8068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.75">
      <c r="A162" s="164"/>
      <c r="B162" s="165">
        <f>DATE(22,3,1)</f>
        <v>8096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.75" thickBot="1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Bot="1" thickTop="1">
      <c r="A164" s="169" t="s">
        <v>14</v>
      </c>
      <c r="B164" s="155"/>
      <c r="C164" s="223">
        <f>SUM(C154:C163)</f>
        <v>0</v>
      </c>
      <c r="D164" s="223">
        <f>SUM(D154:D163)</f>
        <v>0</v>
      </c>
      <c r="E164" s="223">
        <f>SUM(E154:E163)</f>
        <v>0</v>
      </c>
      <c r="F164" s="176">
        <v>0</v>
      </c>
      <c r="G164" s="245">
        <v>0</v>
      </c>
      <c r="H164" s="246">
        <v>0</v>
      </c>
    </row>
    <row r="165" spans="1:8" ht="16.5" thickBot="1" thickTop="1">
      <c r="A165" s="171"/>
      <c r="B165" s="172"/>
      <c r="C165" s="227"/>
      <c r="D165" s="227"/>
      <c r="E165" s="227"/>
      <c r="F165" s="173"/>
      <c r="G165" s="243"/>
      <c r="H165" s="244"/>
    </row>
    <row r="166" spans="1:8" ht="17.25" thickBot="1" thickTop="1">
      <c r="A166" s="184" t="s">
        <v>38</v>
      </c>
      <c r="B166" s="155"/>
      <c r="C166" s="223">
        <f>C164+C152+C116+C92+C68+C44+C20+C56+C140+C32+C104+C128+C80</f>
        <v>56768813.78</v>
      </c>
      <c r="D166" s="223">
        <f>D164+D152+D116+D92+D68+D44+D20+D56+D140+D32+D104+D128+D80</f>
        <v>2366117.99</v>
      </c>
      <c r="E166" s="223">
        <f>E164+E152+E116+E92+E68+E44+E20+E56+E140+E32+E104+E128+E80</f>
        <v>781209.05</v>
      </c>
      <c r="F166" s="176">
        <f>+(D166-E166)/E166</f>
        <v>2.028789784245331</v>
      </c>
      <c r="G166" s="236">
        <f>D166/C166</f>
        <v>0.04167989134262302</v>
      </c>
      <c r="H166" s="237">
        <f>1-G166</f>
        <v>0.9583201086573769</v>
      </c>
    </row>
    <row r="167" spans="1:8" ht="17.25" thickBot="1" thickTop="1">
      <c r="A167" s="184"/>
      <c r="B167" s="155"/>
      <c r="C167" s="223"/>
      <c r="D167" s="223"/>
      <c r="E167" s="223"/>
      <c r="F167" s="170"/>
      <c r="G167" s="236"/>
      <c r="H167" s="237"/>
    </row>
    <row r="168" spans="1:8" ht="17.25" thickBot="1" thickTop="1">
      <c r="A168" s="184" t="s">
        <v>39</v>
      </c>
      <c r="B168" s="155"/>
      <c r="C168" s="223">
        <f>SUM(C18+C30+C42+C54+C66+C78+C90+C102+C114+C126+C138+C150+C162)</f>
        <v>8212373.58</v>
      </c>
      <c r="D168" s="223">
        <f>SUM(D18+D30+D42+D54+D66+D78+D90+D102+D114+D126+D138+D150+D162)</f>
        <v>311494.61</v>
      </c>
      <c r="E168" s="223">
        <f>SUM(E18+E30+E42+E54+E66+E78+E90+E102+E114+E126+E138+E150+E162)</f>
        <v>39771.4</v>
      </c>
      <c r="F168" s="176">
        <f>+(D168-E168)/E168</f>
        <v>6.832125849228339</v>
      </c>
      <c r="G168" s="236">
        <f>D168/C168</f>
        <v>0.037929912340885004</v>
      </c>
      <c r="H168" s="246">
        <f>1-G168</f>
        <v>0.962070087659115</v>
      </c>
    </row>
    <row r="169" spans="1:8" ht="16.5" thickTop="1">
      <c r="A169" s="185"/>
      <c r="B169" s="186"/>
      <c r="C169" s="231"/>
      <c r="D169" s="231"/>
      <c r="E169" s="231"/>
      <c r="F169" s="187"/>
      <c r="G169" s="250"/>
      <c r="H169" s="250"/>
    </row>
    <row r="170" spans="1:8" ht="18.75">
      <c r="A170" s="188" t="s">
        <v>49</v>
      </c>
      <c r="B170" s="189"/>
      <c r="C170" s="232"/>
      <c r="D170" s="232"/>
      <c r="E170" s="232"/>
      <c r="F170" s="190"/>
      <c r="G170" s="251"/>
      <c r="H170" s="251"/>
    </row>
    <row r="171" spans="1:8" ht="15.75">
      <c r="A171" s="191"/>
      <c r="B171" s="189"/>
      <c r="C171" s="232"/>
      <c r="D171" s="232"/>
      <c r="E171" s="232"/>
      <c r="F171" s="190"/>
      <c r="G171" s="257"/>
      <c r="H171" s="257"/>
    </row>
  </sheetData>
  <sheetProtection/>
  <printOptions horizontalCentered="1"/>
  <pageMargins left="0.7" right="0.45" top="0.25" bottom="0.25" header="0.3" footer="0.3"/>
  <pageSetup horizontalDpi="600" verticalDpi="600" orientation="landscape" scale="62" r:id="rId1"/>
  <rowBreaks count="3" manualBreakCount="3">
    <brk id="56" max="255" man="1"/>
    <brk id="104" max="255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72"/>
  <sheetViews>
    <sheetView tabSelected="1" showOutlineSymbols="0" view="pageBreakPreview" zoomScale="60" zoomScalePageLayoutView="0" workbookViewId="0" topLeftCell="A121">
      <selection activeCell="H57" sqref="H57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36</v>
      </c>
      <c r="B10" s="165">
        <f>DATE(21,7,1)</f>
        <v>7853</v>
      </c>
      <c r="C10" s="226">
        <v>137710679.78</v>
      </c>
      <c r="D10" s="226">
        <v>13537622.55</v>
      </c>
      <c r="E10" s="226">
        <v>11655862.98</v>
      </c>
      <c r="F10" s="166">
        <f aca="true" t="shared" si="0" ref="F10:F18">(+D10-E10)/E10</f>
        <v>0.16144317870147099</v>
      </c>
      <c r="G10" s="241">
        <f aca="true" t="shared" si="1" ref="G10:G18">D10/C10</f>
        <v>0.09830481246354357</v>
      </c>
      <c r="H10" s="242">
        <f aca="true" t="shared" si="2" ref="H10:H18">1-G10</f>
        <v>0.9016951875364564</v>
      </c>
      <c r="I10" s="157"/>
    </row>
    <row r="11" spans="1:9" ht="15.75">
      <c r="A11" s="164"/>
      <c r="B11" s="165">
        <f>DATE(21,8,1)</f>
        <v>7884</v>
      </c>
      <c r="C11" s="226">
        <v>128391630.95</v>
      </c>
      <c r="D11" s="226">
        <v>12571995.62</v>
      </c>
      <c r="E11" s="226">
        <v>11056944.54</v>
      </c>
      <c r="F11" s="166">
        <f t="shared" si="0"/>
        <v>0.1370225811044902</v>
      </c>
      <c r="G11" s="241">
        <f t="shared" si="1"/>
        <v>0.09791912079453181</v>
      </c>
      <c r="H11" s="242">
        <f t="shared" si="2"/>
        <v>0.9020808792054682</v>
      </c>
      <c r="I11" s="157"/>
    </row>
    <row r="12" spans="1:9" ht="15.75">
      <c r="A12" s="164"/>
      <c r="B12" s="165">
        <f>DATE(21,9,1)</f>
        <v>7915</v>
      </c>
      <c r="C12" s="226">
        <v>124375181.01</v>
      </c>
      <c r="D12" s="226">
        <v>11932276.22</v>
      </c>
      <c r="E12" s="226">
        <v>11050997.59</v>
      </c>
      <c r="F12" s="166">
        <f t="shared" si="0"/>
        <v>0.07974652268474532</v>
      </c>
      <c r="G12" s="241">
        <f t="shared" si="1"/>
        <v>0.0959377596326121</v>
      </c>
      <c r="H12" s="242">
        <f t="shared" si="2"/>
        <v>0.9040622403673879</v>
      </c>
      <c r="I12" s="157"/>
    </row>
    <row r="13" spans="1:9" ht="15.75">
      <c r="A13" s="164"/>
      <c r="B13" s="165">
        <f>DATE(21,10,1)</f>
        <v>7945</v>
      </c>
      <c r="C13" s="226">
        <v>130707452.04</v>
      </c>
      <c r="D13" s="226">
        <v>12592302.91</v>
      </c>
      <c r="E13" s="226">
        <v>11431719.14</v>
      </c>
      <c r="F13" s="166">
        <f t="shared" si="0"/>
        <v>0.10152311789563433</v>
      </c>
      <c r="G13" s="241">
        <f t="shared" si="1"/>
        <v>0.09633959436487535</v>
      </c>
      <c r="H13" s="242">
        <f t="shared" si="2"/>
        <v>0.9036604056351246</v>
      </c>
      <c r="I13" s="157"/>
    </row>
    <row r="14" spans="1:9" ht="15.75">
      <c r="A14" s="164"/>
      <c r="B14" s="165">
        <f>DATE(21,11,1)</f>
        <v>7976</v>
      </c>
      <c r="C14" s="226">
        <v>116416163.67</v>
      </c>
      <c r="D14" s="226">
        <v>11228260.11</v>
      </c>
      <c r="E14" s="226">
        <v>9830852.82</v>
      </c>
      <c r="F14" s="166">
        <f t="shared" si="0"/>
        <v>0.14214507282187133</v>
      </c>
      <c r="G14" s="241">
        <f t="shared" si="1"/>
        <v>0.09644932246546344</v>
      </c>
      <c r="H14" s="242">
        <f t="shared" si="2"/>
        <v>0.9035506775345366</v>
      </c>
      <c r="I14" s="157"/>
    </row>
    <row r="15" spans="1:9" ht="15.75">
      <c r="A15" s="164"/>
      <c r="B15" s="165">
        <f>DATE(21,12,1)</f>
        <v>8006</v>
      </c>
      <c r="C15" s="226">
        <v>125465546.67</v>
      </c>
      <c r="D15" s="226">
        <v>12242955.61</v>
      </c>
      <c r="E15" s="226">
        <v>10848180.11</v>
      </c>
      <c r="F15" s="166">
        <f t="shared" si="0"/>
        <v>0.1285723029906442</v>
      </c>
      <c r="G15" s="241">
        <f t="shared" si="1"/>
        <v>0.0975802197092519</v>
      </c>
      <c r="H15" s="242">
        <f t="shared" si="2"/>
        <v>0.9024197802907481</v>
      </c>
      <c r="I15" s="157"/>
    </row>
    <row r="16" spans="1:9" ht="15.75">
      <c r="A16" s="164"/>
      <c r="B16" s="165">
        <f>DATE(22,1,1)</f>
        <v>8037</v>
      </c>
      <c r="C16" s="226">
        <v>107197391.36</v>
      </c>
      <c r="D16" s="226">
        <v>10440396.67</v>
      </c>
      <c r="E16" s="226">
        <v>11373635.94</v>
      </c>
      <c r="F16" s="166">
        <f t="shared" si="0"/>
        <v>-0.08205285230889847</v>
      </c>
      <c r="G16" s="241">
        <f t="shared" si="1"/>
        <v>0.09739413000208291</v>
      </c>
      <c r="H16" s="242">
        <f t="shared" si="2"/>
        <v>0.9026058699979171</v>
      </c>
      <c r="I16" s="157"/>
    </row>
    <row r="17" spans="1:9" ht="15.75">
      <c r="A17" s="164"/>
      <c r="B17" s="165">
        <f>DATE(22,2,1)</f>
        <v>8068</v>
      </c>
      <c r="C17" s="226">
        <v>119422740.74</v>
      </c>
      <c r="D17" s="226">
        <v>11511927.22</v>
      </c>
      <c r="E17" s="226">
        <v>9994364.92</v>
      </c>
      <c r="F17" s="166">
        <f t="shared" si="0"/>
        <v>0.15184179406569046</v>
      </c>
      <c r="G17" s="241">
        <f t="shared" si="1"/>
        <v>0.09639644131985779</v>
      </c>
      <c r="H17" s="242">
        <f t="shared" si="2"/>
        <v>0.9036035586801422</v>
      </c>
      <c r="I17" s="157"/>
    </row>
    <row r="18" spans="1:9" ht="15.75">
      <c r="A18" s="164"/>
      <c r="B18" s="165">
        <f>DATE(22,3,1)</f>
        <v>8096</v>
      </c>
      <c r="C18" s="226">
        <v>135223267.19</v>
      </c>
      <c r="D18" s="226">
        <v>13030966.17</v>
      </c>
      <c r="E18" s="226">
        <v>14258928.63</v>
      </c>
      <c r="F18" s="166">
        <f t="shared" si="0"/>
        <v>-0.08611884468068909</v>
      </c>
      <c r="G18" s="241">
        <f t="shared" si="1"/>
        <v>0.09636630175257045</v>
      </c>
      <c r="H18" s="242">
        <f t="shared" si="2"/>
        <v>0.9036336982474296</v>
      </c>
      <c r="I18" s="157"/>
    </row>
    <row r="19" spans="1:9" ht="15.75" thickBot="1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69" t="s">
        <v>14</v>
      </c>
      <c r="B20" s="155"/>
      <c r="C20" s="223">
        <f>SUM(C10:C19)</f>
        <v>1124910053.41</v>
      </c>
      <c r="D20" s="223">
        <f>SUM(D10:D19)</f>
        <v>109088703.08</v>
      </c>
      <c r="E20" s="223">
        <f>SUM(E10:E19)</f>
        <v>101501486.67</v>
      </c>
      <c r="F20" s="170">
        <f>(+D20-E20)/E20</f>
        <v>0.07474980573109664</v>
      </c>
      <c r="G20" s="236">
        <f>D20/C20</f>
        <v>0.09697548950630637</v>
      </c>
      <c r="H20" s="237">
        <f>1-G20</f>
        <v>0.9030245104936936</v>
      </c>
      <c r="I20" s="157"/>
    </row>
    <row r="21" spans="1:9" ht="15.7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>
      <c r="A22" s="19" t="s">
        <v>48</v>
      </c>
      <c r="B22" s="165">
        <f>DATE(21,7,1)</f>
        <v>7853</v>
      </c>
      <c r="C22" s="226">
        <v>73584363.37</v>
      </c>
      <c r="D22" s="226">
        <v>7305624.15</v>
      </c>
      <c r="E22" s="226">
        <v>5066109.03</v>
      </c>
      <c r="F22" s="166">
        <f aca="true" t="shared" si="3" ref="F22:F30">(+D22-E22)/E22</f>
        <v>0.4420582160269851</v>
      </c>
      <c r="G22" s="241">
        <f aca="true" t="shared" si="4" ref="G22:G30">D22/C22</f>
        <v>0.09928229063103465</v>
      </c>
      <c r="H22" s="242">
        <f aca="true" t="shared" si="5" ref="H22:H30">1-G22</f>
        <v>0.9007177093689653</v>
      </c>
      <c r="I22" s="157"/>
    </row>
    <row r="23" spans="1:9" ht="15.75">
      <c r="A23" s="19"/>
      <c r="B23" s="165">
        <f>DATE(21,8,1)</f>
        <v>7884</v>
      </c>
      <c r="C23" s="226">
        <v>67816496.49</v>
      </c>
      <c r="D23" s="226">
        <v>6574172.11</v>
      </c>
      <c r="E23" s="226">
        <v>5468550.73</v>
      </c>
      <c r="F23" s="166">
        <f t="shared" si="3"/>
        <v>0.2021781335838499</v>
      </c>
      <c r="G23" s="241">
        <f t="shared" si="4"/>
        <v>0.09694060369174935</v>
      </c>
      <c r="H23" s="242">
        <f t="shared" si="5"/>
        <v>0.9030593963082506</v>
      </c>
      <c r="I23" s="157"/>
    </row>
    <row r="24" spans="1:9" ht="15.75">
      <c r="A24" s="19"/>
      <c r="B24" s="165">
        <f>DATE(21,9,1)</f>
        <v>7915</v>
      </c>
      <c r="C24" s="226">
        <v>67990554.87</v>
      </c>
      <c r="D24" s="226">
        <v>6771046.11</v>
      </c>
      <c r="E24" s="226">
        <v>5506925.16</v>
      </c>
      <c r="F24" s="166">
        <f t="shared" si="3"/>
        <v>0.22955114029550389</v>
      </c>
      <c r="G24" s="241">
        <f t="shared" si="4"/>
        <v>0.09958804017626338</v>
      </c>
      <c r="H24" s="242">
        <f t="shared" si="5"/>
        <v>0.9004119598237366</v>
      </c>
      <c r="I24" s="157"/>
    </row>
    <row r="25" spans="1:9" ht="15.75">
      <c r="A25" s="19"/>
      <c r="B25" s="165">
        <f>DATE(21,10,1)</f>
        <v>7945</v>
      </c>
      <c r="C25" s="226">
        <v>70153959.48</v>
      </c>
      <c r="D25" s="226">
        <v>7189129.76</v>
      </c>
      <c r="E25" s="226">
        <v>5104255.39</v>
      </c>
      <c r="F25" s="166">
        <f t="shared" si="3"/>
        <v>0.40845808265875194</v>
      </c>
      <c r="G25" s="241">
        <f t="shared" si="4"/>
        <v>0.10247646481093528</v>
      </c>
      <c r="H25" s="242">
        <f t="shared" si="5"/>
        <v>0.8975235351890647</v>
      </c>
      <c r="I25" s="157"/>
    </row>
    <row r="26" spans="1:9" ht="15.75">
      <c r="A26" s="19"/>
      <c r="B26" s="165">
        <f>DATE(21,11,1)</f>
        <v>7976</v>
      </c>
      <c r="C26" s="226">
        <v>61861650.84</v>
      </c>
      <c r="D26" s="226">
        <v>6088324.14</v>
      </c>
      <c r="E26" s="226">
        <v>4814628.37</v>
      </c>
      <c r="F26" s="166">
        <f t="shared" si="3"/>
        <v>0.26454705786565197</v>
      </c>
      <c r="G26" s="241">
        <f t="shared" si="4"/>
        <v>0.09841839099552875</v>
      </c>
      <c r="H26" s="242">
        <f t="shared" si="5"/>
        <v>0.9015816090044713</v>
      </c>
      <c r="I26" s="157"/>
    </row>
    <row r="27" spans="1:9" ht="15.75">
      <c r="A27" s="19"/>
      <c r="B27" s="165">
        <f>DATE(21,12,1)</f>
        <v>8006</v>
      </c>
      <c r="C27" s="226">
        <v>69301193.8</v>
      </c>
      <c r="D27" s="226">
        <v>6682194.9</v>
      </c>
      <c r="E27" s="226">
        <v>5255704.49</v>
      </c>
      <c r="F27" s="166">
        <f t="shared" si="3"/>
        <v>0.2714175450149786</v>
      </c>
      <c r="G27" s="241">
        <f t="shared" si="4"/>
        <v>0.09642250780389876</v>
      </c>
      <c r="H27" s="242">
        <f t="shared" si="5"/>
        <v>0.9035774921961013</v>
      </c>
      <c r="I27" s="157"/>
    </row>
    <row r="28" spans="1:9" ht="15.75">
      <c r="A28" s="19"/>
      <c r="B28" s="165">
        <f>DATE(22,1,1)</f>
        <v>8037</v>
      </c>
      <c r="C28" s="226">
        <v>57247161.74</v>
      </c>
      <c r="D28" s="226">
        <v>5978134.71</v>
      </c>
      <c r="E28" s="226">
        <v>6374309.3</v>
      </c>
      <c r="F28" s="166">
        <f t="shared" si="3"/>
        <v>-0.062151767564840296</v>
      </c>
      <c r="G28" s="241">
        <f t="shared" si="4"/>
        <v>0.10442674410918315</v>
      </c>
      <c r="H28" s="242">
        <f t="shared" si="5"/>
        <v>0.8955732558908168</v>
      </c>
      <c r="I28" s="157"/>
    </row>
    <row r="29" spans="1:9" ht="15.75">
      <c r="A29" s="19"/>
      <c r="B29" s="165">
        <f>DATE(22,2,1)</f>
        <v>8068</v>
      </c>
      <c r="C29" s="226">
        <v>61471456.63</v>
      </c>
      <c r="D29" s="226">
        <v>6104570.21</v>
      </c>
      <c r="E29" s="226">
        <v>5505403.35</v>
      </c>
      <c r="F29" s="166">
        <f t="shared" si="3"/>
        <v>0.10883250906584353</v>
      </c>
      <c r="G29" s="241">
        <f t="shared" si="4"/>
        <v>0.09930739475955053</v>
      </c>
      <c r="H29" s="242">
        <f t="shared" si="5"/>
        <v>0.9006926052404495</v>
      </c>
      <c r="I29" s="157"/>
    </row>
    <row r="30" spans="1:9" ht="15.75">
      <c r="A30" s="19"/>
      <c r="B30" s="165">
        <f>DATE(22,3,1)</f>
        <v>8096</v>
      </c>
      <c r="C30" s="226">
        <v>71765258.21</v>
      </c>
      <c r="D30" s="226">
        <v>7172828.29</v>
      </c>
      <c r="E30" s="226">
        <v>7970520.96</v>
      </c>
      <c r="F30" s="166">
        <f t="shared" si="3"/>
        <v>-0.1000803678960528</v>
      </c>
      <c r="G30" s="241">
        <f t="shared" si="4"/>
        <v>0.09994847742358594</v>
      </c>
      <c r="H30" s="242">
        <f t="shared" si="5"/>
        <v>0.9000515225764141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69" t="s">
        <v>14</v>
      </c>
      <c r="B32" s="155"/>
      <c r="C32" s="223">
        <f>SUM(C22:C31)</f>
        <v>601192095.4300001</v>
      </c>
      <c r="D32" s="223">
        <f>SUM(D22:D31)</f>
        <v>59866024.38</v>
      </c>
      <c r="E32" s="223">
        <f>SUM(E22:E31)</f>
        <v>51066406.78</v>
      </c>
      <c r="F32" s="170">
        <f>(+D32-E32)/E32</f>
        <v>0.17231714849078328</v>
      </c>
      <c r="G32" s="236">
        <f>D32/C32</f>
        <v>0.0995788614572204</v>
      </c>
      <c r="H32" s="237">
        <f>1-G32</f>
        <v>0.9004211385427796</v>
      </c>
      <c r="I32" s="157"/>
    </row>
    <row r="33" spans="1:9" ht="15.75" thickTop="1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>
      <c r="A34" s="19" t="s">
        <v>64</v>
      </c>
      <c r="B34" s="165">
        <f>DATE(21,7,1)</f>
        <v>7853</v>
      </c>
      <c r="C34" s="226">
        <v>41344494.67</v>
      </c>
      <c r="D34" s="226">
        <v>4179858.95</v>
      </c>
      <c r="E34" s="226">
        <v>3105687.6</v>
      </c>
      <c r="F34" s="166">
        <f aca="true" t="shared" si="6" ref="F34:F42">(+D34-E34)/E34</f>
        <v>0.34587231181912825</v>
      </c>
      <c r="G34" s="241">
        <f aca="true" t="shared" si="7" ref="G34:G42">D34/C34</f>
        <v>0.10109831994229088</v>
      </c>
      <c r="H34" s="242">
        <f aca="true" t="shared" si="8" ref="H34:H42">1-G34</f>
        <v>0.8989016800577091</v>
      </c>
      <c r="I34" s="157"/>
    </row>
    <row r="35" spans="1:9" ht="15.75">
      <c r="A35" s="19"/>
      <c r="B35" s="165">
        <f>DATE(21,8,1)</f>
        <v>7884</v>
      </c>
      <c r="C35" s="226">
        <v>34738721.11</v>
      </c>
      <c r="D35" s="226">
        <v>3554355.99</v>
      </c>
      <c r="E35" s="226">
        <v>3031801</v>
      </c>
      <c r="F35" s="166">
        <f t="shared" si="6"/>
        <v>0.17235794499704968</v>
      </c>
      <c r="G35" s="241">
        <f t="shared" si="7"/>
        <v>0.10231683482950188</v>
      </c>
      <c r="H35" s="242">
        <f t="shared" si="8"/>
        <v>0.8976831651704982</v>
      </c>
      <c r="I35" s="157"/>
    </row>
    <row r="36" spans="1:9" ht="15.75">
      <c r="A36" s="19"/>
      <c r="B36" s="165">
        <f>DATE(21,9,1)</f>
        <v>7915</v>
      </c>
      <c r="C36" s="226">
        <v>35864944.78</v>
      </c>
      <c r="D36" s="226">
        <v>3815155.29</v>
      </c>
      <c r="E36" s="226">
        <v>2818231.18</v>
      </c>
      <c r="F36" s="166">
        <f t="shared" si="6"/>
        <v>0.35374106889272294</v>
      </c>
      <c r="G36" s="241">
        <f t="shared" si="7"/>
        <v>0.10637560752993303</v>
      </c>
      <c r="H36" s="242">
        <f t="shared" si="8"/>
        <v>0.893624392470067</v>
      </c>
      <c r="I36" s="157"/>
    </row>
    <row r="37" spans="1:9" ht="15.75">
      <c r="A37" s="19"/>
      <c r="B37" s="165">
        <f>DATE(21,10,1)</f>
        <v>7945</v>
      </c>
      <c r="C37" s="226">
        <v>35456144.61</v>
      </c>
      <c r="D37" s="226">
        <v>3758784.61</v>
      </c>
      <c r="E37" s="226">
        <v>2969140.93</v>
      </c>
      <c r="F37" s="166">
        <f t="shared" si="6"/>
        <v>0.2659502188062187</v>
      </c>
      <c r="G37" s="241">
        <f t="shared" si="7"/>
        <v>0.10601222020455878</v>
      </c>
      <c r="H37" s="242">
        <f t="shared" si="8"/>
        <v>0.8939877797954412</v>
      </c>
      <c r="I37" s="157"/>
    </row>
    <row r="38" spans="1:9" ht="15.75">
      <c r="A38" s="19"/>
      <c r="B38" s="165">
        <f>DATE(21,11,1)</f>
        <v>7976</v>
      </c>
      <c r="C38" s="226">
        <v>31753102.99</v>
      </c>
      <c r="D38" s="226">
        <v>3347078.48</v>
      </c>
      <c r="E38" s="226">
        <v>2745164.62</v>
      </c>
      <c r="F38" s="166">
        <f t="shared" si="6"/>
        <v>0.21926330232246685</v>
      </c>
      <c r="G38" s="241">
        <f t="shared" si="7"/>
        <v>0.10540949276844204</v>
      </c>
      <c r="H38" s="242">
        <f t="shared" si="8"/>
        <v>0.894590507231558</v>
      </c>
      <c r="I38" s="157"/>
    </row>
    <row r="39" spans="1:9" ht="15.75">
      <c r="A39" s="19"/>
      <c r="B39" s="165">
        <f>DATE(21,12,1)</f>
        <v>8006</v>
      </c>
      <c r="C39" s="226">
        <v>36776952.97</v>
      </c>
      <c r="D39" s="226">
        <v>3599731.36</v>
      </c>
      <c r="E39" s="226">
        <v>2957388.53</v>
      </c>
      <c r="F39" s="166">
        <f t="shared" si="6"/>
        <v>0.21719933768729405</v>
      </c>
      <c r="G39" s="241">
        <f t="shared" si="7"/>
        <v>0.09788008710064704</v>
      </c>
      <c r="H39" s="242">
        <f t="shared" si="8"/>
        <v>0.902119912899353</v>
      </c>
      <c r="I39" s="157"/>
    </row>
    <row r="40" spans="1:9" ht="15.75">
      <c r="A40" s="19"/>
      <c r="B40" s="165">
        <f>DATE(22,1,1)</f>
        <v>8037</v>
      </c>
      <c r="C40" s="226">
        <v>30780937.68</v>
      </c>
      <c r="D40" s="226">
        <v>3120845.46</v>
      </c>
      <c r="E40" s="226">
        <v>3739186.99</v>
      </c>
      <c r="F40" s="166">
        <f t="shared" si="6"/>
        <v>-0.16536790795798106</v>
      </c>
      <c r="G40" s="241">
        <f t="shared" si="7"/>
        <v>0.101388901548239</v>
      </c>
      <c r="H40" s="242">
        <f t="shared" si="8"/>
        <v>0.898611098451761</v>
      </c>
      <c r="I40" s="157"/>
    </row>
    <row r="41" spans="1:9" ht="15.75">
      <c r="A41" s="19"/>
      <c r="B41" s="165">
        <f>DATE(22,2,1)</f>
        <v>8068</v>
      </c>
      <c r="C41" s="226">
        <v>33531797.13</v>
      </c>
      <c r="D41" s="226">
        <v>3529009.1</v>
      </c>
      <c r="E41" s="226">
        <v>2745767.52</v>
      </c>
      <c r="F41" s="166">
        <f t="shared" si="6"/>
        <v>0.2852541499944613</v>
      </c>
      <c r="G41" s="241">
        <f t="shared" si="7"/>
        <v>0.10524366130208662</v>
      </c>
      <c r="H41" s="242">
        <f t="shared" si="8"/>
        <v>0.8947563386979134</v>
      </c>
      <c r="I41" s="157"/>
    </row>
    <row r="42" spans="1:9" ht="15.75">
      <c r="A42" s="19"/>
      <c r="B42" s="165">
        <f>DATE(22,3,1)</f>
        <v>8096</v>
      </c>
      <c r="C42" s="226">
        <v>40014241.24</v>
      </c>
      <c r="D42" s="226">
        <v>4379101.56</v>
      </c>
      <c r="E42" s="226">
        <v>4914550.05</v>
      </c>
      <c r="F42" s="166">
        <f t="shared" si="6"/>
        <v>-0.10895168114118611</v>
      </c>
      <c r="G42" s="241">
        <f t="shared" si="7"/>
        <v>0.10943857547453521</v>
      </c>
      <c r="H42" s="242">
        <f t="shared" si="8"/>
        <v>0.8905614245254648</v>
      </c>
      <c r="I42" s="157"/>
    </row>
    <row r="43" spans="1:9" ht="15.7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75"/>
      <c r="C44" s="228">
        <f>SUM(C34:C43)</f>
        <v>320261337.18000007</v>
      </c>
      <c r="D44" s="228">
        <f>SUM(D34:D43)</f>
        <v>33283920.8</v>
      </c>
      <c r="E44" s="228">
        <f>SUM(E34:E43)</f>
        <v>29026918.42</v>
      </c>
      <c r="F44" s="176">
        <f>(+D44-E44)/E44</f>
        <v>0.14665705530308232</v>
      </c>
      <c r="G44" s="245">
        <f>D44/C44</f>
        <v>0.10392737722597176</v>
      </c>
      <c r="H44" s="246">
        <f>1-G44</f>
        <v>0.8960726227740282</v>
      </c>
      <c r="I44" s="157"/>
    </row>
    <row r="45" spans="1:9" ht="15.7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>
      <c r="A46" s="177" t="s">
        <v>59</v>
      </c>
      <c r="B46" s="165">
        <f>DATE(21,7,1)</f>
        <v>7853</v>
      </c>
      <c r="C46" s="226">
        <v>184241191.87</v>
      </c>
      <c r="D46" s="226">
        <v>16788708.57</v>
      </c>
      <c r="E46" s="226">
        <v>12870761.89</v>
      </c>
      <c r="F46" s="166">
        <f aca="true" t="shared" si="9" ref="F46:F54">(+D46-E46)/E46</f>
        <v>0.3044067409128334</v>
      </c>
      <c r="G46" s="241">
        <f aca="true" t="shared" si="10" ref="G46:G54">D46/C46</f>
        <v>0.0911235343171578</v>
      </c>
      <c r="H46" s="242">
        <f aca="true" t="shared" si="11" ref="H46:H54">1-G46</f>
        <v>0.9088764656828422</v>
      </c>
      <c r="I46" s="157"/>
    </row>
    <row r="47" spans="1:9" ht="15.75">
      <c r="A47" s="177"/>
      <c r="B47" s="165">
        <f>DATE(21,8,1)</f>
        <v>7884</v>
      </c>
      <c r="C47" s="226">
        <v>171470115.47</v>
      </c>
      <c r="D47" s="226">
        <v>15228470.93</v>
      </c>
      <c r="E47" s="226">
        <v>13070251.67</v>
      </c>
      <c r="F47" s="166">
        <f t="shared" si="9"/>
        <v>0.1651245373456531</v>
      </c>
      <c r="G47" s="241">
        <f t="shared" si="10"/>
        <v>0.08881122455804456</v>
      </c>
      <c r="H47" s="242">
        <f t="shared" si="11"/>
        <v>0.9111887754419554</v>
      </c>
      <c r="I47" s="157"/>
    </row>
    <row r="48" spans="1:9" ht="15.75">
      <c r="A48" s="177"/>
      <c r="B48" s="165">
        <f>DATE(21,9,1)</f>
        <v>7915</v>
      </c>
      <c r="C48" s="226">
        <v>183696506.8</v>
      </c>
      <c r="D48" s="226">
        <v>16699713.12</v>
      </c>
      <c r="E48" s="226">
        <v>12783360.18</v>
      </c>
      <c r="F48" s="166">
        <f t="shared" si="9"/>
        <v>0.3063633414731806</v>
      </c>
      <c r="G48" s="241">
        <f t="shared" si="10"/>
        <v>0.090909257943494</v>
      </c>
      <c r="H48" s="242">
        <f t="shared" si="11"/>
        <v>0.909090742056506</v>
      </c>
      <c r="I48" s="157"/>
    </row>
    <row r="49" spans="1:9" ht="15.75">
      <c r="A49" s="177"/>
      <c r="B49" s="165">
        <f>DATE(21,10,1)</f>
        <v>7945</v>
      </c>
      <c r="C49" s="226">
        <v>184731805.9</v>
      </c>
      <c r="D49" s="226">
        <v>16704308.95</v>
      </c>
      <c r="E49" s="226">
        <v>13822122.46</v>
      </c>
      <c r="F49" s="166">
        <f t="shared" si="9"/>
        <v>0.20851982018975673</v>
      </c>
      <c r="G49" s="241">
        <f t="shared" si="10"/>
        <v>0.09042465031193635</v>
      </c>
      <c r="H49" s="242">
        <f t="shared" si="11"/>
        <v>0.9095753496880636</v>
      </c>
      <c r="I49" s="157"/>
    </row>
    <row r="50" spans="1:9" ht="15.75">
      <c r="A50" s="177"/>
      <c r="B50" s="165">
        <f>DATE(21,11,1)</f>
        <v>7976</v>
      </c>
      <c r="C50" s="226">
        <v>168594729.13</v>
      </c>
      <c r="D50" s="226">
        <v>15419780.21</v>
      </c>
      <c r="E50" s="226">
        <v>11508836.74</v>
      </c>
      <c r="F50" s="166">
        <f t="shared" si="9"/>
        <v>0.3398209183389633</v>
      </c>
      <c r="G50" s="241">
        <f t="shared" si="10"/>
        <v>0.09146063040980433</v>
      </c>
      <c r="H50" s="242">
        <f t="shared" si="11"/>
        <v>0.9085393695901957</v>
      </c>
      <c r="I50" s="157"/>
    </row>
    <row r="51" spans="1:9" ht="15.75">
      <c r="A51" s="177"/>
      <c r="B51" s="165">
        <f>DATE(21,12,1)</f>
        <v>8006</v>
      </c>
      <c r="C51" s="226">
        <v>190132607.17</v>
      </c>
      <c r="D51" s="226">
        <v>17100191.72</v>
      </c>
      <c r="E51" s="226">
        <v>12101151.11</v>
      </c>
      <c r="F51" s="166">
        <f t="shared" si="9"/>
        <v>0.41310455216685577</v>
      </c>
      <c r="G51" s="241">
        <f t="shared" si="10"/>
        <v>0.08993823823554105</v>
      </c>
      <c r="H51" s="242">
        <f t="shared" si="11"/>
        <v>0.910061761764459</v>
      </c>
      <c r="I51" s="157"/>
    </row>
    <row r="52" spans="1:9" ht="15.75">
      <c r="A52" s="177"/>
      <c r="B52" s="165">
        <f>DATE(22,1,1)</f>
        <v>8037</v>
      </c>
      <c r="C52" s="226">
        <v>171922425.78</v>
      </c>
      <c r="D52" s="226">
        <v>15681818.64</v>
      </c>
      <c r="E52" s="226">
        <v>12204646.31</v>
      </c>
      <c r="F52" s="166">
        <f t="shared" si="9"/>
        <v>0.28490562050544177</v>
      </c>
      <c r="G52" s="241">
        <f t="shared" si="10"/>
        <v>0.09121450310425</v>
      </c>
      <c r="H52" s="242">
        <f t="shared" si="11"/>
        <v>0.9087854968957501</v>
      </c>
      <c r="I52" s="157"/>
    </row>
    <row r="53" spans="1:9" ht="15.75">
      <c r="A53" s="177"/>
      <c r="B53" s="165">
        <f>DATE(22,2,1)</f>
        <v>8068</v>
      </c>
      <c r="C53" s="226">
        <v>165948421.02</v>
      </c>
      <c r="D53" s="226">
        <v>15007235.04</v>
      </c>
      <c r="E53" s="226">
        <v>10252818.6</v>
      </c>
      <c r="F53" s="166">
        <f t="shared" si="9"/>
        <v>0.4637179906801433</v>
      </c>
      <c r="G53" s="241">
        <f t="shared" si="10"/>
        <v>0.09043312944924818</v>
      </c>
      <c r="H53" s="242">
        <f t="shared" si="11"/>
        <v>0.9095668705507518</v>
      </c>
      <c r="I53" s="157"/>
    </row>
    <row r="54" spans="1:9" ht="15.75">
      <c r="A54" s="177"/>
      <c r="B54" s="165">
        <f>DATE(22,3,1)</f>
        <v>8096</v>
      </c>
      <c r="C54" s="226">
        <v>208993399.75</v>
      </c>
      <c r="D54" s="226">
        <v>19277164.58</v>
      </c>
      <c r="E54" s="226">
        <v>14669876.65</v>
      </c>
      <c r="F54" s="166">
        <f t="shared" si="9"/>
        <v>0.31406453100612797</v>
      </c>
      <c r="G54" s="241">
        <f t="shared" si="10"/>
        <v>0.09223815011890106</v>
      </c>
      <c r="H54" s="242">
        <f t="shared" si="11"/>
        <v>0.907761849881099</v>
      </c>
      <c r="I54" s="157"/>
    </row>
    <row r="55" spans="1:9" ht="15.7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8"/>
      <c r="C56" s="228">
        <f>SUM(C46:C55)</f>
        <v>1629731202.89</v>
      </c>
      <c r="D56" s="228">
        <f>SUM(D46:D55)</f>
        <v>147907391.76</v>
      </c>
      <c r="E56" s="228">
        <f>SUM(E46:E55)</f>
        <v>113283825.61000001</v>
      </c>
      <c r="F56" s="176">
        <f>(+D56-E56)/E56</f>
        <v>0.30563556592092717</v>
      </c>
      <c r="G56" s="245">
        <f>D56/C56</f>
        <v>0.09075569731850014</v>
      </c>
      <c r="H56" s="246">
        <f>1-G56</f>
        <v>0.9092443026814998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62</v>
      </c>
      <c r="B58" s="165">
        <f>DATE(21,7,1)</f>
        <v>7853</v>
      </c>
      <c r="C58" s="226">
        <v>134033453.04</v>
      </c>
      <c r="D58" s="226">
        <v>12735420.67</v>
      </c>
      <c r="E58" s="226">
        <v>13388447.99</v>
      </c>
      <c r="F58" s="166">
        <f aca="true" t="shared" si="12" ref="F58:F66">(+D58-E58)/E58</f>
        <v>-0.0487754309153499</v>
      </c>
      <c r="G58" s="241">
        <f aca="true" t="shared" si="13" ref="G58:G66">D58/C58</f>
        <v>0.09501673187662583</v>
      </c>
      <c r="H58" s="242">
        <f aca="true" t="shared" si="14" ref="H58:H66">1-G58</f>
        <v>0.9049832681233742</v>
      </c>
      <c r="I58" s="157"/>
    </row>
    <row r="59" spans="1:9" ht="15.75">
      <c r="A59" s="164"/>
      <c r="B59" s="165">
        <f>DATE(21,8,1)</f>
        <v>7884</v>
      </c>
      <c r="C59" s="226">
        <v>120007751.62</v>
      </c>
      <c r="D59" s="226">
        <v>11645905.55</v>
      </c>
      <c r="E59" s="226">
        <v>12503132.88</v>
      </c>
      <c r="F59" s="166">
        <f t="shared" si="12"/>
        <v>-0.06856100292841165</v>
      </c>
      <c r="G59" s="241">
        <f t="shared" si="13"/>
        <v>0.0970429442497708</v>
      </c>
      <c r="H59" s="242">
        <f t="shared" si="14"/>
        <v>0.9029570557502292</v>
      </c>
      <c r="I59" s="157"/>
    </row>
    <row r="60" spans="1:9" ht="15.75">
      <c r="A60" s="164"/>
      <c r="B60" s="165">
        <f>DATE(21,9,1)</f>
        <v>7915</v>
      </c>
      <c r="C60" s="226">
        <v>117022540.7</v>
      </c>
      <c r="D60" s="226">
        <v>11184280.18</v>
      </c>
      <c r="E60" s="226">
        <v>11218535.91</v>
      </c>
      <c r="F60" s="166">
        <f t="shared" si="12"/>
        <v>-0.003053493813703935</v>
      </c>
      <c r="G60" s="241">
        <f t="shared" si="13"/>
        <v>0.09557372548141915</v>
      </c>
      <c r="H60" s="242">
        <f t="shared" si="14"/>
        <v>0.9044262745185808</v>
      </c>
      <c r="I60" s="157"/>
    </row>
    <row r="61" spans="1:9" ht="15.75">
      <c r="A61" s="164"/>
      <c r="B61" s="165">
        <f>DATE(21,10,1)</f>
        <v>7945</v>
      </c>
      <c r="C61" s="226">
        <v>120771341.03</v>
      </c>
      <c r="D61" s="226">
        <v>11396005.27</v>
      </c>
      <c r="E61" s="226">
        <v>11439504.38</v>
      </c>
      <c r="F61" s="166">
        <f t="shared" si="12"/>
        <v>-0.0038025344940688125</v>
      </c>
      <c r="G61" s="241">
        <f t="shared" si="13"/>
        <v>0.09436017827415856</v>
      </c>
      <c r="H61" s="242">
        <f t="shared" si="14"/>
        <v>0.9056398217258415</v>
      </c>
      <c r="I61" s="157"/>
    </row>
    <row r="62" spans="1:9" ht="15.75">
      <c r="A62" s="164"/>
      <c r="B62" s="165">
        <f>DATE(21,11,1)</f>
        <v>7976</v>
      </c>
      <c r="C62" s="226">
        <v>113934737.93</v>
      </c>
      <c r="D62" s="226">
        <v>11134846.92</v>
      </c>
      <c r="E62" s="226">
        <v>10067796.14</v>
      </c>
      <c r="F62" s="166">
        <f t="shared" si="12"/>
        <v>0.10598653023580186</v>
      </c>
      <c r="G62" s="241">
        <f t="shared" si="13"/>
        <v>0.09773004372767419</v>
      </c>
      <c r="H62" s="242">
        <f t="shared" si="14"/>
        <v>0.9022699562723258</v>
      </c>
      <c r="I62" s="157"/>
    </row>
    <row r="63" spans="1:9" ht="15.75">
      <c r="A63" s="164"/>
      <c r="B63" s="165">
        <f>DATE(21,12,1)</f>
        <v>8006</v>
      </c>
      <c r="C63" s="226">
        <v>123312951.99</v>
      </c>
      <c r="D63" s="226">
        <v>11993406.7</v>
      </c>
      <c r="E63" s="226">
        <v>10607281.23</v>
      </c>
      <c r="F63" s="166">
        <f t="shared" si="12"/>
        <v>0.1306767907764805</v>
      </c>
      <c r="G63" s="241">
        <f t="shared" si="13"/>
        <v>0.0972599107105359</v>
      </c>
      <c r="H63" s="242">
        <f t="shared" si="14"/>
        <v>0.9027400892894641</v>
      </c>
      <c r="I63" s="157"/>
    </row>
    <row r="64" spans="1:9" ht="15.75">
      <c r="A64" s="164"/>
      <c r="B64" s="165">
        <f>DATE(22,1,1)</f>
        <v>8037</v>
      </c>
      <c r="C64" s="226">
        <v>107371536.32</v>
      </c>
      <c r="D64" s="226">
        <v>10442254.63</v>
      </c>
      <c r="E64" s="226">
        <v>11913560.08</v>
      </c>
      <c r="F64" s="166">
        <f t="shared" si="12"/>
        <v>-0.12349838672236747</v>
      </c>
      <c r="G64" s="241">
        <f t="shared" si="13"/>
        <v>0.09725347133786827</v>
      </c>
      <c r="H64" s="242">
        <f t="shared" si="14"/>
        <v>0.9027465286621317</v>
      </c>
      <c r="I64" s="157"/>
    </row>
    <row r="65" spans="1:9" ht="15.75">
      <c r="A65" s="164"/>
      <c r="B65" s="165">
        <f>DATE(22,2,1)</f>
        <v>8068</v>
      </c>
      <c r="C65" s="226">
        <v>107183986.49</v>
      </c>
      <c r="D65" s="226">
        <v>10124033.77</v>
      </c>
      <c r="E65" s="226">
        <v>10274207.17</v>
      </c>
      <c r="F65" s="166">
        <f t="shared" si="12"/>
        <v>-0.014616543886568367</v>
      </c>
      <c r="G65" s="241">
        <f t="shared" si="13"/>
        <v>0.09445472314975471</v>
      </c>
      <c r="H65" s="242">
        <f t="shared" si="14"/>
        <v>0.9055452768502453</v>
      </c>
      <c r="I65" s="157"/>
    </row>
    <row r="66" spans="1:9" ht="15.75">
      <c r="A66" s="164"/>
      <c r="B66" s="165">
        <f>DATE(22,3,1)</f>
        <v>8096</v>
      </c>
      <c r="C66" s="226">
        <v>126920327.34</v>
      </c>
      <c r="D66" s="226">
        <v>12312940.59</v>
      </c>
      <c r="E66" s="226">
        <v>14770804.86</v>
      </c>
      <c r="F66" s="166">
        <f t="shared" si="12"/>
        <v>-0.1664001585083563</v>
      </c>
      <c r="G66" s="241">
        <f t="shared" si="13"/>
        <v>0.09701314870560906</v>
      </c>
      <c r="H66" s="242">
        <f t="shared" si="14"/>
        <v>0.9029868512943909</v>
      </c>
      <c r="I66" s="157"/>
    </row>
    <row r="67" spans="1:9" ht="15.7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SUM(C58:C67)</f>
        <v>1070558626.4599999</v>
      </c>
      <c r="D68" s="230">
        <f>SUM(D58:D67)</f>
        <v>102969094.28</v>
      </c>
      <c r="E68" s="271">
        <f>SUM(E58:E67)</f>
        <v>106183270.64</v>
      </c>
      <c r="F68" s="272">
        <f>(+D68-E68)/E68</f>
        <v>-0.030270082477466993</v>
      </c>
      <c r="G68" s="249">
        <f>D68/C68</f>
        <v>0.09618258331212215</v>
      </c>
      <c r="H68" s="270">
        <f>1-G68</f>
        <v>0.9038174166878779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66</v>
      </c>
      <c r="B70" s="165">
        <f>DATE(21,7,1)</f>
        <v>7853</v>
      </c>
      <c r="C70" s="226">
        <v>55925733.85</v>
      </c>
      <c r="D70" s="226">
        <v>5744094.34</v>
      </c>
      <c r="E70" s="226">
        <v>4434379.57</v>
      </c>
      <c r="F70" s="166">
        <f aca="true" t="shared" si="15" ref="F70:F78">(+D70-E70)/E70</f>
        <v>0.2953546825040959</v>
      </c>
      <c r="G70" s="241">
        <f aca="true" t="shared" si="16" ref="G70:G78">D70/C70</f>
        <v>0.10270932439449786</v>
      </c>
      <c r="H70" s="242">
        <f aca="true" t="shared" si="17" ref="H70:H78">1-G70</f>
        <v>0.8972906756055021</v>
      </c>
      <c r="I70" s="157"/>
    </row>
    <row r="71" spans="1:9" ht="15.75">
      <c r="A71" s="164"/>
      <c r="B71" s="165">
        <f>DATE(21,8,1)</f>
        <v>7884</v>
      </c>
      <c r="C71" s="226">
        <v>50658517.55</v>
      </c>
      <c r="D71" s="226">
        <v>5022432.17</v>
      </c>
      <c r="E71" s="226">
        <v>4333573.3</v>
      </c>
      <c r="F71" s="166">
        <f t="shared" si="15"/>
        <v>0.15895862889869664</v>
      </c>
      <c r="G71" s="241">
        <f t="shared" si="16"/>
        <v>0.09914289665193726</v>
      </c>
      <c r="H71" s="242">
        <f t="shared" si="17"/>
        <v>0.9008571033480628</v>
      </c>
      <c r="I71" s="157"/>
    </row>
    <row r="72" spans="1:9" ht="15.75">
      <c r="A72" s="164"/>
      <c r="B72" s="165">
        <f>DATE(21,9,1)</f>
        <v>7915</v>
      </c>
      <c r="C72" s="226">
        <v>50731057.32</v>
      </c>
      <c r="D72" s="226">
        <v>5281548.16</v>
      </c>
      <c r="E72" s="226">
        <v>4417017.56</v>
      </c>
      <c r="F72" s="166">
        <f t="shared" si="15"/>
        <v>0.19572722731036654</v>
      </c>
      <c r="G72" s="241">
        <f t="shared" si="16"/>
        <v>0.10410877357996291</v>
      </c>
      <c r="H72" s="242">
        <f t="shared" si="17"/>
        <v>0.895891226420037</v>
      </c>
      <c r="I72" s="157"/>
    </row>
    <row r="73" spans="1:9" ht="15.75">
      <c r="A73" s="164"/>
      <c r="B73" s="165">
        <f>DATE(21,10,1)</f>
        <v>7945</v>
      </c>
      <c r="C73" s="226">
        <v>50383468.32</v>
      </c>
      <c r="D73" s="226">
        <v>5329338.81</v>
      </c>
      <c r="E73" s="226">
        <v>4440838.89</v>
      </c>
      <c r="F73" s="166">
        <f t="shared" si="15"/>
        <v>0.20007479262549874</v>
      </c>
      <c r="G73" s="241">
        <f t="shared" si="16"/>
        <v>0.10577554479083943</v>
      </c>
      <c r="H73" s="242">
        <f t="shared" si="17"/>
        <v>0.8942244552091606</v>
      </c>
      <c r="I73" s="157"/>
    </row>
    <row r="74" spans="1:9" ht="15.75">
      <c r="A74" s="164"/>
      <c r="B74" s="165">
        <f>DATE(21,11,1)</f>
        <v>7976</v>
      </c>
      <c r="C74" s="226">
        <v>48521452.54</v>
      </c>
      <c r="D74" s="226">
        <v>4979381.55</v>
      </c>
      <c r="E74" s="226">
        <v>4093288.05</v>
      </c>
      <c r="F74" s="166">
        <f t="shared" si="15"/>
        <v>0.2164747482161682</v>
      </c>
      <c r="G74" s="241">
        <f t="shared" si="16"/>
        <v>0.10262226890044376</v>
      </c>
      <c r="H74" s="242">
        <f t="shared" si="17"/>
        <v>0.8973777310995562</v>
      </c>
      <c r="I74" s="157"/>
    </row>
    <row r="75" spans="1:9" ht="15.75">
      <c r="A75" s="164"/>
      <c r="B75" s="165">
        <f>DATE(21,12,1)</f>
        <v>8006</v>
      </c>
      <c r="C75" s="226">
        <v>54263223.82</v>
      </c>
      <c r="D75" s="226">
        <v>5568235.39</v>
      </c>
      <c r="E75" s="226">
        <v>5522096.13</v>
      </c>
      <c r="F75" s="166">
        <f t="shared" si="15"/>
        <v>0.008355388771546029</v>
      </c>
      <c r="G75" s="241">
        <f t="shared" si="16"/>
        <v>0.10261527049094518</v>
      </c>
      <c r="H75" s="242">
        <f t="shared" si="17"/>
        <v>0.8973847295090548</v>
      </c>
      <c r="I75" s="157"/>
    </row>
    <row r="76" spans="1:9" ht="15.75">
      <c r="A76" s="164"/>
      <c r="B76" s="165">
        <f>DATE(22,1,1)</f>
        <v>8037</v>
      </c>
      <c r="C76" s="226">
        <v>47452534.9</v>
      </c>
      <c r="D76" s="226">
        <v>4884841.69</v>
      </c>
      <c r="E76" s="226">
        <v>6117314.93</v>
      </c>
      <c r="F76" s="166">
        <f t="shared" si="15"/>
        <v>-0.20147290994547495</v>
      </c>
      <c r="G76" s="241">
        <f t="shared" si="16"/>
        <v>0.10294163842446277</v>
      </c>
      <c r="H76" s="242">
        <f t="shared" si="17"/>
        <v>0.8970583615755372</v>
      </c>
      <c r="I76" s="157"/>
    </row>
    <row r="77" spans="1:9" ht="15.75">
      <c r="A77" s="164"/>
      <c r="B77" s="165">
        <f>DATE(22,2,1)</f>
        <v>8068</v>
      </c>
      <c r="C77" s="226">
        <v>49042930.52</v>
      </c>
      <c r="D77" s="226">
        <v>4926896.7</v>
      </c>
      <c r="E77" s="226">
        <v>4347455.36</v>
      </c>
      <c r="F77" s="166">
        <f t="shared" si="15"/>
        <v>0.13328287285737647</v>
      </c>
      <c r="G77" s="241">
        <f t="shared" si="16"/>
        <v>0.10046089513331145</v>
      </c>
      <c r="H77" s="242">
        <f t="shared" si="17"/>
        <v>0.8995391048666885</v>
      </c>
      <c r="I77" s="157"/>
    </row>
    <row r="78" spans="1:9" ht="15.75">
      <c r="A78" s="164"/>
      <c r="B78" s="165">
        <f>DATE(22,3,1)</f>
        <v>8096</v>
      </c>
      <c r="C78" s="226">
        <v>56260322.25</v>
      </c>
      <c r="D78" s="226">
        <v>5781376.58</v>
      </c>
      <c r="E78" s="226">
        <v>7136950.12</v>
      </c>
      <c r="F78" s="166">
        <f t="shared" si="15"/>
        <v>-0.1899373706145504</v>
      </c>
      <c r="G78" s="241">
        <f t="shared" si="16"/>
        <v>0.10276117072898565</v>
      </c>
      <c r="H78" s="242">
        <f t="shared" si="17"/>
        <v>0.8972388292710144</v>
      </c>
      <c r="I78" s="157"/>
    </row>
    <row r="79" spans="1:9" ht="15.75" thickBot="1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75"/>
      <c r="C80" s="228">
        <f>SUM(C70:C79)</f>
        <v>463239241.06999993</v>
      </c>
      <c r="D80" s="230">
        <f>SUM(D70:D79)</f>
        <v>47518145.39</v>
      </c>
      <c r="E80" s="271">
        <f>SUM(E70:E79)</f>
        <v>44842913.91</v>
      </c>
      <c r="F80" s="272">
        <f>(+D80-E80)/E80</f>
        <v>0.05965784215916946</v>
      </c>
      <c r="G80" s="249">
        <f>D80/C80</f>
        <v>0.10257797953437962</v>
      </c>
      <c r="H80" s="270">
        <f>1-G80</f>
        <v>0.8974220204656204</v>
      </c>
      <c r="I80" s="157"/>
    </row>
    <row r="81" spans="1:9" ht="15.7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>
      <c r="A82" s="290" t="s">
        <v>70</v>
      </c>
      <c r="B82" s="165">
        <f>DATE(21,7,1)</f>
        <v>7853</v>
      </c>
      <c r="C82" s="226">
        <v>75548562.82</v>
      </c>
      <c r="D82" s="226">
        <v>8446672.57</v>
      </c>
      <c r="E82" s="226">
        <v>4303428.05</v>
      </c>
      <c r="F82" s="166">
        <f aca="true" t="shared" si="18" ref="F82:F90">(+D82-E82)/E82</f>
        <v>0.9627776906831289</v>
      </c>
      <c r="G82" s="241">
        <f aca="true" t="shared" si="19" ref="G82:G90">D82/C82</f>
        <v>0.11180454339184213</v>
      </c>
      <c r="H82" s="242">
        <f aca="true" t="shared" si="20" ref="H82:H90">1-G82</f>
        <v>0.8881954566081579</v>
      </c>
      <c r="I82" s="157"/>
    </row>
    <row r="83" spans="1:9" ht="15.75">
      <c r="A83" s="290"/>
      <c r="B83" s="165">
        <f>DATE(21,8,1)</f>
        <v>7884</v>
      </c>
      <c r="C83" s="226">
        <v>78426771.27</v>
      </c>
      <c r="D83" s="226">
        <v>8803736.44</v>
      </c>
      <c r="E83" s="226">
        <v>4134795.6</v>
      </c>
      <c r="F83" s="166">
        <f t="shared" si="18"/>
        <v>1.1291829854902622</v>
      </c>
      <c r="G83" s="241">
        <f t="shared" si="19"/>
        <v>0.11225422515089088</v>
      </c>
      <c r="H83" s="242">
        <f t="shared" si="20"/>
        <v>0.8877457748491091</v>
      </c>
      <c r="I83" s="157"/>
    </row>
    <row r="84" spans="1:9" ht="15.75">
      <c r="A84" s="290"/>
      <c r="B84" s="165">
        <f>DATE(21,9,1)</f>
        <v>7915</v>
      </c>
      <c r="C84" s="226">
        <v>81538936.45</v>
      </c>
      <c r="D84" s="226">
        <v>8914995.23</v>
      </c>
      <c r="E84" s="226">
        <v>5078159.95</v>
      </c>
      <c r="F84" s="166">
        <f t="shared" si="18"/>
        <v>0.7555562088980675</v>
      </c>
      <c r="G84" s="241">
        <f t="shared" si="19"/>
        <v>0.1093342103556466</v>
      </c>
      <c r="H84" s="242">
        <f t="shared" si="20"/>
        <v>0.8906657896443534</v>
      </c>
      <c r="I84" s="157"/>
    </row>
    <row r="85" spans="1:9" ht="15.75">
      <c r="A85" s="290"/>
      <c r="B85" s="165">
        <f>DATE(21,10,1)</f>
        <v>7945</v>
      </c>
      <c r="C85" s="226">
        <v>82353659.94</v>
      </c>
      <c r="D85" s="226">
        <v>9230867.67</v>
      </c>
      <c r="E85" s="226">
        <v>5823943.82</v>
      </c>
      <c r="F85" s="166">
        <f t="shared" si="18"/>
        <v>0.5849856996044992</v>
      </c>
      <c r="G85" s="241">
        <f t="shared" si="19"/>
        <v>0.11208812913385134</v>
      </c>
      <c r="H85" s="242">
        <f t="shared" si="20"/>
        <v>0.8879118708661486</v>
      </c>
      <c r="I85" s="157"/>
    </row>
    <row r="86" spans="1:9" ht="15.75">
      <c r="A86" s="290"/>
      <c r="B86" s="165">
        <f>DATE(21,11,1)</f>
        <v>7976</v>
      </c>
      <c r="C86" s="226">
        <v>77184349.21</v>
      </c>
      <c r="D86" s="226">
        <v>8512217.68</v>
      </c>
      <c r="E86" s="226">
        <v>5498815.81</v>
      </c>
      <c r="F86" s="166">
        <f t="shared" si="18"/>
        <v>0.5480092394656878</v>
      </c>
      <c r="G86" s="241">
        <f t="shared" si="19"/>
        <v>0.11028424502019586</v>
      </c>
      <c r="H86" s="242">
        <f t="shared" si="20"/>
        <v>0.8897157549798042</v>
      </c>
      <c r="I86" s="157"/>
    </row>
    <row r="87" spans="1:9" ht="15.75">
      <c r="A87" s="290"/>
      <c r="B87" s="165">
        <f>DATE(21,12,1)</f>
        <v>8006</v>
      </c>
      <c r="C87" s="226">
        <v>81671033.46</v>
      </c>
      <c r="D87" s="226">
        <v>9265401.08</v>
      </c>
      <c r="E87" s="226">
        <v>6073396.25</v>
      </c>
      <c r="F87" s="166">
        <f t="shared" si="18"/>
        <v>0.5255716404145374</v>
      </c>
      <c r="G87" s="241">
        <f t="shared" si="19"/>
        <v>0.11344782461382608</v>
      </c>
      <c r="H87" s="242">
        <f t="shared" si="20"/>
        <v>0.8865521753861739</v>
      </c>
      <c r="I87" s="157"/>
    </row>
    <row r="88" spans="1:9" ht="15.75">
      <c r="A88" s="290"/>
      <c r="B88" s="165">
        <f>DATE(22,1,1)</f>
        <v>8037</v>
      </c>
      <c r="C88" s="226">
        <v>72620256.52</v>
      </c>
      <c r="D88" s="226">
        <v>8004296.77</v>
      </c>
      <c r="E88" s="226">
        <v>6544399.04</v>
      </c>
      <c r="F88" s="166">
        <f t="shared" si="18"/>
        <v>0.22307590369672806</v>
      </c>
      <c r="G88" s="241">
        <f t="shared" si="19"/>
        <v>0.11022126819113583</v>
      </c>
      <c r="H88" s="242">
        <f t="shared" si="20"/>
        <v>0.8897787318088641</v>
      </c>
      <c r="I88" s="157"/>
    </row>
    <row r="89" spans="1:9" ht="15.75">
      <c r="A89" s="290"/>
      <c r="B89" s="165">
        <f>DATE(22,2,1)</f>
        <v>8068</v>
      </c>
      <c r="C89" s="226">
        <v>76264752.71</v>
      </c>
      <c r="D89" s="226">
        <v>8308096.34</v>
      </c>
      <c r="E89" s="226">
        <v>5959695.79</v>
      </c>
      <c r="F89" s="166">
        <f t="shared" si="18"/>
        <v>0.39404705084787556</v>
      </c>
      <c r="G89" s="241">
        <f t="shared" si="19"/>
        <v>0.10893756348482364</v>
      </c>
      <c r="H89" s="242">
        <f t="shared" si="20"/>
        <v>0.8910624365151764</v>
      </c>
      <c r="I89" s="157"/>
    </row>
    <row r="90" spans="1:9" ht="15.75">
      <c r="A90" s="290"/>
      <c r="B90" s="165">
        <f>DATE(22,3,1)</f>
        <v>8096</v>
      </c>
      <c r="C90" s="226">
        <v>92378730.77</v>
      </c>
      <c r="D90" s="226">
        <v>10191834.04</v>
      </c>
      <c r="E90" s="226">
        <v>9308574.85</v>
      </c>
      <c r="F90" s="166">
        <f t="shared" si="18"/>
        <v>0.09488661843869682</v>
      </c>
      <c r="G90" s="241">
        <f t="shared" si="19"/>
        <v>0.11032662989682251</v>
      </c>
      <c r="H90" s="242">
        <f t="shared" si="20"/>
        <v>0.8896733701031775</v>
      </c>
      <c r="I90" s="157"/>
    </row>
    <row r="91" spans="1:9" ht="15.7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SUM(C82:C91)</f>
        <v>717987053.15</v>
      </c>
      <c r="D92" s="230">
        <f>SUM(D82:D91)</f>
        <v>79678117.82</v>
      </c>
      <c r="E92" s="271">
        <f>SUM(E82:E91)</f>
        <v>52725209.160000004</v>
      </c>
      <c r="F92" s="272">
        <f>(+D92-E92)/E92</f>
        <v>0.5111958603750371</v>
      </c>
      <c r="G92" s="249">
        <f>D92/C92</f>
        <v>0.11097431001078768</v>
      </c>
      <c r="H92" s="270">
        <f>1-G92</f>
        <v>0.8890256899892123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60</v>
      </c>
      <c r="B94" s="165">
        <f>DATE(21,7,1)</f>
        <v>7853</v>
      </c>
      <c r="C94" s="226">
        <v>132221883.15</v>
      </c>
      <c r="D94" s="226">
        <v>13534455.82</v>
      </c>
      <c r="E94" s="226">
        <v>10751795.77</v>
      </c>
      <c r="F94" s="166">
        <f aca="true" t="shared" si="21" ref="F94:F102">(+D94-E94)/E94</f>
        <v>0.2588088640749917</v>
      </c>
      <c r="G94" s="241">
        <f aca="true" t="shared" si="22" ref="G94:G102">D94/C94</f>
        <v>0.10236169306895854</v>
      </c>
      <c r="H94" s="242">
        <f aca="true" t="shared" si="23" ref="H94:H102">1-G94</f>
        <v>0.8976383069310414</v>
      </c>
      <c r="I94" s="157"/>
    </row>
    <row r="95" spans="1:9" ht="15.75">
      <c r="A95" s="164"/>
      <c r="B95" s="165">
        <f>DATE(21,8,1)</f>
        <v>7884</v>
      </c>
      <c r="C95" s="226">
        <v>113338502.33</v>
      </c>
      <c r="D95" s="226">
        <v>11799607.16</v>
      </c>
      <c r="E95" s="226">
        <v>11312353.68</v>
      </c>
      <c r="F95" s="166">
        <f t="shared" si="21"/>
        <v>0.043072687946581284</v>
      </c>
      <c r="G95" s="241">
        <f t="shared" si="22"/>
        <v>0.104109432517856</v>
      </c>
      <c r="H95" s="242">
        <f t="shared" si="23"/>
        <v>0.895890567482144</v>
      </c>
      <c r="I95" s="157"/>
    </row>
    <row r="96" spans="1:9" ht="15.75">
      <c r="A96" s="164"/>
      <c r="B96" s="165">
        <f>DATE(21,9,1)</f>
        <v>7915</v>
      </c>
      <c r="C96" s="226">
        <v>111073381.85</v>
      </c>
      <c r="D96" s="226">
        <v>11262305.48</v>
      </c>
      <c r="E96" s="226">
        <v>10956999.04</v>
      </c>
      <c r="F96" s="166">
        <f t="shared" si="21"/>
        <v>0.027864056470703256</v>
      </c>
      <c r="G96" s="241">
        <f t="shared" si="22"/>
        <v>0.10139517940679323</v>
      </c>
      <c r="H96" s="242">
        <f t="shared" si="23"/>
        <v>0.8986048205932068</v>
      </c>
      <c r="I96" s="157"/>
    </row>
    <row r="97" spans="1:9" ht="15.75">
      <c r="A97" s="164"/>
      <c r="B97" s="165">
        <f>DATE(21,10,1)</f>
        <v>7945</v>
      </c>
      <c r="C97" s="226">
        <v>116016618.26</v>
      </c>
      <c r="D97" s="226">
        <v>11850584.04</v>
      </c>
      <c r="E97" s="226">
        <v>10410650.7</v>
      </c>
      <c r="F97" s="166">
        <f t="shared" si="21"/>
        <v>0.13831348121208215</v>
      </c>
      <c r="G97" s="241">
        <f t="shared" si="22"/>
        <v>0.10214557377842327</v>
      </c>
      <c r="H97" s="242">
        <f t="shared" si="23"/>
        <v>0.8978544262215767</v>
      </c>
      <c r="I97" s="157"/>
    </row>
    <row r="98" spans="1:9" ht="15.75">
      <c r="A98" s="164"/>
      <c r="B98" s="165">
        <f>DATE(21,11,1)</f>
        <v>7976</v>
      </c>
      <c r="C98" s="226">
        <v>102366140.35</v>
      </c>
      <c r="D98" s="226">
        <v>10537202.82</v>
      </c>
      <c r="E98" s="226">
        <v>9890840.52</v>
      </c>
      <c r="F98" s="166">
        <f t="shared" si="21"/>
        <v>0.06534958264598535</v>
      </c>
      <c r="G98" s="241">
        <f t="shared" si="22"/>
        <v>0.10293640830817942</v>
      </c>
      <c r="H98" s="242">
        <f t="shared" si="23"/>
        <v>0.8970635916918206</v>
      </c>
      <c r="I98" s="157"/>
    </row>
    <row r="99" spans="1:9" ht="15.75">
      <c r="A99" s="164"/>
      <c r="B99" s="165">
        <f>DATE(21,12,1)</f>
        <v>8006</v>
      </c>
      <c r="C99" s="226">
        <v>112755235.07</v>
      </c>
      <c r="D99" s="226">
        <v>11616287.57</v>
      </c>
      <c r="E99" s="226">
        <v>12890871.2</v>
      </c>
      <c r="F99" s="166">
        <f t="shared" si="21"/>
        <v>-0.09887490226416963</v>
      </c>
      <c r="G99" s="241">
        <f t="shared" si="22"/>
        <v>0.1030221573551636</v>
      </c>
      <c r="H99" s="242">
        <f t="shared" si="23"/>
        <v>0.8969778426448364</v>
      </c>
      <c r="I99" s="157"/>
    </row>
    <row r="100" spans="1:9" ht="15.75">
      <c r="A100" s="164"/>
      <c r="B100" s="165">
        <f>DATE(22,1,1)</f>
        <v>8037</v>
      </c>
      <c r="C100" s="226">
        <v>96959535.67</v>
      </c>
      <c r="D100" s="226">
        <v>9767141.98</v>
      </c>
      <c r="E100" s="226">
        <v>14761434.99</v>
      </c>
      <c r="F100" s="166">
        <f t="shared" si="21"/>
        <v>-0.3383338417561259</v>
      </c>
      <c r="G100" s="241">
        <f t="shared" si="22"/>
        <v>0.10073420744548828</v>
      </c>
      <c r="H100" s="242">
        <f t="shared" si="23"/>
        <v>0.8992657925545118</v>
      </c>
      <c r="I100" s="157"/>
    </row>
    <row r="101" spans="1:9" ht="15.75">
      <c r="A101" s="164"/>
      <c r="B101" s="165">
        <f>DATE(22,2,1)</f>
        <v>8068</v>
      </c>
      <c r="C101" s="226">
        <v>100151252.09</v>
      </c>
      <c r="D101" s="226">
        <v>10322075.95</v>
      </c>
      <c r="E101" s="226">
        <v>10549814.82</v>
      </c>
      <c r="F101" s="166">
        <f t="shared" si="21"/>
        <v>-0.02158700165696378</v>
      </c>
      <c r="G101" s="241">
        <f t="shared" si="22"/>
        <v>0.10306487172745639</v>
      </c>
      <c r="H101" s="242">
        <f t="shared" si="23"/>
        <v>0.8969351282725436</v>
      </c>
      <c r="I101" s="157"/>
    </row>
    <row r="102" spans="1:9" ht="15.75">
      <c r="A102" s="164"/>
      <c r="B102" s="165">
        <f>DATE(22,3,1)</f>
        <v>8096</v>
      </c>
      <c r="C102" s="226">
        <v>126474844.35</v>
      </c>
      <c r="D102" s="226">
        <v>13047812.96</v>
      </c>
      <c r="E102" s="226">
        <v>15700425.04</v>
      </c>
      <c r="F102" s="166">
        <f t="shared" si="21"/>
        <v>-0.16895160947821056</v>
      </c>
      <c r="G102" s="241">
        <f t="shared" si="22"/>
        <v>0.10316528181598036</v>
      </c>
      <c r="H102" s="242">
        <f t="shared" si="23"/>
        <v>0.8968347181840196</v>
      </c>
      <c r="I102" s="157"/>
    </row>
    <row r="103" spans="1:9" ht="15.75" thickBot="1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Bot="1" thickTop="1">
      <c r="A104" s="174" t="s">
        <v>14</v>
      </c>
      <c r="B104" s="175"/>
      <c r="C104" s="228">
        <f>SUM(C94:C103)</f>
        <v>1011357393.12</v>
      </c>
      <c r="D104" s="230">
        <f>SUM(D94:D103)</f>
        <v>103737473.78</v>
      </c>
      <c r="E104" s="271">
        <f>SUM(E94:E103)</f>
        <v>107225185.75999999</v>
      </c>
      <c r="F104" s="176">
        <f>(+D104-E104)/E104</f>
        <v>-0.03252698473105438</v>
      </c>
      <c r="G104" s="249">
        <f>D104/C104</f>
        <v>0.10257251737684316</v>
      </c>
      <c r="H104" s="270">
        <f>1-G104</f>
        <v>0.8974274826231569</v>
      </c>
      <c r="I104" s="157"/>
    </row>
    <row r="105" spans="1:9" ht="15.75" thickTop="1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>
      <c r="A106" s="164" t="s">
        <v>16</v>
      </c>
      <c r="B106" s="165">
        <f>DATE(21,7,1)</f>
        <v>7853</v>
      </c>
      <c r="C106" s="226">
        <v>163880399.77</v>
      </c>
      <c r="D106" s="226">
        <v>16148799.36</v>
      </c>
      <c r="E106" s="226">
        <v>12124639.11</v>
      </c>
      <c r="F106" s="166">
        <f aca="true" t="shared" si="24" ref="F106:F114">(+D106-E106)/E106</f>
        <v>0.3318993838489598</v>
      </c>
      <c r="G106" s="241">
        <f aca="true" t="shared" si="25" ref="G106:G114">D106/C106</f>
        <v>0.09854015112645706</v>
      </c>
      <c r="H106" s="242">
        <f aca="true" t="shared" si="26" ref="H106:H114">1-G106</f>
        <v>0.9014598488735429</v>
      </c>
      <c r="I106" s="157"/>
    </row>
    <row r="107" spans="1:9" ht="15.75">
      <c r="A107" s="164"/>
      <c r="B107" s="165">
        <f>DATE(21,8,1)</f>
        <v>7884</v>
      </c>
      <c r="C107" s="226">
        <v>145844596.15</v>
      </c>
      <c r="D107" s="226">
        <v>14007269.2</v>
      </c>
      <c r="E107" s="226">
        <v>12772714.18</v>
      </c>
      <c r="F107" s="166">
        <f t="shared" si="24"/>
        <v>0.09665565224446286</v>
      </c>
      <c r="G107" s="241">
        <f t="shared" si="25"/>
        <v>0.09604242851475714</v>
      </c>
      <c r="H107" s="242">
        <f t="shared" si="26"/>
        <v>0.9039575714852428</v>
      </c>
      <c r="I107" s="157"/>
    </row>
    <row r="108" spans="1:9" ht="15.75">
      <c r="A108" s="164"/>
      <c r="B108" s="165">
        <f>DATE(21,9,1)</f>
        <v>7915</v>
      </c>
      <c r="C108" s="226">
        <v>143094986.73</v>
      </c>
      <c r="D108" s="226">
        <v>13534117.95</v>
      </c>
      <c r="E108" s="226">
        <v>12144964.72</v>
      </c>
      <c r="F108" s="166">
        <f t="shared" si="24"/>
        <v>0.11438100167655312</v>
      </c>
      <c r="G108" s="241">
        <f t="shared" si="25"/>
        <v>0.09458135647712779</v>
      </c>
      <c r="H108" s="242">
        <f t="shared" si="26"/>
        <v>0.9054186435228722</v>
      </c>
      <c r="I108" s="157"/>
    </row>
    <row r="109" spans="1:9" ht="15.75">
      <c r="A109" s="164"/>
      <c r="B109" s="165">
        <f>DATE(21,10,1)</f>
        <v>7945</v>
      </c>
      <c r="C109" s="226">
        <v>155067360.19</v>
      </c>
      <c r="D109" s="226">
        <v>14717532.77</v>
      </c>
      <c r="E109" s="226">
        <v>12789406.33</v>
      </c>
      <c r="F109" s="166">
        <f t="shared" si="24"/>
        <v>0.15075965140596165</v>
      </c>
      <c r="G109" s="241">
        <f t="shared" si="25"/>
        <v>0.0949105779060596</v>
      </c>
      <c r="H109" s="242">
        <f t="shared" si="26"/>
        <v>0.9050894220939404</v>
      </c>
      <c r="I109" s="157"/>
    </row>
    <row r="110" spans="1:9" ht="15.75">
      <c r="A110" s="164"/>
      <c r="B110" s="165">
        <f>DATE(21,11,1)</f>
        <v>7976</v>
      </c>
      <c r="C110" s="226">
        <v>143453865.59</v>
      </c>
      <c r="D110" s="226">
        <v>13812980.33</v>
      </c>
      <c r="E110" s="226">
        <v>11020143.83</v>
      </c>
      <c r="F110" s="166">
        <f t="shared" si="24"/>
        <v>0.2534301315012873</v>
      </c>
      <c r="G110" s="241">
        <f t="shared" si="25"/>
        <v>0.09628865888827527</v>
      </c>
      <c r="H110" s="242">
        <f t="shared" si="26"/>
        <v>0.9037113411117247</v>
      </c>
      <c r="I110" s="157"/>
    </row>
    <row r="111" spans="1:9" ht="15.75">
      <c r="A111" s="164"/>
      <c r="B111" s="165">
        <f>DATE(21,12,1)</f>
        <v>8006</v>
      </c>
      <c r="C111" s="226">
        <v>153813418.14</v>
      </c>
      <c r="D111" s="226">
        <v>14881396.94</v>
      </c>
      <c r="E111" s="226">
        <v>12188714.87</v>
      </c>
      <c r="F111" s="166">
        <f t="shared" si="24"/>
        <v>0.22091599473111642</v>
      </c>
      <c r="G111" s="241">
        <f t="shared" si="25"/>
        <v>0.09674966670628857</v>
      </c>
      <c r="H111" s="242">
        <f t="shared" si="26"/>
        <v>0.9032503332937114</v>
      </c>
      <c r="I111" s="157"/>
    </row>
    <row r="112" spans="1:9" ht="15.75">
      <c r="A112" s="164"/>
      <c r="B112" s="165">
        <f>DATE(22,1,1)</f>
        <v>8037</v>
      </c>
      <c r="C112" s="226">
        <v>138402939.88</v>
      </c>
      <c r="D112" s="226">
        <v>13218577.91</v>
      </c>
      <c r="E112" s="226">
        <v>13712800.54</v>
      </c>
      <c r="F112" s="166">
        <f t="shared" si="24"/>
        <v>-0.036040969790114</v>
      </c>
      <c r="G112" s="241">
        <f t="shared" si="25"/>
        <v>0.09550792722655278</v>
      </c>
      <c r="H112" s="242">
        <f t="shared" si="26"/>
        <v>0.9044920727734472</v>
      </c>
      <c r="I112" s="157"/>
    </row>
    <row r="113" spans="1:9" ht="15.75">
      <c r="A113" s="164"/>
      <c r="B113" s="165">
        <f>DATE(22,2,1)</f>
        <v>8068</v>
      </c>
      <c r="C113" s="226">
        <v>146170186.36</v>
      </c>
      <c r="D113" s="226">
        <v>14111261.68</v>
      </c>
      <c r="E113" s="226">
        <v>11801663.46</v>
      </c>
      <c r="F113" s="166">
        <f t="shared" si="24"/>
        <v>0.19570107449920443</v>
      </c>
      <c r="G113" s="241">
        <f t="shared" si="25"/>
        <v>0.09653994450855811</v>
      </c>
      <c r="H113" s="242">
        <f t="shared" si="26"/>
        <v>0.9034600554914419</v>
      </c>
      <c r="I113" s="157"/>
    </row>
    <row r="114" spans="1:9" ht="15.75">
      <c r="A114" s="164"/>
      <c r="B114" s="165">
        <f>DATE(22,3,1)</f>
        <v>8096</v>
      </c>
      <c r="C114" s="226">
        <v>163699710.52</v>
      </c>
      <c r="D114" s="226">
        <v>16088302.82</v>
      </c>
      <c r="E114" s="226">
        <v>17750671.77</v>
      </c>
      <c r="F114" s="166">
        <f t="shared" si="24"/>
        <v>-0.0936510443965017</v>
      </c>
      <c r="G114" s="241">
        <f t="shared" si="25"/>
        <v>0.09827936023157727</v>
      </c>
      <c r="H114" s="242">
        <f t="shared" si="26"/>
        <v>0.9017206397684228</v>
      </c>
      <c r="I114" s="157"/>
    </row>
    <row r="115" spans="1:9" ht="15.75" customHeight="1" thickBot="1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Bot="1" thickTop="1">
      <c r="A116" s="174" t="s">
        <v>14</v>
      </c>
      <c r="B116" s="181"/>
      <c r="C116" s="228">
        <f>SUM(C106:C115)</f>
        <v>1353427463.33</v>
      </c>
      <c r="D116" s="228">
        <f>SUM(D106:D115)</f>
        <v>130520238.95999998</v>
      </c>
      <c r="E116" s="228">
        <f>SUM(E106:E115)</f>
        <v>116305718.80999999</v>
      </c>
      <c r="F116" s="176">
        <f>(+D116-E116)/E116</f>
        <v>0.12221686341340787</v>
      </c>
      <c r="G116" s="245">
        <f>D116/C116</f>
        <v>0.09643681874081776</v>
      </c>
      <c r="H116" s="246">
        <f>1-G116</f>
        <v>0.9035631812591822</v>
      </c>
      <c r="I116" s="157"/>
    </row>
    <row r="117" spans="1:9" ht="15.75" thickTop="1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>
      <c r="A118" s="164" t="s">
        <v>54</v>
      </c>
      <c r="B118" s="165">
        <f>DATE(21,7,1)</f>
        <v>7853</v>
      </c>
      <c r="C118" s="226">
        <v>200357166.29</v>
      </c>
      <c r="D118" s="226">
        <v>17635283.72</v>
      </c>
      <c r="E118" s="226">
        <v>13113665.15</v>
      </c>
      <c r="F118" s="166">
        <f aca="true" t="shared" si="27" ref="F118:F126">(+D118-E118)/E118</f>
        <v>0.34480204567370687</v>
      </c>
      <c r="G118" s="241">
        <f aca="true" t="shared" si="28" ref="G118:G126">D118/C118</f>
        <v>0.0880192310889166</v>
      </c>
      <c r="H118" s="242">
        <f aca="true" t="shared" si="29" ref="H118:H126">1-G118</f>
        <v>0.9119807689110834</v>
      </c>
      <c r="I118" s="157"/>
    </row>
    <row r="119" spans="1:9" ht="15.75">
      <c r="A119" s="164"/>
      <c r="B119" s="165">
        <f>DATE(21,8,1)</f>
        <v>7884</v>
      </c>
      <c r="C119" s="226">
        <v>187880345.89</v>
      </c>
      <c r="D119" s="226">
        <v>17152915.09</v>
      </c>
      <c r="E119" s="226">
        <v>13163225.94</v>
      </c>
      <c r="F119" s="166">
        <f t="shared" si="27"/>
        <v>0.303093570541569</v>
      </c>
      <c r="G119" s="241">
        <f t="shared" si="28"/>
        <v>0.09129701677280641</v>
      </c>
      <c r="H119" s="242">
        <f t="shared" si="29"/>
        <v>0.9087029832271936</v>
      </c>
      <c r="I119" s="157"/>
    </row>
    <row r="120" spans="1:9" ht="15.75">
      <c r="A120" s="164"/>
      <c r="B120" s="165">
        <f>DATE(21,9,1)</f>
        <v>7915</v>
      </c>
      <c r="C120" s="226">
        <v>188989871.89</v>
      </c>
      <c r="D120" s="226">
        <v>16762718.67</v>
      </c>
      <c r="E120" s="226">
        <v>13632742.51</v>
      </c>
      <c r="F120" s="166">
        <f t="shared" si="27"/>
        <v>0.22959255320080127</v>
      </c>
      <c r="G120" s="241">
        <f t="shared" si="28"/>
        <v>0.08869638622622382</v>
      </c>
      <c r="H120" s="242">
        <f t="shared" si="29"/>
        <v>0.9113036137737762</v>
      </c>
      <c r="I120" s="157"/>
    </row>
    <row r="121" spans="1:9" ht="15.75">
      <c r="A121" s="164"/>
      <c r="B121" s="165">
        <f>DATE(21,10,1)</f>
        <v>7945</v>
      </c>
      <c r="C121" s="226">
        <v>196390014.61</v>
      </c>
      <c r="D121" s="226">
        <v>18368300.02</v>
      </c>
      <c r="E121" s="226">
        <v>14284849.61</v>
      </c>
      <c r="F121" s="166">
        <f t="shared" si="27"/>
        <v>0.2858588309632194</v>
      </c>
      <c r="G121" s="241">
        <f t="shared" si="28"/>
        <v>0.09352970443266467</v>
      </c>
      <c r="H121" s="242">
        <f t="shared" si="29"/>
        <v>0.9064702955673354</v>
      </c>
      <c r="I121" s="157"/>
    </row>
    <row r="122" spans="1:9" ht="15.75">
      <c r="A122" s="164"/>
      <c r="B122" s="165">
        <f>DATE(21,11,1)</f>
        <v>7976</v>
      </c>
      <c r="C122" s="226">
        <v>186554423.29</v>
      </c>
      <c r="D122" s="226">
        <v>17099113.55</v>
      </c>
      <c r="E122" s="226">
        <v>12348288.83</v>
      </c>
      <c r="F122" s="166">
        <f t="shared" si="27"/>
        <v>0.38473547107660266</v>
      </c>
      <c r="G122" s="241">
        <f t="shared" si="28"/>
        <v>0.0916575080260591</v>
      </c>
      <c r="H122" s="242">
        <f t="shared" si="29"/>
        <v>0.9083424919739409</v>
      </c>
      <c r="I122" s="157"/>
    </row>
    <row r="123" spans="1:9" ht="15.75">
      <c r="A123" s="164"/>
      <c r="B123" s="165">
        <f>DATE(21,12,1)</f>
        <v>8006</v>
      </c>
      <c r="C123" s="226">
        <v>206769172.86</v>
      </c>
      <c r="D123" s="226">
        <v>18695924.3</v>
      </c>
      <c r="E123" s="226">
        <v>12123166.43</v>
      </c>
      <c r="F123" s="166">
        <f t="shared" si="27"/>
        <v>0.5421651107366676</v>
      </c>
      <c r="G123" s="241">
        <f t="shared" si="28"/>
        <v>0.09041930207197135</v>
      </c>
      <c r="H123" s="242">
        <f t="shared" si="29"/>
        <v>0.9095806979280286</v>
      </c>
      <c r="I123" s="157"/>
    </row>
    <row r="124" spans="1:9" ht="15.75">
      <c r="A124" s="164"/>
      <c r="B124" s="165">
        <f>DATE(22,1,1)</f>
        <v>8037</v>
      </c>
      <c r="C124" s="226">
        <v>188729424.12</v>
      </c>
      <c r="D124" s="226">
        <v>16268714.7</v>
      </c>
      <c r="E124" s="226">
        <v>13355551.67</v>
      </c>
      <c r="F124" s="166">
        <f t="shared" si="27"/>
        <v>0.21812375122951394</v>
      </c>
      <c r="G124" s="241">
        <f t="shared" si="28"/>
        <v>0.08620126287067907</v>
      </c>
      <c r="H124" s="242">
        <f t="shared" si="29"/>
        <v>0.9137987371293209</v>
      </c>
      <c r="I124" s="157"/>
    </row>
    <row r="125" spans="1:9" ht="15.75">
      <c r="A125" s="164"/>
      <c r="B125" s="165">
        <f>DATE(22,2,1)</f>
        <v>8068</v>
      </c>
      <c r="C125" s="226">
        <v>187783165.44</v>
      </c>
      <c r="D125" s="226">
        <v>16850587.23</v>
      </c>
      <c r="E125" s="226">
        <v>11342744.4</v>
      </c>
      <c r="F125" s="166">
        <f t="shared" si="27"/>
        <v>0.4855829097233294</v>
      </c>
      <c r="G125" s="241">
        <f t="shared" si="28"/>
        <v>0.089734280442642</v>
      </c>
      <c r="H125" s="242">
        <f t="shared" si="29"/>
        <v>0.910265719557358</v>
      </c>
      <c r="I125" s="157"/>
    </row>
    <row r="126" spans="1:9" ht="15.75">
      <c r="A126" s="164"/>
      <c r="B126" s="165">
        <f>DATE(22,3,1)</f>
        <v>8096</v>
      </c>
      <c r="C126" s="226">
        <v>223597613.43</v>
      </c>
      <c r="D126" s="226">
        <v>20102038.1</v>
      </c>
      <c r="E126" s="226">
        <v>16919608</v>
      </c>
      <c r="F126" s="166">
        <f t="shared" si="27"/>
        <v>0.18809124301224955</v>
      </c>
      <c r="G126" s="241">
        <f t="shared" si="28"/>
        <v>0.08990273997845327</v>
      </c>
      <c r="H126" s="242">
        <f t="shared" si="29"/>
        <v>0.9100972600215467</v>
      </c>
      <c r="I126" s="157"/>
    </row>
    <row r="127" spans="1:9" ht="15.7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SUM(C118:C127)</f>
        <v>1767051197.82</v>
      </c>
      <c r="D128" s="228">
        <f>SUM(D118:D127)</f>
        <v>158935595.38</v>
      </c>
      <c r="E128" s="228">
        <f>SUM(E118:E127)</f>
        <v>120283842.54</v>
      </c>
      <c r="F128" s="176">
        <f>(+D128-E128)/E128</f>
        <v>0.3213378623745452</v>
      </c>
      <c r="G128" s="249">
        <f>D128/C128</f>
        <v>0.08994396742781298</v>
      </c>
      <c r="H128" s="270">
        <f>1-G128</f>
        <v>0.910056032572187</v>
      </c>
      <c r="I128" s="157"/>
    </row>
    <row r="129" spans="1:9" ht="15.7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>
      <c r="A130" s="164" t="s">
        <v>55</v>
      </c>
      <c r="B130" s="165">
        <f>DATE(21,7,1)</f>
        <v>7853</v>
      </c>
      <c r="C130" s="226">
        <v>32852563.39</v>
      </c>
      <c r="D130" s="226">
        <v>3540868.12</v>
      </c>
      <c r="E130" s="226">
        <v>2784731.95</v>
      </c>
      <c r="F130" s="166">
        <f aca="true" t="shared" si="30" ref="F130:F138">(+D130-E130)/E130</f>
        <v>0.27152924718660976</v>
      </c>
      <c r="G130" s="241">
        <f aca="true" t="shared" si="31" ref="G130:G138">D130/C130</f>
        <v>0.10778057340505143</v>
      </c>
      <c r="H130" s="242">
        <f aca="true" t="shared" si="32" ref="H130:H138">1-G130</f>
        <v>0.8922194265949486</v>
      </c>
      <c r="I130" s="157"/>
    </row>
    <row r="131" spans="1:9" ht="15.75">
      <c r="A131" s="164"/>
      <c r="B131" s="165">
        <f>DATE(21,8,1)</f>
        <v>7884</v>
      </c>
      <c r="C131" s="226">
        <v>29251271.52</v>
      </c>
      <c r="D131" s="226">
        <v>3115295.59</v>
      </c>
      <c r="E131" s="226">
        <v>2961173.82</v>
      </c>
      <c r="F131" s="166">
        <f t="shared" si="30"/>
        <v>0.052047525531615034</v>
      </c>
      <c r="G131" s="241">
        <f t="shared" si="31"/>
        <v>0.10650120244755773</v>
      </c>
      <c r="H131" s="242">
        <f t="shared" si="32"/>
        <v>0.8934987975524422</v>
      </c>
      <c r="I131" s="157"/>
    </row>
    <row r="132" spans="1:9" ht="15.75">
      <c r="A132" s="164"/>
      <c r="B132" s="165">
        <f>DATE(21,9,1)</f>
        <v>7915</v>
      </c>
      <c r="C132" s="226">
        <v>28714079.04</v>
      </c>
      <c r="D132" s="226">
        <v>3042841.65</v>
      </c>
      <c r="E132" s="226">
        <v>2707604.99</v>
      </c>
      <c r="F132" s="166">
        <f t="shared" si="30"/>
        <v>0.1238129864725946</v>
      </c>
      <c r="G132" s="241">
        <f t="shared" si="31"/>
        <v>0.1059703724351105</v>
      </c>
      <c r="H132" s="242">
        <f t="shared" si="32"/>
        <v>0.8940296275648895</v>
      </c>
      <c r="I132" s="157"/>
    </row>
    <row r="133" spans="1:9" ht="15.75">
      <c r="A133" s="164"/>
      <c r="B133" s="165">
        <f>DATE(21,10,1)</f>
        <v>7945</v>
      </c>
      <c r="C133" s="226">
        <v>30764540.79</v>
      </c>
      <c r="D133" s="226">
        <v>3415416.93</v>
      </c>
      <c r="E133" s="226">
        <v>2777127.87</v>
      </c>
      <c r="F133" s="166">
        <f t="shared" si="30"/>
        <v>0.22983783602301325</v>
      </c>
      <c r="G133" s="241">
        <f t="shared" si="31"/>
        <v>0.1110179720644548</v>
      </c>
      <c r="H133" s="242">
        <f t="shared" si="32"/>
        <v>0.8889820279355451</v>
      </c>
      <c r="I133" s="157"/>
    </row>
    <row r="134" spans="1:9" ht="15.75">
      <c r="A134" s="164"/>
      <c r="B134" s="165">
        <f>DATE(21,11,1)</f>
        <v>7976</v>
      </c>
      <c r="C134" s="226">
        <v>26364208.16</v>
      </c>
      <c r="D134" s="226">
        <v>3126811.29</v>
      </c>
      <c r="E134" s="226">
        <v>2545068.3</v>
      </c>
      <c r="F134" s="166">
        <f t="shared" si="30"/>
        <v>0.2285765729744857</v>
      </c>
      <c r="G134" s="241">
        <f t="shared" si="31"/>
        <v>0.11860061455378829</v>
      </c>
      <c r="H134" s="242">
        <f t="shared" si="32"/>
        <v>0.8813993854462117</v>
      </c>
      <c r="I134" s="157"/>
    </row>
    <row r="135" spans="1:9" ht="15.75">
      <c r="A135" s="164"/>
      <c r="B135" s="165">
        <f>DATE(21,12,1)</f>
        <v>8006</v>
      </c>
      <c r="C135" s="226">
        <v>28863732.34</v>
      </c>
      <c r="D135" s="226">
        <v>3080901.79</v>
      </c>
      <c r="E135" s="226">
        <v>3275319.33</v>
      </c>
      <c r="F135" s="166">
        <f t="shared" si="30"/>
        <v>-0.05935834659517002</v>
      </c>
      <c r="G135" s="241">
        <f t="shared" si="31"/>
        <v>0.10673954960878078</v>
      </c>
      <c r="H135" s="242">
        <f t="shared" si="32"/>
        <v>0.8932604503912193</v>
      </c>
      <c r="I135" s="157"/>
    </row>
    <row r="136" spans="1:9" ht="15.75">
      <c r="A136" s="164"/>
      <c r="B136" s="165">
        <f>DATE(22,1,1)</f>
        <v>8037</v>
      </c>
      <c r="C136" s="226">
        <v>25072068.11</v>
      </c>
      <c r="D136" s="226">
        <v>2697598.25</v>
      </c>
      <c r="E136" s="226">
        <v>3376789.13</v>
      </c>
      <c r="F136" s="166">
        <f t="shared" si="30"/>
        <v>-0.2011351179633772</v>
      </c>
      <c r="G136" s="241">
        <f t="shared" si="31"/>
        <v>0.10759376682309117</v>
      </c>
      <c r="H136" s="242">
        <f t="shared" si="32"/>
        <v>0.8924062331769088</v>
      </c>
      <c r="I136" s="157"/>
    </row>
    <row r="137" spans="1:9" ht="15.75">
      <c r="A137" s="164"/>
      <c r="B137" s="165">
        <f>DATE(22,2,1)</f>
        <v>8068</v>
      </c>
      <c r="C137" s="226">
        <v>25705348.33</v>
      </c>
      <c r="D137" s="226">
        <v>2911358.37</v>
      </c>
      <c r="E137" s="226">
        <v>2596549.7</v>
      </c>
      <c r="F137" s="166">
        <f t="shared" si="30"/>
        <v>0.12124114936063034</v>
      </c>
      <c r="G137" s="241">
        <f t="shared" si="31"/>
        <v>0.11325885697499903</v>
      </c>
      <c r="H137" s="242">
        <f t="shared" si="32"/>
        <v>0.886741143025001</v>
      </c>
      <c r="I137" s="157"/>
    </row>
    <row r="138" spans="1:9" ht="15.75">
      <c r="A138" s="164"/>
      <c r="B138" s="165">
        <f>DATE(22,3,1)</f>
        <v>8096</v>
      </c>
      <c r="C138" s="226">
        <v>30885456.42</v>
      </c>
      <c r="D138" s="226">
        <v>3443177.29</v>
      </c>
      <c r="E138" s="226">
        <v>4129956.27</v>
      </c>
      <c r="F138" s="166">
        <f t="shared" si="30"/>
        <v>-0.16629207069061774</v>
      </c>
      <c r="G138" s="241">
        <f t="shared" si="31"/>
        <v>0.11148215662341181</v>
      </c>
      <c r="H138" s="242">
        <f t="shared" si="32"/>
        <v>0.8885178433765882</v>
      </c>
      <c r="I138" s="157"/>
    </row>
    <row r="139" spans="1:9" ht="15.7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Bot="1" thickTop="1">
      <c r="A140" s="182" t="s">
        <v>14</v>
      </c>
      <c r="B140" s="183"/>
      <c r="C140" s="230">
        <f>SUM(C130:C139)</f>
        <v>258473268.09999996</v>
      </c>
      <c r="D140" s="230">
        <f>SUM(D130:D139)</f>
        <v>28374269.279999997</v>
      </c>
      <c r="E140" s="230">
        <f>SUM(E130:E139)</f>
        <v>27154321.359999996</v>
      </c>
      <c r="F140" s="176">
        <f>(+D140-E140)/E140</f>
        <v>0.044926474273706614</v>
      </c>
      <c r="G140" s="249">
        <f>D140/C140</f>
        <v>0.10977641706848525</v>
      </c>
      <c r="H140" s="246">
        <f>1-G140</f>
        <v>0.8902235829315147</v>
      </c>
      <c r="I140" s="157"/>
    </row>
    <row r="141" spans="1:9" ht="15.7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>
      <c r="A142" s="164" t="s">
        <v>37</v>
      </c>
      <c r="B142" s="165">
        <f>DATE(21,7,1)</f>
        <v>7853</v>
      </c>
      <c r="C142" s="226">
        <v>233748610.44</v>
      </c>
      <c r="D142" s="226">
        <v>21441670.74</v>
      </c>
      <c r="E142" s="226">
        <v>17781520.26</v>
      </c>
      <c r="F142" s="166">
        <f aca="true" t="shared" si="33" ref="F142:F150">(+D142-E142)/E142</f>
        <v>0.20584013214177202</v>
      </c>
      <c r="G142" s="241">
        <f aca="true" t="shared" si="34" ref="G142:G150">D142/C142</f>
        <v>0.0917296179842052</v>
      </c>
      <c r="H142" s="242">
        <f aca="true" t="shared" si="35" ref="H142:H150">1-G142</f>
        <v>0.9082703820157948</v>
      </c>
      <c r="I142" s="157"/>
    </row>
    <row r="143" spans="1:9" ht="15.75">
      <c r="A143" s="164"/>
      <c r="B143" s="165">
        <f>DATE(21,8,1)</f>
        <v>7884</v>
      </c>
      <c r="C143" s="226">
        <v>213172987.47</v>
      </c>
      <c r="D143" s="226">
        <v>19679228.6</v>
      </c>
      <c r="E143" s="226">
        <v>17286123.99</v>
      </c>
      <c r="F143" s="166">
        <f t="shared" si="33"/>
        <v>0.13844078703730295</v>
      </c>
      <c r="G143" s="241">
        <f t="shared" si="34"/>
        <v>0.09231577055591753</v>
      </c>
      <c r="H143" s="242">
        <f t="shared" si="35"/>
        <v>0.9076842294440824</v>
      </c>
      <c r="I143" s="157"/>
    </row>
    <row r="144" spans="1:9" ht="15.75">
      <c r="A144" s="164"/>
      <c r="B144" s="165">
        <f>DATE(21,9,1)</f>
        <v>7915</v>
      </c>
      <c r="C144" s="226">
        <v>211086159.19</v>
      </c>
      <c r="D144" s="226">
        <v>19466571.38</v>
      </c>
      <c r="E144" s="226">
        <v>16702603.76</v>
      </c>
      <c r="F144" s="166">
        <f t="shared" si="33"/>
        <v>0.16548124230901345</v>
      </c>
      <c r="G144" s="241">
        <f t="shared" si="34"/>
        <v>0.09222097486021343</v>
      </c>
      <c r="H144" s="242">
        <f t="shared" si="35"/>
        <v>0.9077790251397866</v>
      </c>
      <c r="I144" s="157"/>
    </row>
    <row r="145" spans="1:9" ht="15.75">
      <c r="A145" s="164"/>
      <c r="B145" s="165">
        <f>DATE(21,10,1)</f>
        <v>7945</v>
      </c>
      <c r="C145" s="226">
        <v>221465276.75</v>
      </c>
      <c r="D145" s="226">
        <v>20992171.95</v>
      </c>
      <c r="E145" s="226">
        <v>17754592.84</v>
      </c>
      <c r="F145" s="166">
        <f t="shared" si="33"/>
        <v>0.1823516393293984</v>
      </c>
      <c r="G145" s="241">
        <f t="shared" si="34"/>
        <v>0.09478764462790666</v>
      </c>
      <c r="H145" s="242">
        <f t="shared" si="35"/>
        <v>0.9052123553720933</v>
      </c>
      <c r="I145" s="157"/>
    </row>
    <row r="146" spans="1:9" ht="15.75">
      <c r="A146" s="164"/>
      <c r="B146" s="165">
        <f>DATE(21,11,1)</f>
        <v>7976</v>
      </c>
      <c r="C146" s="226">
        <v>210964434.35</v>
      </c>
      <c r="D146" s="226">
        <v>19425579.76</v>
      </c>
      <c r="E146" s="226">
        <v>15307588.33</v>
      </c>
      <c r="F146" s="166">
        <f t="shared" si="33"/>
        <v>0.2690163428245265</v>
      </c>
      <c r="G146" s="241">
        <f t="shared" si="34"/>
        <v>0.09207987981411143</v>
      </c>
      <c r="H146" s="242">
        <f t="shared" si="35"/>
        <v>0.9079201201858885</v>
      </c>
      <c r="I146" s="157"/>
    </row>
    <row r="147" spans="1:9" ht="15.75">
      <c r="A147" s="164"/>
      <c r="B147" s="165">
        <f>DATE(21,12,1)</f>
        <v>8006</v>
      </c>
      <c r="C147" s="226">
        <v>232501845.03</v>
      </c>
      <c r="D147" s="226">
        <v>21621662.72</v>
      </c>
      <c r="E147" s="226">
        <v>19390114.29</v>
      </c>
      <c r="F147" s="166">
        <f t="shared" si="33"/>
        <v>0.11508691473525089</v>
      </c>
      <c r="G147" s="241">
        <f t="shared" si="34"/>
        <v>0.09299566081813299</v>
      </c>
      <c r="H147" s="242">
        <f t="shared" si="35"/>
        <v>0.907004339181867</v>
      </c>
      <c r="I147" s="157"/>
    </row>
    <row r="148" spans="1:9" ht="15.75">
      <c r="A148" s="164"/>
      <c r="B148" s="165">
        <f>DATE(22,1,1)</f>
        <v>8037</v>
      </c>
      <c r="C148" s="226">
        <v>205128645.43</v>
      </c>
      <c r="D148" s="226">
        <v>18690342.72</v>
      </c>
      <c r="E148" s="226">
        <v>21258869.32</v>
      </c>
      <c r="F148" s="166">
        <f t="shared" si="33"/>
        <v>-0.12082141158766017</v>
      </c>
      <c r="G148" s="241">
        <f t="shared" si="34"/>
        <v>0.0911152251837887</v>
      </c>
      <c r="H148" s="242">
        <f t="shared" si="35"/>
        <v>0.9088847748162113</v>
      </c>
      <c r="I148" s="157"/>
    </row>
    <row r="149" spans="1:9" ht="15.75">
      <c r="A149" s="164"/>
      <c r="B149" s="165">
        <f>DATE(22,2,1)</f>
        <v>8068</v>
      </c>
      <c r="C149" s="226">
        <v>199609422.41</v>
      </c>
      <c r="D149" s="226">
        <v>18139556.95</v>
      </c>
      <c r="E149" s="226">
        <v>17430403.5</v>
      </c>
      <c r="F149" s="166">
        <f t="shared" si="33"/>
        <v>0.040684855631712674</v>
      </c>
      <c r="G149" s="241">
        <f t="shared" si="34"/>
        <v>0.09087525393836943</v>
      </c>
      <c r="H149" s="242">
        <f t="shared" si="35"/>
        <v>0.9091247460616305</v>
      </c>
      <c r="I149" s="157"/>
    </row>
    <row r="150" spans="1:9" ht="15.75">
      <c r="A150" s="164"/>
      <c r="B150" s="165">
        <f>DATE(22,3,1)</f>
        <v>8096</v>
      </c>
      <c r="C150" s="226">
        <v>230766252.42</v>
      </c>
      <c r="D150" s="226">
        <v>21560181.28</v>
      </c>
      <c r="E150" s="226">
        <v>23210435.77</v>
      </c>
      <c r="F150" s="166">
        <f t="shared" si="33"/>
        <v>-0.07109967716043439</v>
      </c>
      <c r="G150" s="241">
        <f t="shared" si="34"/>
        <v>0.0934286580204109</v>
      </c>
      <c r="H150" s="242">
        <f t="shared" si="35"/>
        <v>0.9065713419795891</v>
      </c>
      <c r="I150" s="157"/>
    </row>
    <row r="151" spans="1:9" ht="15.75" thickBot="1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Bot="1" thickTop="1">
      <c r="A152" s="174" t="s">
        <v>14</v>
      </c>
      <c r="B152" s="175"/>
      <c r="C152" s="228">
        <f>SUM(C142:C151)</f>
        <v>1958443633.49</v>
      </c>
      <c r="D152" s="228">
        <f>SUM(D142:D151)</f>
        <v>181016966.1</v>
      </c>
      <c r="E152" s="228">
        <f>SUM(E142:E151)</f>
        <v>166122252.06</v>
      </c>
      <c r="F152" s="176">
        <f>(+D152-E152)/E152</f>
        <v>0.08966116131522417</v>
      </c>
      <c r="G152" s="245">
        <f>D152/C152</f>
        <v>0.09242898953258247</v>
      </c>
      <c r="H152" s="246">
        <f>1-G152</f>
        <v>0.9075710104674175</v>
      </c>
      <c r="I152" s="157"/>
    </row>
    <row r="153" spans="1:9" ht="15.75" thickTop="1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>
      <c r="A154" s="164" t="s">
        <v>58</v>
      </c>
      <c r="B154" s="165">
        <f>DATE(21,7,1)</f>
        <v>7853</v>
      </c>
      <c r="C154" s="226">
        <v>34083326.16</v>
      </c>
      <c r="D154" s="226">
        <v>3963905.07</v>
      </c>
      <c r="E154" s="226">
        <v>3357321.79</v>
      </c>
      <c r="F154" s="166">
        <f aca="true" t="shared" si="36" ref="F154:F162">(+D154-E154)/E154</f>
        <v>0.18067475146610829</v>
      </c>
      <c r="G154" s="241">
        <f aca="true" t="shared" si="37" ref="G154:G162">D154/C154</f>
        <v>0.11630041772894856</v>
      </c>
      <c r="H154" s="242">
        <f aca="true" t="shared" si="38" ref="H154:H162">1-G154</f>
        <v>0.8836995822710514</v>
      </c>
      <c r="I154" s="157"/>
    </row>
    <row r="155" spans="1:9" ht="15.75">
      <c r="A155" s="164"/>
      <c r="B155" s="165">
        <f>DATE(21,8,1)</f>
        <v>7884</v>
      </c>
      <c r="C155" s="226">
        <v>34540166.32</v>
      </c>
      <c r="D155" s="226">
        <v>3797696.16</v>
      </c>
      <c r="E155" s="226">
        <v>3360444.04</v>
      </c>
      <c r="F155" s="166">
        <f t="shared" si="36"/>
        <v>0.13011736389456438</v>
      </c>
      <c r="G155" s="241">
        <f t="shared" si="37"/>
        <v>0.10995014108548161</v>
      </c>
      <c r="H155" s="242">
        <f t="shared" si="38"/>
        <v>0.8900498589145184</v>
      </c>
      <c r="I155" s="157"/>
    </row>
    <row r="156" spans="1:9" ht="15.75">
      <c r="A156" s="164"/>
      <c r="B156" s="165">
        <f>DATE(21,9,1)</f>
        <v>7915</v>
      </c>
      <c r="C156" s="226">
        <v>32245918.62</v>
      </c>
      <c r="D156" s="226">
        <v>3519488.37</v>
      </c>
      <c r="E156" s="226">
        <v>3031984.28</v>
      </c>
      <c r="F156" s="166">
        <f t="shared" si="36"/>
        <v>0.16078714299930352</v>
      </c>
      <c r="G156" s="241">
        <f t="shared" si="37"/>
        <v>0.10914523513735767</v>
      </c>
      <c r="H156" s="242">
        <f t="shared" si="38"/>
        <v>0.8908547648626424</v>
      </c>
      <c r="I156" s="157"/>
    </row>
    <row r="157" spans="1:9" ht="15.75">
      <c r="A157" s="164"/>
      <c r="B157" s="165">
        <f>DATE(21,10,1)</f>
        <v>7945</v>
      </c>
      <c r="C157" s="226">
        <v>35165394.68</v>
      </c>
      <c r="D157" s="226">
        <v>3955357.96</v>
      </c>
      <c r="E157" s="226">
        <v>2770053.12</v>
      </c>
      <c r="F157" s="166">
        <f t="shared" si="36"/>
        <v>0.42789967868919415</v>
      </c>
      <c r="G157" s="241">
        <f t="shared" si="37"/>
        <v>0.11247870231496575</v>
      </c>
      <c r="H157" s="242">
        <f t="shared" si="38"/>
        <v>0.8875212976850343</v>
      </c>
      <c r="I157" s="157"/>
    </row>
    <row r="158" spans="1:9" ht="15.75">
      <c r="A158" s="164"/>
      <c r="B158" s="165">
        <f>DATE(21,11,1)</f>
        <v>7976</v>
      </c>
      <c r="C158" s="226">
        <v>32606589.75</v>
      </c>
      <c r="D158" s="226">
        <v>3600834.91</v>
      </c>
      <c r="E158" s="226">
        <v>2396488.16</v>
      </c>
      <c r="F158" s="166">
        <f t="shared" si="36"/>
        <v>0.5025465053831102</v>
      </c>
      <c r="G158" s="241">
        <f t="shared" si="37"/>
        <v>0.110432735763175</v>
      </c>
      <c r="H158" s="242">
        <f t="shared" si="38"/>
        <v>0.889567264236825</v>
      </c>
      <c r="I158" s="157"/>
    </row>
    <row r="159" spans="1:9" ht="15.75">
      <c r="A159" s="164"/>
      <c r="B159" s="165">
        <f>DATE(21,12,1)</f>
        <v>8006</v>
      </c>
      <c r="C159" s="226">
        <v>36407288.43</v>
      </c>
      <c r="D159" s="226">
        <v>3929490.08</v>
      </c>
      <c r="E159" s="226">
        <v>2648752.51</v>
      </c>
      <c r="F159" s="166">
        <f t="shared" si="36"/>
        <v>0.4835248159896979</v>
      </c>
      <c r="G159" s="241">
        <f t="shared" si="37"/>
        <v>0.10793141289704118</v>
      </c>
      <c r="H159" s="242">
        <f t="shared" si="38"/>
        <v>0.8920685871029588</v>
      </c>
      <c r="I159" s="157"/>
    </row>
    <row r="160" spans="1:9" ht="15.75">
      <c r="A160" s="164"/>
      <c r="B160" s="165">
        <f>DATE(22,1,1)</f>
        <v>8037</v>
      </c>
      <c r="C160" s="226">
        <v>30326927.2</v>
      </c>
      <c r="D160" s="226">
        <v>3412089.33</v>
      </c>
      <c r="E160" s="226">
        <v>3041407.25</v>
      </c>
      <c r="F160" s="166">
        <f t="shared" si="36"/>
        <v>0.12187847582726716</v>
      </c>
      <c r="G160" s="241">
        <f t="shared" si="37"/>
        <v>0.11251022259848338</v>
      </c>
      <c r="H160" s="242">
        <f t="shared" si="38"/>
        <v>0.8874897774015166</v>
      </c>
      <c r="I160" s="157"/>
    </row>
    <row r="161" spans="1:9" ht="15.75">
      <c r="A161" s="164"/>
      <c r="B161" s="165">
        <f>DATE(22,2,1)</f>
        <v>8068</v>
      </c>
      <c r="C161" s="226">
        <v>34706950.13</v>
      </c>
      <c r="D161" s="226">
        <v>3898386.72</v>
      </c>
      <c r="E161" s="226">
        <v>2699820.17</v>
      </c>
      <c r="F161" s="166">
        <f t="shared" si="36"/>
        <v>0.4439431052920833</v>
      </c>
      <c r="G161" s="241">
        <f t="shared" si="37"/>
        <v>0.112322941237937</v>
      </c>
      <c r="H161" s="242">
        <f t="shared" si="38"/>
        <v>0.887677058762063</v>
      </c>
      <c r="I161" s="157"/>
    </row>
    <row r="162" spans="1:9" ht="15.75">
      <c r="A162" s="164"/>
      <c r="B162" s="165">
        <f>DATE(22,3,1)</f>
        <v>8096</v>
      </c>
      <c r="C162" s="226">
        <v>38299066.33</v>
      </c>
      <c r="D162" s="226">
        <v>4277132.01</v>
      </c>
      <c r="E162" s="226">
        <v>4317336.44</v>
      </c>
      <c r="F162" s="166">
        <f t="shared" si="36"/>
        <v>-0.009312322669020585</v>
      </c>
      <c r="G162" s="241">
        <f t="shared" si="37"/>
        <v>0.11167718745795337</v>
      </c>
      <c r="H162" s="242">
        <f t="shared" si="38"/>
        <v>0.8883228125420466</v>
      </c>
      <c r="I162" s="157"/>
    </row>
    <row r="163" spans="1:9" ht="15.7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Bot="1" thickTop="1">
      <c r="A164" s="169" t="s">
        <v>14</v>
      </c>
      <c r="B164" s="155"/>
      <c r="C164" s="223">
        <f>SUM(C154:C163)</f>
        <v>308381627.62</v>
      </c>
      <c r="D164" s="223">
        <f>SUM(D154:D163)</f>
        <v>34354380.61</v>
      </c>
      <c r="E164" s="223">
        <f>SUM(E154:E163)</f>
        <v>27623607.76</v>
      </c>
      <c r="F164" s="176">
        <f>(+D164-E164)/E164</f>
        <v>0.2436601659159961</v>
      </c>
      <c r="G164" s="245">
        <f>D164/C164</f>
        <v>0.11140216385501675</v>
      </c>
      <c r="H164" s="246">
        <f>1-G164</f>
        <v>0.8885978361449832</v>
      </c>
      <c r="I164" s="157"/>
    </row>
    <row r="165" spans="1:9" ht="16.5" thickBot="1" thickTop="1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Bot="1" thickTop="1">
      <c r="A166" s="184" t="s">
        <v>38</v>
      </c>
      <c r="B166" s="155"/>
      <c r="C166" s="223">
        <f>C164+C152+C116+C92+C68+C44+C20+C56+C140+C32+C104+C128+C80</f>
        <v>12585014193.070002</v>
      </c>
      <c r="D166" s="223">
        <f>D164+D152+D116+D92+D68+D44+D20+D56+D140+D32+D104+D128+D80</f>
        <v>1217250321.6200001</v>
      </c>
      <c r="E166" s="223">
        <f>E164+E152+E116+E92+E68+E44+E20+E56+E140+E32+E104+E128+E80</f>
        <v>1063344959.4799999</v>
      </c>
      <c r="F166" s="170">
        <f>(+D166-E166)/E166</f>
        <v>0.1447370025765331</v>
      </c>
      <c r="G166" s="236">
        <f>D166/C166</f>
        <v>0.09672220491338697</v>
      </c>
      <c r="H166" s="237">
        <f>1-G166</f>
        <v>0.903277795086613</v>
      </c>
      <c r="I166" s="157"/>
    </row>
    <row r="167" spans="1:9" ht="17.25" thickBot="1" thickTop="1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Bot="1" thickTop="1">
      <c r="A168" s="184" t="s">
        <v>39</v>
      </c>
      <c r="B168" s="155"/>
      <c r="C168" s="223">
        <f>SUM(C18+C30+C42+C54+C66+C78+C90+C102+C114+C126+C138+C150+C162)</f>
        <v>1545278490.22</v>
      </c>
      <c r="D168" s="223">
        <f>SUM(D18+D30+D42+D54+D66+D78+D90+D102+D114+D126+D138+D150+D162)</f>
        <v>150664856.26999998</v>
      </c>
      <c r="E168" s="223">
        <f>SUM(E18+E30+E42+E54+E66+E78+E90+E102+E114+E126+E138+E150+E162)</f>
        <v>155058639.41</v>
      </c>
      <c r="F168" s="170">
        <f>(+D168-E168)/E168</f>
        <v>-0.028336267857878888</v>
      </c>
      <c r="G168" s="236">
        <f>D168/C168</f>
        <v>0.09750013167435596</v>
      </c>
      <c r="H168" s="246">
        <f>1-G168</f>
        <v>0.902499868325644</v>
      </c>
      <c r="I168" s="157"/>
    </row>
    <row r="169" spans="1:9" ht="16.5" thickTop="1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>
      <c r="A170" s="188" t="s">
        <v>49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.7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.75">
      <c r="A172" s="72"/>
      <c r="I172" s="151"/>
    </row>
  </sheetData>
  <sheetProtection/>
  <printOptions horizontalCentered="1"/>
  <pageMargins left="0.75" right="0.25" top="0.3194" bottom="0.2" header="0.5" footer="0.5"/>
  <pageSetup horizontalDpi="600" verticalDpi="600" orientation="landscape" scale="56" r:id="rId1"/>
  <rowBreaks count="3" manualBreakCount="3">
    <brk id="56" max="8" man="1"/>
    <brk id="104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2022-04-07T13:47:14Z</cp:lastPrinted>
  <dcterms:created xsi:type="dcterms:W3CDTF">2003-09-09T14:41:43Z</dcterms:created>
  <dcterms:modified xsi:type="dcterms:W3CDTF">2022-04-07T21:02:11Z</dcterms:modified>
  <cp:category/>
  <cp:version/>
  <cp:contentType/>
  <cp:contentStatus/>
</cp:coreProperties>
</file>