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STATS'!$A$1:$M$130</definedName>
    <definedName name="_xlnm.Print_Area" localSheetId="4">'SLOT STATS'!$A$1:$I$131</definedName>
    <definedName name="_xlnm.Print_Area" localSheetId="2">'TABLE STATS'!$A$1:$H$130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E129" i="4" l="1"/>
  <c r="D129" i="4"/>
  <c r="C129" i="4"/>
  <c r="F123" i="4"/>
  <c r="G123" i="4"/>
  <c r="H123" i="4"/>
  <c r="F114" i="4"/>
  <c r="G114" i="4"/>
  <c r="H114" i="4" s="1"/>
  <c r="F105" i="4"/>
  <c r="G105" i="4"/>
  <c r="H105" i="4" s="1"/>
  <c r="F96" i="4"/>
  <c r="G96" i="4"/>
  <c r="H96" i="4"/>
  <c r="F87" i="4"/>
  <c r="G87" i="4"/>
  <c r="H87" i="4"/>
  <c r="F78" i="4"/>
  <c r="G78" i="4"/>
  <c r="H78" i="4" s="1"/>
  <c r="F69" i="4"/>
  <c r="G69" i="4"/>
  <c r="H69" i="4" s="1"/>
  <c r="F60" i="4"/>
  <c r="G60" i="4"/>
  <c r="H60" i="4"/>
  <c r="F51" i="4"/>
  <c r="G51" i="4"/>
  <c r="H51" i="4"/>
  <c r="F42" i="4"/>
  <c r="G42" i="4"/>
  <c r="H42" i="4" s="1"/>
  <c r="F33" i="4"/>
  <c r="G33" i="4"/>
  <c r="H33" i="4" s="1"/>
  <c r="F24" i="4"/>
  <c r="G24" i="4"/>
  <c r="H24" i="4"/>
  <c r="F15" i="4"/>
  <c r="G15" i="4"/>
  <c r="H15" i="4"/>
  <c r="B123" i="4"/>
  <c r="B114" i="4"/>
  <c r="B105" i="4"/>
  <c r="B96" i="4"/>
  <c r="B87" i="4"/>
  <c r="B78" i="4"/>
  <c r="B69" i="4"/>
  <c r="B60" i="4"/>
  <c r="B51" i="4"/>
  <c r="B42" i="4"/>
  <c r="B33" i="4"/>
  <c r="B24" i="4"/>
  <c r="B15" i="4"/>
  <c r="E129" i="5"/>
  <c r="D129" i="5"/>
  <c r="C129" i="5"/>
  <c r="G78" i="5"/>
  <c r="H78" i="5" s="1"/>
  <c r="B123" i="5"/>
  <c r="B114" i="5"/>
  <c r="B105" i="5"/>
  <c r="B96" i="5"/>
  <c r="B87" i="5"/>
  <c r="B78" i="5"/>
  <c r="B69" i="5"/>
  <c r="B60" i="5"/>
  <c r="B51" i="5"/>
  <c r="B42" i="5"/>
  <c r="B33" i="5"/>
  <c r="B24" i="5"/>
  <c r="B15" i="5"/>
  <c r="E128" i="3"/>
  <c r="D128" i="3"/>
  <c r="G128" i="3" s="1"/>
  <c r="C128" i="3"/>
  <c r="F122" i="3"/>
  <c r="G122" i="3"/>
  <c r="F113" i="3"/>
  <c r="G113" i="3"/>
  <c r="F104" i="3"/>
  <c r="G104" i="3"/>
  <c r="F95" i="3"/>
  <c r="G95" i="3"/>
  <c r="F86" i="3"/>
  <c r="G86" i="3"/>
  <c r="F77" i="3"/>
  <c r="G77" i="3"/>
  <c r="F68" i="3"/>
  <c r="G68" i="3"/>
  <c r="F59" i="3"/>
  <c r="G59" i="3"/>
  <c r="F50" i="3"/>
  <c r="G50" i="3"/>
  <c r="F41" i="3"/>
  <c r="G41" i="3"/>
  <c r="F32" i="3"/>
  <c r="G32" i="3"/>
  <c r="F23" i="3"/>
  <c r="G23" i="3"/>
  <c r="F14" i="3"/>
  <c r="G14" i="3"/>
  <c r="B122" i="3"/>
  <c r="B113" i="3"/>
  <c r="B104" i="3"/>
  <c r="B95" i="3"/>
  <c r="B86" i="3"/>
  <c r="B77" i="3"/>
  <c r="B68" i="3"/>
  <c r="B59" i="3"/>
  <c r="B50" i="3"/>
  <c r="B41" i="3"/>
  <c r="B32" i="3"/>
  <c r="B23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36" i="2"/>
  <c r="A15" i="2"/>
  <c r="G30" i="1"/>
  <c r="F74" i="1"/>
  <c r="F112" i="1"/>
  <c r="L128" i="1"/>
  <c r="K128" i="1"/>
  <c r="D128" i="1"/>
  <c r="C128" i="1"/>
  <c r="M122" i="1"/>
  <c r="I122" i="1"/>
  <c r="J122" i="1"/>
  <c r="G122" i="1"/>
  <c r="F122" i="1"/>
  <c r="H122" i="1" s="1"/>
  <c r="E122" i="1"/>
  <c r="M113" i="1"/>
  <c r="I113" i="1"/>
  <c r="J113" i="1"/>
  <c r="G113" i="1"/>
  <c r="F113" i="1"/>
  <c r="H113" i="1" s="1"/>
  <c r="E113" i="1"/>
  <c r="H104" i="1"/>
  <c r="M104" i="1"/>
  <c r="I104" i="1"/>
  <c r="G104" i="1"/>
  <c r="F104" i="1"/>
  <c r="J104" i="1" s="1"/>
  <c r="E104" i="1"/>
  <c r="M95" i="1"/>
  <c r="I95" i="1"/>
  <c r="G95" i="1"/>
  <c r="F95" i="1"/>
  <c r="H95" i="1" s="1"/>
  <c r="E95" i="1"/>
  <c r="M86" i="1"/>
  <c r="I86" i="1"/>
  <c r="J86" i="1"/>
  <c r="G86" i="1"/>
  <c r="H86" i="1" s="1"/>
  <c r="F86" i="1"/>
  <c r="E86" i="1"/>
  <c r="M77" i="1"/>
  <c r="I77" i="1"/>
  <c r="J77" i="1"/>
  <c r="G77" i="1"/>
  <c r="F77" i="1"/>
  <c r="H77" i="1" s="1"/>
  <c r="E77" i="1"/>
  <c r="M68" i="1"/>
  <c r="I68" i="1"/>
  <c r="G68" i="1"/>
  <c r="F68" i="1"/>
  <c r="H68" i="1" s="1"/>
  <c r="E68" i="1"/>
  <c r="M59" i="1"/>
  <c r="I59" i="1"/>
  <c r="J59" i="1"/>
  <c r="G59" i="1"/>
  <c r="H59" i="1" s="1"/>
  <c r="F59" i="1"/>
  <c r="E59" i="1"/>
  <c r="H50" i="1"/>
  <c r="M50" i="1"/>
  <c r="I50" i="1"/>
  <c r="G50" i="1"/>
  <c r="F50" i="1"/>
  <c r="J50" i="1" s="1"/>
  <c r="E50" i="1"/>
  <c r="M41" i="1"/>
  <c r="I41" i="1"/>
  <c r="G41" i="1"/>
  <c r="F41" i="1"/>
  <c r="H41" i="1" s="1"/>
  <c r="E41" i="1"/>
  <c r="M32" i="1"/>
  <c r="I32" i="1"/>
  <c r="G32" i="1"/>
  <c r="G128" i="1" s="1"/>
  <c r="F32" i="1"/>
  <c r="H32" i="1" s="1"/>
  <c r="E32" i="1"/>
  <c r="M23" i="1"/>
  <c r="I23" i="1"/>
  <c r="J23" i="1"/>
  <c r="G23" i="1"/>
  <c r="F23" i="1"/>
  <c r="H23" i="1" s="1"/>
  <c r="E23" i="1"/>
  <c r="M14" i="1"/>
  <c r="I14" i="1"/>
  <c r="J14" i="1"/>
  <c r="G14" i="1"/>
  <c r="H14" i="1" s="1"/>
  <c r="F14" i="1"/>
  <c r="F128" i="1" s="1"/>
  <c r="E14" i="1"/>
  <c r="B122" i="1"/>
  <c r="B113" i="1"/>
  <c r="B104" i="1"/>
  <c r="B95" i="1"/>
  <c r="B86" i="1"/>
  <c r="B77" i="1"/>
  <c r="B68" i="1"/>
  <c r="B59" i="1"/>
  <c r="B50" i="1"/>
  <c r="B41" i="1"/>
  <c r="B32" i="1"/>
  <c r="B23" i="1"/>
  <c r="B14" i="1"/>
  <c r="F122" i="4"/>
  <c r="G122" i="4"/>
  <c r="H122" i="4"/>
  <c r="F113" i="4"/>
  <c r="G113" i="4"/>
  <c r="H113" i="4" s="1"/>
  <c r="F104" i="4"/>
  <c r="G104" i="4"/>
  <c r="H104" i="4" s="1"/>
  <c r="F95" i="4"/>
  <c r="G95" i="4"/>
  <c r="H95" i="4"/>
  <c r="F86" i="4"/>
  <c r="G86" i="4"/>
  <c r="H86" i="4"/>
  <c r="F77" i="4"/>
  <c r="G77" i="4"/>
  <c r="H77" i="4" s="1"/>
  <c r="F68" i="4"/>
  <c r="G68" i="4"/>
  <c r="H68" i="4" s="1"/>
  <c r="F59" i="4"/>
  <c r="G59" i="4"/>
  <c r="H59" i="4"/>
  <c r="F50" i="4"/>
  <c r="G50" i="4"/>
  <c r="H50" i="4"/>
  <c r="F41" i="4"/>
  <c r="G41" i="4"/>
  <c r="H41" i="4" s="1"/>
  <c r="F32" i="4"/>
  <c r="G32" i="4"/>
  <c r="H32" i="4" s="1"/>
  <c r="F23" i="4"/>
  <c r="G23" i="4"/>
  <c r="H23" i="4"/>
  <c r="F14" i="4"/>
  <c r="G14" i="4"/>
  <c r="H14" i="4"/>
  <c r="B122" i="4"/>
  <c r="B113" i="4"/>
  <c r="B104" i="4"/>
  <c r="B95" i="4"/>
  <c r="B86" i="4"/>
  <c r="B77" i="4"/>
  <c r="B68" i="4"/>
  <c r="B59" i="4"/>
  <c r="B50" i="4"/>
  <c r="B41" i="4"/>
  <c r="B32" i="4"/>
  <c r="B23" i="4"/>
  <c r="B14" i="4"/>
  <c r="G77" i="5"/>
  <c r="H77" i="5" s="1"/>
  <c r="B122" i="5"/>
  <c r="B113" i="5"/>
  <c r="B104" i="5"/>
  <c r="B95" i="5"/>
  <c r="B86" i="5"/>
  <c r="B77" i="5"/>
  <c r="B68" i="5"/>
  <c r="B59" i="5"/>
  <c r="B50" i="5"/>
  <c r="B41" i="5"/>
  <c r="B32" i="5"/>
  <c r="B23" i="5"/>
  <c r="B14" i="5"/>
  <c r="F128" i="3"/>
  <c r="F121" i="3"/>
  <c r="G121" i="3"/>
  <c r="F112" i="3"/>
  <c r="G112" i="3"/>
  <c r="F103" i="3"/>
  <c r="G103" i="3"/>
  <c r="F94" i="3"/>
  <c r="G94" i="3"/>
  <c r="F85" i="3"/>
  <c r="G85" i="3"/>
  <c r="F76" i="3"/>
  <c r="G76" i="3"/>
  <c r="F67" i="3"/>
  <c r="G67" i="3"/>
  <c r="F58" i="3"/>
  <c r="G58" i="3"/>
  <c r="F49" i="3"/>
  <c r="G49" i="3"/>
  <c r="F40" i="3"/>
  <c r="G40" i="3"/>
  <c r="F31" i="3"/>
  <c r="G31" i="3"/>
  <c r="F22" i="3"/>
  <c r="G22" i="3"/>
  <c r="F13" i="3"/>
  <c r="G13" i="3"/>
  <c r="B121" i="3"/>
  <c r="B112" i="3"/>
  <c r="B103" i="3"/>
  <c r="B94" i="3"/>
  <c r="B85" i="3"/>
  <c r="B76" i="3"/>
  <c r="B67" i="3"/>
  <c r="B58" i="3"/>
  <c r="B49" i="3"/>
  <c r="B40" i="3"/>
  <c r="B31" i="3"/>
  <c r="B22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35" i="2"/>
  <c r="A14" i="2"/>
  <c r="G64" i="1"/>
  <c r="F57" i="1"/>
  <c r="F65" i="1"/>
  <c r="F120" i="1"/>
  <c r="H120" i="1" s="1"/>
  <c r="M121" i="1"/>
  <c r="I121" i="1"/>
  <c r="J121" i="1"/>
  <c r="G121" i="1"/>
  <c r="H121" i="1" s="1"/>
  <c r="F121" i="1"/>
  <c r="E121" i="1"/>
  <c r="M112" i="1"/>
  <c r="I112" i="1"/>
  <c r="G112" i="1"/>
  <c r="E112" i="1"/>
  <c r="M103" i="1"/>
  <c r="I103" i="1"/>
  <c r="J103" i="1"/>
  <c r="G103" i="1"/>
  <c r="H103" i="1" s="1"/>
  <c r="F103" i="1"/>
  <c r="E103" i="1"/>
  <c r="M94" i="1"/>
  <c r="I94" i="1"/>
  <c r="J94" i="1"/>
  <c r="G94" i="1"/>
  <c r="F94" i="1"/>
  <c r="H94" i="1" s="1"/>
  <c r="E94" i="1"/>
  <c r="M85" i="1"/>
  <c r="I85" i="1"/>
  <c r="J85" i="1"/>
  <c r="G85" i="1"/>
  <c r="H85" i="1" s="1"/>
  <c r="F85" i="1"/>
  <c r="E85" i="1"/>
  <c r="M76" i="1"/>
  <c r="I76" i="1"/>
  <c r="J76" i="1"/>
  <c r="G76" i="1"/>
  <c r="F76" i="1"/>
  <c r="H76" i="1" s="1"/>
  <c r="E76" i="1"/>
  <c r="H67" i="1"/>
  <c r="M67" i="1"/>
  <c r="I67" i="1"/>
  <c r="J67" i="1"/>
  <c r="G67" i="1"/>
  <c r="F67" i="1"/>
  <c r="E67" i="1"/>
  <c r="M58" i="1"/>
  <c r="I58" i="1"/>
  <c r="G58" i="1"/>
  <c r="F58" i="1"/>
  <c r="H58" i="1" s="1"/>
  <c r="E58" i="1"/>
  <c r="M49" i="1"/>
  <c r="I49" i="1"/>
  <c r="G49" i="1"/>
  <c r="F49" i="1"/>
  <c r="H49" i="1" s="1"/>
  <c r="E49" i="1"/>
  <c r="M40" i="1"/>
  <c r="I40" i="1"/>
  <c r="J40" i="1"/>
  <c r="G40" i="1"/>
  <c r="F40" i="1"/>
  <c r="H40" i="1" s="1"/>
  <c r="E40" i="1"/>
  <c r="M31" i="1"/>
  <c r="I31" i="1"/>
  <c r="J31" i="1"/>
  <c r="G31" i="1"/>
  <c r="F31" i="1"/>
  <c r="H31" i="1" s="1"/>
  <c r="E31" i="1"/>
  <c r="M22" i="1"/>
  <c r="I22" i="1"/>
  <c r="G22" i="1"/>
  <c r="F22" i="1"/>
  <c r="H22" i="1" s="1"/>
  <c r="E22" i="1"/>
  <c r="H13" i="1"/>
  <c r="M13" i="1"/>
  <c r="I13" i="1"/>
  <c r="G13" i="1"/>
  <c r="F13" i="1"/>
  <c r="J13" i="1" s="1"/>
  <c r="E13" i="1"/>
  <c r="B121" i="1"/>
  <c r="B112" i="1"/>
  <c r="B103" i="1"/>
  <c r="B94" i="1"/>
  <c r="B85" i="1"/>
  <c r="B76" i="1"/>
  <c r="B67" i="1"/>
  <c r="B58" i="1"/>
  <c r="B49" i="1"/>
  <c r="B40" i="1"/>
  <c r="B31" i="1"/>
  <c r="B22" i="1"/>
  <c r="B13" i="1"/>
  <c r="F121" i="4"/>
  <c r="G121" i="4"/>
  <c r="H121" i="4"/>
  <c r="F112" i="4"/>
  <c r="G112" i="4"/>
  <c r="H112" i="4" s="1"/>
  <c r="F103" i="4"/>
  <c r="G103" i="4"/>
  <c r="H103" i="4" s="1"/>
  <c r="F94" i="4"/>
  <c r="G94" i="4"/>
  <c r="H94" i="4" s="1"/>
  <c r="F85" i="4"/>
  <c r="G85" i="4"/>
  <c r="H85" i="4"/>
  <c r="F76" i="4"/>
  <c r="G76" i="4"/>
  <c r="H76" i="4" s="1"/>
  <c r="F67" i="4"/>
  <c r="G67" i="4"/>
  <c r="H67" i="4" s="1"/>
  <c r="F58" i="4"/>
  <c r="G58" i="4"/>
  <c r="H58" i="4" s="1"/>
  <c r="F49" i="4"/>
  <c r="G49" i="4"/>
  <c r="H49" i="4"/>
  <c r="F40" i="4"/>
  <c r="G40" i="4"/>
  <c r="H40" i="4" s="1"/>
  <c r="F31" i="4"/>
  <c r="G31" i="4"/>
  <c r="H31" i="4" s="1"/>
  <c r="F22" i="4"/>
  <c r="G22" i="4"/>
  <c r="H22" i="4" s="1"/>
  <c r="G13" i="4"/>
  <c r="H13" i="4" s="1"/>
  <c r="F13" i="4"/>
  <c r="B121" i="4"/>
  <c r="B112" i="4"/>
  <c r="B103" i="4"/>
  <c r="B94" i="4"/>
  <c r="B85" i="4"/>
  <c r="B76" i="4"/>
  <c r="B67" i="4"/>
  <c r="B58" i="4"/>
  <c r="B49" i="4"/>
  <c r="B40" i="4"/>
  <c r="B31" i="4"/>
  <c r="B22" i="4"/>
  <c r="B13" i="4"/>
  <c r="G76" i="5"/>
  <c r="H76" i="5" s="1"/>
  <c r="B121" i="5"/>
  <c r="B112" i="5"/>
  <c r="B103" i="5"/>
  <c r="B94" i="5"/>
  <c r="B85" i="5"/>
  <c r="B76" i="5"/>
  <c r="B67" i="5"/>
  <c r="B58" i="5"/>
  <c r="B49" i="5"/>
  <c r="B40" i="5"/>
  <c r="B31" i="5"/>
  <c r="B22" i="5"/>
  <c r="B13" i="5"/>
  <c r="F120" i="3"/>
  <c r="G120" i="3"/>
  <c r="F111" i="3"/>
  <c r="G111" i="3"/>
  <c r="F102" i="3"/>
  <c r="G102" i="3"/>
  <c r="F93" i="3"/>
  <c r="G93" i="3"/>
  <c r="F84" i="3"/>
  <c r="G84" i="3"/>
  <c r="F75" i="3"/>
  <c r="G75" i="3"/>
  <c r="F66" i="3"/>
  <c r="G66" i="3"/>
  <c r="F57" i="3"/>
  <c r="G57" i="3"/>
  <c r="F48" i="3"/>
  <c r="G48" i="3"/>
  <c r="F39" i="3"/>
  <c r="G39" i="3"/>
  <c r="F30" i="3"/>
  <c r="G30" i="3"/>
  <c r="F21" i="3"/>
  <c r="G21" i="3"/>
  <c r="G12" i="3"/>
  <c r="F12" i="3"/>
  <c r="B120" i="3"/>
  <c r="B111" i="3"/>
  <c r="B102" i="3"/>
  <c r="B93" i="3"/>
  <c r="B84" i="3"/>
  <c r="B75" i="3"/>
  <c r="B66" i="3"/>
  <c r="B57" i="3"/>
  <c r="B48" i="3"/>
  <c r="B39" i="3"/>
  <c r="B30" i="3"/>
  <c r="B21" i="3"/>
  <c r="B12" i="3"/>
  <c r="F82" i="1"/>
  <c r="H82" i="1" s="1"/>
  <c r="F81" i="1"/>
  <c r="F110" i="1"/>
  <c r="F119" i="1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34" i="2"/>
  <c r="A13" i="2"/>
  <c r="M120" i="1"/>
  <c r="I120" i="1"/>
  <c r="G120" i="1"/>
  <c r="E120" i="1"/>
  <c r="M111" i="1"/>
  <c r="I111" i="1"/>
  <c r="G111" i="1"/>
  <c r="F111" i="1"/>
  <c r="H111" i="1" s="1"/>
  <c r="E111" i="1"/>
  <c r="M102" i="1"/>
  <c r="I102" i="1"/>
  <c r="G102" i="1"/>
  <c r="H102" i="1" s="1"/>
  <c r="F102" i="1"/>
  <c r="J102" i="1" s="1"/>
  <c r="E102" i="1"/>
  <c r="M93" i="1"/>
  <c r="I93" i="1"/>
  <c r="J93" i="1"/>
  <c r="G93" i="1"/>
  <c r="F93" i="1"/>
  <c r="H93" i="1" s="1"/>
  <c r="E93" i="1"/>
  <c r="M84" i="1"/>
  <c r="I84" i="1"/>
  <c r="J84" i="1"/>
  <c r="G84" i="1"/>
  <c r="F84" i="1"/>
  <c r="H84" i="1" s="1"/>
  <c r="E84" i="1"/>
  <c r="M75" i="1"/>
  <c r="I75" i="1"/>
  <c r="J75" i="1"/>
  <c r="G75" i="1"/>
  <c r="H75" i="1" s="1"/>
  <c r="F75" i="1"/>
  <c r="E75" i="1"/>
  <c r="H66" i="1"/>
  <c r="M66" i="1"/>
  <c r="I66" i="1"/>
  <c r="G66" i="1"/>
  <c r="F66" i="1"/>
  <c r="J66" i="1" s="1"/>
  <c r="E66" i="1"/>
  <c r="M57" i="1"/>
  <c r="I57" i="1"/>
  <c r="G57" i="1"/>
  <c r="J57" i="1"/>
  <c r="E57" i="1"/>
  <c r="H48" i="1"/>
  <c r="M48" i="1"/>
  <c r="I48" i="1"/>
  <c r="G48" i="1"/>
  <c r="F48" i="1"/>
  <c r="J48" i="1" s="1"/>
  <c r="E48" i="1"/>
  <c r="M39" i="1"/>
  <c r="I39" i="1"/>
  <c r="G39" i="1"/>
  <c r="F39" i="1"/>
  <c r="H39" i="1" s="1"/>
  <c r="E39" i="1"/>
  <c r="M30" i="1"/>
  <c r="I30" i="1"/>
  <c r="F30" i="1"/>
  <c r="J30" i="1" s="1"/>
  <c r="E30" i="1"/>
  <c r="M21" i="1"/>
  <c r="I21" i="1"/>
  <c r="J21" i="1"/>
  <c r="G21" i="1"/>
  <c r="F21" i="1"/>
  <c r="H21" i="1" s="1"/>
  <c r="E21" i="1"/>
  <c r="M12" i="1"/>
  <c r="J12" i="1"/>
  <c r="I12" i="1"/>
  <c r="H12" i="1"/>
  <c r="E12" i="1"/>
  <c r="G12" i="1"/>
  <c r="F12" i="1"/>
  <c r="B120" i="1"/>
  <c r="B111" i="1"/>
  <c r="B102" i="1"/>
  <c r="B93" i="1"/>
  <c r="B84" i="1"/>
  <c r="B75" i="1"/>
  <c r="B66" i="1"/>
  <c r="B57" i="1"/>
  <c r="B48" i="1"/>
  <c r="B39" i="1"/>
  <c r="B30" i="1"/>
  <c r="B21" i="1"/>
  <c r="B12" i="1"/>
  <c r="G120" i="4"/>
  <c r="H120" i="4" s="1"/>
  <c r="F120" i="4"/>
  <c r="G111" i="4"/>
  <c r="H111" i="4" s="1"/>
  <c r="F111" i="4"/>
  <c r="G102" i="4"/>
  <c r="H102" i="4" s="1"/>
  <c r="F102" i="4"/>
  <c r="G93" i="4"/>
  <c r="H93" i="4" s="1"/>
  <c r="F93" i="4"/>
  <c r="H84" i="4"/>
  <c r="G84" i="4"/>
  <c r="F84" i="4"/>
  <c r="G75" i="4"/>
  <c r="H75" i="4"/>
  <c r="F75" i="4"/>
  <c r="G66" i="4"/>
  <c r="H66" i="4" s="1"/>
  <c r="F66" i="4"/>
  <c r="G57" i="4"/>
  <c r="H57" i="4" s="1"/>
  <c r="F57" i="4"/>
  <c r="G48" i="4"/>
  <c r="H48" i="4" s="1"/>
  <c r="F48" i="4"/>
  <c r="G39" i="4"/>
  <c r="H39" i="4"/>
  <c r="F39" i="4"/>
  <c r="G30" i="4"/>
  <c r="H30" i="4" s="1"/>
  <c r="F30" i="4"/>
  <c r="G21" i="4"/>
  <c r="H21" i="4" s="1"/>
  <c r="F21" i="4"/>
  <c r="G12" i="4"/>
  <c r="H12" i="4" s="1"/>
  <c r="F12" i="4"/>
  <c r="B120" i="4"/>
  <c r="B111" i="4"/>
  <c r="B102" i="4"/>
  <c r="B93" i="4"/>
  <c r="B84" i="4"/>
  <c r="B75" i="4"/>
  <c r="B66" i="4"/>
  <c r="B57" i="4"/>
  <c r="B48" i="4"/>
  <c r="B39" i="4"/>
  <c r="B30" i="4"/>
  <c r="B21" i="4"/>
  <c r="B12" i="4"/>
  <c r="G75" i="5"/>
  <c r="H75" i="5" s="1"/>
  <c r="B120" i="5"/>
  <c r="B111" i="5"/>
  <c r="B102" i="5"/>
  <c r="B93" i="5"/>
  <c r="B84" i="5"/>
  <c r="B75" i="5"/>
  <c r="B66" i="5"/>
  <c r="B57" i="5"/>
  <c r="B48" i="5"/>
  <c r="B39" i="5"/>
  <c r="B30" i="5"/>
  <c r="B21" i="5"/>
  <c r="B12" i="5"/>
  <c r="G119" i="3"/>
  <c r="F119" i="3"/>
  <c r="G110" i="3"/>
  <c r="F110" i="3"/>
  <c r="G101" i="3"/>
  <c r="F101" i="3"/>
  <c r="G92" i="3"/>
  <c r="F92" i="3"/>
  <c r="G83" i="3"/>
  <c r="F83" i="3"/>
  <c r="G74" i="3"/>
  <c r="F74" i="3"/>
  <c r="G65" i="3"/>
  <c r="F65" i="3"/>
  <c r="G56" i="3"/>
  <c r="F56" i="3"/>
  <c r="G47" i="3"/>
  <c r="F47" i="3"/>
  <c r="G38" i="3"/>
  <c r="F38" i="3"/>
  <c r="G29" i="3"/>
  <c r="F29" i="3"/>
  <c r="G20" i="3"/>
  <c r="F20" i="3"/>
  <c r="G11" i="3"/>
  <c r="F11" i="3"/>
  <c r="B119" i="3"/>
  <c r="B110" i="3"/>
  <c r="B101" i="3"/>
  <c r="B92" i="3"/>
  <c r="B83" i="3"/>
  <c r="B74" i="3"/>
  <c r="B65" i="3"/>
  <c r="B56" i="3"/>
  <c r="B47" i="3"/>
  <c r="B38" i="3"/>
  <c r="B29" i="3"/>
  <c r="B20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33" i="2"/>
  <c r="A12" i="2"/>
  <c r="F64" i="1"/>
  <c r="F72" i="1"/>
  <c r="E128" i="1"/>
  <c r="M119" i="1"/>
  <c r="I119" i="1"/>
  <c r="E119" i="1"/>
  <c r="G119" i="1"/>
  <c r="H119" i="1" s="1"/>
  <c r="M110" i="1"/>
  <c r="I110" i="1"/>
  <c r="H110" i="1"/>
  <c r="E110" i="1"/>
  <c r="G110" i="1"/>
  <c r="J110" i="1"/>
  <c r="M101" i="1"/>
  <c r="J101" i="1"/>
  <c r="I101" i="1"/>
  <c r="H101" i="1"/>
  <c r="E101" i="1"/>
  <c r="G101" i="1"/>
  <c r="F101" i="1"/>
  <c r="M92" i="1"/>
  <c r="I92" i="1"/>
  <c r="E92" i="1"/>
  <c r="G92" i="1"/>
  <c r="F92" i="1"/>
  <c r="J92" i="1" s="1"/>
  <c r="M83" i="1"/>
  <c r="I83" i="1"/>
  <c r="E83" i="1"/>
  <c r="G83" i="1"/>
  <c r="F83" i="1"/>
  <c r="J83" i="1" s="1"/>
  <c r="M74" i="1"/>
  <c r="J74" i="1"/>
  <c r="I74" i="1"/>
  <c r="H74" i="1"/>
  <c r="E74" i="1"/>
  <c r="G74" i="1"/>
  <c r="M65" i="1"/>
  <c r="I65" i="1"/>
  <c r="E65" i="1"/>
  <c r="G65" i="1"/>
  <c r="G70" i="1" s="1"/>
  <c r="M56" i="1"/>
  <c r="I56" i="1"/>
  <c r="E56" i="1"/>
  <c r="G29" i="1"/>
  <c r="F29" i="1"/>
  <c r="J29" i="1" s="1"/>
  <c r="G56" i="1"/>
  <c r="F56" i="1"/>
  <c r="J56" i="1" s="1"/>
  <c r="M47" i="1"/>
  <c r="J47" i="1"/>
  <c r="I47" i="1"/>
  <c r="E47" i="1"/>
  <c r="G47" i="1"/>
  <c r="G52" i="1" s="1"/>
  <c r="H52" i="1" s="1"/>
  <c r="F47" i="1"/>
  <c r="H47" i="1" s="1"/>
  <c r="M38" i="1"/>
  <c r="I38" i="1"/>
  <c r="E38" i="1"/>
  <c r="G38" i="1"/>
  <c r="F38" i="1"/>
  <c r="J38" i="1" s="1"/>
  <c r="M29" i="1"/>
  <c r="I29" i="1"/>
  <c r="E29" i="1"/>
  <c r="M20" i="1"/>
  <c r="I20" i="1"/>
  <c r="E20" i="1"/>
  <c r="G20" i="1"/>
  <c r="F20" i="1"/>
  <c r="J20" i="1" s="1"/>
  <c r="M11" i="1"/>
  <c r="J11" i="1"/>
  <c r="I11" i="1"/>
  <c r="H11" i="1"/>
  <c r="E11" i="1"/>
  <c r="G11" i="1"/>
  <c r="F11" i="1"/>
  <c r="B119" i="1"/>
  <c r="B110" i="1"/>
  <c r="B101" i="1"/>
  <c r="B92" i="1"/>
  <c r="B83" i="1"/>
  <c r="B74" i="1"/>
  <c r="B65" i="1"/>
  <c r="B56" i="1"/>
  <c r="B47" i="1"/>
  <c r="B38" i="1"/>
  <c r="B29" i="1"/>
  <c r="B20" i="1"/>
  <c r="B11" i="1"/>
  <c r="G119" i="4"/>
  <c r="H119" i="4" s="1"/>
  <c r="F119" i="4"/>
  <c r="G110" i="4"/>
  <c r="H110" i="4"/>
  <c r="F110" i="4"/>
  <c r="G101" i="4"/>
  <c r="H101" i="4" s="1"/>
  <c r="F101" i="4"/>
  <c r="G92" i="4"/>
  <c r="H92" i="4" s="1"/>
  <c r="F92" i="4"/>
  <c r="G83" i="4"/>
  <c r="H83" i="4" s="1"/>
  <c r="F83" i="4"/>
  <c r="G74" i="4"/>
  <c r="H74" i="4"/>
  <c r="F74" i="4"/>
  <c r="G65" i="4"/>
  <c r="H65" i="4" s="1"/>
  <c r="F65" i="4"/>
  <c r="G56" i="4"/>
  <c r="H56" i="4" s="1"/>
  <c r="F56" i="4"/>
  <c r="G47" i="4"/>
  <c r="H47" i="4" s="1"/>
  <c r="F47" i="4"/>
  <c r="G38" i="4"/>
  <c r="H38" i="4"/>
  <c r="F38" i="4"/>
  <c r="G29" i="4"/>
  <c r="H29" i="4" s="1"/>
  <c r="F29" i="4"/>
  <c r="G20" i="4"/>
  <c r="H20" i="4" s="1"/>
  <c r="F20" i="4"/>
  <c r="G11" i="4"/>
  <c r="H11" i="4" s="1"/>
  <c r="F11" i="4"/>
  <c r="B119" i="4"/>
  <c r="B118" i="4"/>
  <c r="B110" i="4"/>
  <c r="B109" i="4"/>
  <c r="B101" i="4"/>
  <c r="B100" i="4"/>
  <c r="B92" i="4"/>
  <c r="B91" i="4"/>
  <c r="B83" i="4"/>
  <c r="B82" i="4"/>
  <c r="B74" i="4"/>
  <c r="B73" i="4"/>
  <c r="B65" i="4"/>
  <c r="B64" i="4"/>
  <c r="B56" i="4"/>
  <c r="B55" i="4"/>
  <c r="B47" i="4"/>
  <c r="B46" i="4"/>
  <c r="B38" i="4"/>
  <c r="B37" i="4"/>
  <c r="B29" i="4"/>
  <c r="B28" i="4"/>
  <c r="B20" i="4"/>
  <c r="B19" i="4"/>
  <c r="B11" i="4"/>
  <c r="B10" i="4"/>
  <c r="G74" i="5"/>
  <c r="H74" i="5"/>
  <c r="B119" i="5"/>
  <c r="B118" i="5"/>
  <c r="B110" i="5"/>
  <c r="B109" i="5"/>
  <c r="B101" i="5"/>
  <c r="B100" i="5"/>
  <c r="B92" i="5"/>
  <c r="B91" i="5"/>
  <c r="B83" i="5"/>
  <c r="B82" i="5"/>
  <c r="B74" i="5"/>
  <c r="B73" i="5"/>
  <c r="B65" i="5"/>
  <c r="B64" i="5"/>
  <c r="B56" i="5"/>
  <c r="B55" i="5"/>
  <c r="B47" i="5"/>
  <c r="B46" i="5"/>
  <c r="B38" i="5"/>
  <c r="B37" i="5"/>
  <c r="B29" i="5"/>
  <c r="B28" i="5"/>
  <c r="B20" i="5"/>
  <c r="B19" i="5"/>
  <c r="B11" i="5"/>
  <c r="B10" i="5"/>
  <c r="G118" i="3"/>
  <c r="F118" i="3"/>
  <c r="G109" i="3"/>
  <c r="F109" i="3"/>
  <c r="G100" i="3"/>
  <c r="F100" i="3"/>
  <c r="G91" i="3"/>
  <c r="F91" i="3"/>
  <c r="G82" i="3"/>
  <c r="F82" i="3"/>
  <c r="G73" i="3"/>
  <c r="F73" i="3"/>
  <c r="G64" i="3"/>
  <c r="F64" i="3"/>
  <c r="G55" i="3"/>
  <c r="F55" i="3"/>
  <c r="G46" i="3"/>
  <c r="F46" i="3"/>
  <c r="G37" i="3"/>
  <c r="F37" i="3"/>
  <c r="G28" i="3"/>
  <c r="F28" i="3"/>
  <c r="G19" i="3"/>
  <c r="F19" i="3"/>
  <c r="G10" i="3"/>
  <c r="F10" i="3"/>
  <c r="B118" i="3"/>
  <c r="B117" i="3"/>
  <c r="B109" i="3"/>
  <c r="B108" i="3"/>
  <c r="B100" i="3"/>
  <c r="B99" i="3"/>
  <c r="B91" i="3"/>
  <c r="B90" i="3"/>
  <c r="B82" i="3"/>
  <c r="B81" i="3"/>
  <c r="B73" i="3"/>
  <c r="B72" i="3"/>
  <c r="B64" i="3"/>
  <c r="B63" i="3"/>
  <c r="B55" i="3"/>
  <c r="B54" i="3"/>
  <c r="B46" i="3"/>
  <c r="B45" i="3"/>
  <c r="B37" i="3"/>
  <c r="B36" i="3"/>
  <c r="B28" i="3"/>
  <c r="B27" i="3"/>
  <c r="B19" i="3"/>
  <c r="B18" i="3"/>
  <c r="B10" i="3"/>
  <c r="B9" i="3"/>
  <c r="N32" i="2"/>
  <c r="M32" i="2"/>
  <c r="L32" i="2"/>
  <c r="K32" i="2"/>
  <c r="J32" i="2"/>
  <c r="I32" i="2"/>
  <c r="I44" i="2" s="1"/>
  <c r="H32" i="2"/>
  <c r="G32" i="2"/>
  <c r="F32" i="2"/>
  <c r="E32" i="2"/>
  <c r="D32" i="2"/>
  <c r="C32" i="2"/>
  <c r="B32" i="2"/>
  <c r="N11" i="2"/>
  <c r="M11" i="2"/>
  <c r="L11" i="2"/>
  <c r="K11" i="2"/>
  <c r="J11" i="2"/>
  <c r="J23" i="2" s="1"/>
  <c r="I11" i="2"/>
  <c r="H11" i="2"/>
  <c r="G11" i="2"/>
  <c r="F11" i="2"/>
  <c r="E11" i="2"/>
  <c r="D11" i="2"/>
  <c r="C11" i="2"/>
  <c r="B11" i="2"/>
  <c r="A32" i="2"/>
  <c r="A31" i="2"/>
  <c r="A11" i="2"/>
  <c r="A10" i="2"/>
  <c r="M118" i="1"/>
  <c r="J118" i="1"/>
  <c r="I118" i="1"/>
  <c r="E118" i="1"/>
  <c r="G118" i="1"/>
  <c r="G124" i="1" s="1"/>
  <c r="G117" i="1"/>
  <c r="F118" i="1"/>
  <c r="H118" i="1" s="1"/>
  <c r="F117" i="1"/>
  <c r="M109" i="1"/>
  <c r="I109" i="1"/>
  <c r="E109" i="1"/>
  <c r="G109" i="1"/>
  <c r="G108" i="1"/>
  <c r="F109" i="1"/>
  <c r="H109" i="1" s="1"/>
  <c r="F108" i="1"/>
  <c r="J108" i="1" s="1"/>
  <c r="M100" i="1"/>
  <c r="I100" i="1"/>
  <c r="E100" i="1"/>
  <c r="G100" i="1"/>
  <c r="G106" i="1" s="1"/>
  <c r="G99" i="1"/>
  <c r="F100" i="1"/>
  <c r="J100" i="1" s="1"/>
  <c r="F99" i="1"/>
  <c r="M91" i="1"/>
  <c r="J91" i="1"/>
  <c r="I91" i="1"/>
  <c r="H91" i="1"/>
  <c r="E91" i="1"/>
  <c r="G91" i="1"/>
  <c r="G90" i="1"/>
  <c r="F91" i="1"/>
  <c r="F90" i="1"/>
  <c r="F97" i="1" s="1"/>
  <c r="M82" i="1"/>
  <c r="J82" i="1"/>
  <c r="I82" i="1"/>
  <c r="E82" i="1"/>
  <c r="G82" i="1"/>
  <c r="G81" i="1"/>
  <c r="M73" i="1"/>
  <c r="I73" i="1"/>
  <c r="E73" i="1"/>
  <c r="G73" i="1"/>
  <c r="G72" i="1"/>
  <c r="F73" i="1"/>
  <c r="J73" i="1" s="1"/>
  <c r="J72" i="1"/>
  <c r="M64" i="1"/>
  <c r="I64" i="1"/>
  <c r="E64" i="1"/>
  <c r="G63" i="1"/>
  <c r="H64" i="1"/>
  <c r="F63" i="1"/>
  <c r="M55" i="1"/>
  <c r="I55" i="1"/>
  <c r="E55" i="1"/>
  <c r="G55" i="1"/>
  <c r="G54" i="1"/>
  <c r="G61" i="1" s="1"/>
  <c r="F55" i="1"/>
  <c r="H55" i="1" s="1"/>
  <c r="F54" i="1"/>
  <c r="M46" i="1"/>
  <c r="I46" i="1"/>
  <c r="E46" i="1"/>
  <c r="G46" i="1"/>
  <c r="G45" i="1"/>
  <c r="F46" i="1"/>
  <c r="J46" i="1" s="1"/>
  <c r="F45" i="1"/>
  <c r="M37" i="1"/>
  <c r="I37" i="1"/>
  <c r="E37" i="1"/>
  <c r="G37" i="1"/>
  <c r="G36" i="1"/>
  <c r="F37" i="1"/>
  <c r="F43" i="1" s="1"/>
  <c r="F36" i="1"/>
  <c r="M28" i="1"/>
  <c r="J28" i="1"/>
  <c r="I28" i="1"/>
  <c r="H28" i="1"/>
  <c r="E28" i="1"/>
  <c r="G28" i="1"/>
  <c r="G27" i="1"/>
  <c r="G34" i="1" s="1"/>
  <c r="F28" i="1"/>
  <c r="F27" i="1"/>
  <c r="M19" i="1"/>
  <c r="J19" i="1"/>
  <c r="I19" i="1"/>
  <c r="E19" i="1"/>
  <c r="G19" i="1"/>
  <c r="G18" i="1"/>
  <c r="F19" i="1"/>
  <c r="H19" i="1" s="1"/>
  <c r="F18" i="1"/>
  <c r="M10" i="1"/>
  <c r="I10" i="1"/>
  <c r="E10" i="1"/>
  <c r="G10" i="1"/>
  <c r="G9" i="1"/>
  <c r="F10" i="1"/>
  <c r="J10" i="1" s="1"/>
  <c r="F9" i="1"/>
  <c r="F16" i="1" s="1"/>
  <c r="B118" i="1"/>
  <c r="B117" i="1"/>
  <c r="B109" i="1"/>
  <c r="B108" i="1"/>
  <c r="B100" i="1"/>
  <c r="B99" i="1"/>
  <c r="B91" i="1"/>
  <c r="B90" i="1"/>
  <c r="B82" i="1"/>
  <c r="B81" i="1"/>
  <c r="B73" i="1"/>
  <c r="B72" i="1"/>
  <c r="B64" i="1"/>
  <c r="B63" i="1"/>
  <c r="B55" i="1"/>
  <c r="B54" i="1"/>
  <c r="B46" i="1"/>
  <c r="B45" i="1"/>
  <c r="B37" i="1"/>
  <c r="B36" i="1"/>
  <c r="B28" i="1"/>
  <c r="B27" i="1"/>
  <c r="B19" i="1"/>
  <c r="B18" i="1"/>
  <c r="B10" i="1"/>
  <c r="B9" i="1"/>
  <c r="E125" i="5"/>
  <c r="D125" i="5"/>
  <c r="C125" i="5"/>
  <c r="E116" i="5"/>
  <c r="D116" i="5"/>
  <c r="C116" i="5"/>
  <c r="C127" i="5" s="1"/>
  <c r="G127" i="5" s="1"/>
  <c r="H127" i="5" s="1"/>
  <c r="E107" i="5"/>
  <c r="D107" i="5"/>
  <c r="C107" i="5"/>
  <c r="E98" i="5"/>
  <c r="D98" i="5"/>
  <c r="C98" i="5"/>
  <c r="E89" i="5"/>
  <c r="D89" i="5"/>
  <c r="C89" i="5"/>
  <c r="E80" i="5"/>
  <c r="D80" i="5"/>
  <c r="C80" i="5"/>
  <c r="E71" i="5"/>
  <c r="D71" i="5"/>
  <c r="C71" i="5"/>
  <c r="E62" i="5"/>
  <c r="D62" i="5"/>
  <c r="C62" i="5"/>
  <c r="E53" i="5"/>
  <c r="D53" i="5"/>
  <c r="C53" i="5"/>
  <c r="E44" i="5"/>
  <c r="D44" i="5"/>
  <c r="C44" i="5"/>
  <c r="E35" i="5"/>
  <c r="D35" i="5"/>
  <c r="C35" i="5"/>
  <c r="E26" i="5"/>
  <c r="D26" i="5"/>
  <c r="C26" i="5"/>
  <c r="E17" i="5"/>
  <c r="D17" i="5"/>
  <c r="C17" i="5"/>
  <c r="J27" i="1"/>
  <c r="J18" i="1"/>
  <c r="J117" i="1"/>
  <c r="J99" i="1"/>
  <c r="J45" i="1"/>
  <c r="G25" i="1"/>
  <c r="J9" i="1"/>
  <c r="L43" i="1"/>
  <c r="F55" i="4"/>
  <c r="F54" i="3"/>
  <c r="M54" i="1"/>
  <c r="E54" i="1"/>
  <c r="F118" i="4"/>
  <c r="F117" i="3"/>
  <c r="G31" i="2"/>
  <c r="G10" i="2"/>
  <c r="M117" i="1"/>
  <c r="E117" i="1"/>
  <c r="E62" i="4"/>
  <c r="D62" i="4"/>
  <c r="F62" i="4" s="1"/>
  <c r="C62" i="4"/>
  <c r="G55" i="4"/>
  <c r="H55" i="4" s="1"/>
  <c r="E61" i="3"/>
  <c r="D61" i="3"/>
  <c r="C61" i="3"/>
  <c r="G54" i="3"/>
  <c r="L61" i="1"/>
  <c r="D61" i="1"/>
  <c r="C61" i="1"/>
  <c r="I54" i="1"/>
  <c r="G118" i="4"/>
  <c r="H118" i="4"/>
  <c r="G117" i="3"/>
  <c r="I117" i="1"/>
  <c r="D16" i="1"/>
  <c r="D25" i="1"/>
  <c r="D34" i="1"/>
  <c r="D43" i="1"/>
  <c r="E43" i="1" s="1"/>
  <c r="D52" i="1"/>
  <c r="D70" i="1"/>
  <c r="D79" i="1"/>
  <c r="D88" i="1"/>
  <c r="D97" i="1"/>
  <c r="D126" i="1" s="1"/>
  <c r="D106" i="1"/>
  <c r="D115" i="1"/>
  <c r="D124" i="1"/>
  <c r="C124" i="1"/>
  <c r="C125" i="4"/>
  <c r="G125" i="4" s="1"/>
  <c r="H125" i="4" s="1"/>
  <c r="D125" i="4"/>
  <c r="C124" i="3"/>
  <c r="D124" i="3"/>
  <c r="G124" i="3"/>
  <c r="E17" i="4"/>
  <c r="E26" i="4"/>
  <c r="F26" i="4" s="1"/>
  <c r="E35" i="4"/>
  <c r="E44" i="4"/>
  <c r="E53" i="4"/>
  <c r="E127" i="4" s="1"/>
  <c r="E71" i="4"/>
  <c r="F71" i="4"/>
  <c r="E80" i="4"/>
  <c r="E89" i="4"/>
  <c r="E98" i="4"/>
  <c r="E107" i="4"/>
  <c r="F107" i="4" s="1"/>
  <c r="E116" i="4"/>
  <c r="E125" i="4"/>
  <c r="D17" i="4"/>
  <c r="D26" i="4"/>
  <c r="D35" i="4"/>
  <c r="D44" i="4"/>
  <c r="G44" i="4" s="1"/>
  <c r="H44" i="4" s="1"/>
  <c r="D53" i="4"/>
  <c r="D71" i="4"/>
  <c r="D80" i="4"/>
  <c r="D89" i="4"/>
  <c r="D98" i="4"/>
  <c r="F98" i="4" s="1"/>
  <c r="D107" i="4"/>
  <c r="D116" i="4"/>
  <c r="C17" i="4"/>
  <c r="C26" i="4"/>
  <c r="C35" i="4"/>
  <c r="G35" i="4" s="1"/>
  <c r="H35" i="4" s="1"/>
  <c r="C44" i="4"/>
  <c r="C53" i="4"/>
  <c r="C71" i="4"/>
  <c r="C80" i="4"/>
  <c r="C89" i="4"/>
  <c r="C98" i="4"/>
  <c r="C107" i="4"/>
  <c r="C116" i="4"/>
  <c r="G116" i="4" s="1"/>
  <c r="H116" i="4" s="1"/>
  <c r="F91" i="4"/>
  <c r="E16" i="3"/>
  <c r="F16" i="3" s="1"/>
  <c r="E25" i="3"/>
  <c r="E34" i="3"/>
  <c r="E43" i="3"/>
  <c r="E52" i="3"/>
  <c r="F52" i="3"/>
  <c r="E70" i="3"/>
  <c r="E79" i="3"/>
  <c r="E88" i="3"/>
  <c r="E97" i="3"/>
  <c r="F97" i="3" s="1"/>
  <c r="E106" i="3"/>
  <c r="E115" i="3"/>
  <c r="E124" i="3"/>
  <c r="D16" i="3"/>
  <c r="D25" i="3"/>
  <c r="F25" i="3" s="1"/>
  <c r="D34" i="3"/>
  <c r="G34" i="3" s="1"/>
  <c r="F34" i="3"/>
  <c r="D43" i="3"/>
  <c r="D52" i="3"/>
  <c r="D70" i="3"/>
  <c r="F70" i="3" s="1"/>
  <c r="D79" i="3"/>
  <c r="G79" i="3" s="1"/>
  <c r="D88" i="3"/>
  <c r="F88" i="3" s="1"/>
  <c r="D97" i="3"/>
  <c r="D106" i="3"/>
  <c r="D115" i="3"/>
  <c r="G115" i="3" s="1"/>
  <c r="C16" i="3"/>
  <c r="C25" i="3"/>
  <c r="C34" i="3"/>
  <c r="C43" i="3"/>
  <c r="C52" i="3"/>
  <c r="C126" i="3" s="1"/>
  <c r="C70" i="3"/>
  <c r="C79" i="3"/>
  <c r="C88" i="3"/>
  <c r="C97" i="3"/>
  <c r="C106" i="3"/>
  <c r="C115" i="3"/>
  <c r="F90" i="3"/>
  <c r="M90" i="1"/>
  <c r="E90" i="1"/>
  <c r="L16" i="1"/>
  <c r="M16" i="1" s="1"/>
  <c r="L25" i="1"/>
  <c r="L34" i="1"/>
  <c r="L52" i="1"/>
  <c r="L70" i="1"/>
  <c r="L79" i="1"/>
  <c r="M79" i="1" s="1"/>
  <c r="L88" i="1"/>
  <c r="L97" i="1"/>
  <c r="L106" i="1"/>
  <c r="L115" i="1"/>
  <c r="K16" i="1"/>
  <c r="K25" i="1"/>
  <c r="M25" i="1"/>
  <c r="C16" i="1"/>
  <c r="C25" i="1"/>
  <c r="C34" i="1"/>
  <c r="E34" i="1"/>
  <c r="C43" i="1"/>
  <c r="C52" i="1"/>
  <c r="C70" i="1"/>
  <c r="E70" i="1" s="1"/>
  <c r="C79" i="1"/>
  <c r="E79" i="1"/>
  <c r="C88" i="1"/>
  <c r="E88" i="1" s="1"/>
  <c r="C97" i="1"/>
  <c r="E97" i="1" s="1"/>
  <c r="C106" i="1"/>
  <c r="C115" i="1"/>
  <c r="E99" i="1"/>
  <c r="I99" i="1"/>
  <c r="M99" i="1"/>
  <c r="K97" i="1"/>
  <c r="F109" i="4"/>
  <c r="K31" i="2"/>
  <c r="K10" i="2"/>
  <c r="K23" i="2" s="1"/>
  <c r="K43" i="1"/>
  <c r="K52" i="1"/>
  <c r="M52" i="1" s="1"/>
  <c r="K70" i="1"/>
  <c r="K79" i="1"/>
  <c r="K88" i="1"/>
  <c r="I88" i="1" s="1"/>
  <c r="K115" i="1"/>
  <c r="I90" i="1"/>
  <c r="G91" i="4"/>
  <c r="H91" i="4"/>
  <c r="G90" i="3"/>
  <c r="F73" i="4"/>
  <c r="F72" i="3"/>
  <c r="N31" i="2"/>
  <c r="M31" i="2"/>
  <c r="L31" i="2"/>
  <c r="J31" i="2"/>
  <c r="I31" i="2"/>
  <c r="H31" i="2"/>
  <c r="F31" i="2"/>
  <c r="E31" i="2"/>
  <c r="C31" i="2"/>
  <c r="B31" i="2"/>
  <c r="B44" i="2" s="1"/>
  <c r="M72" i="1"/>
  <c r="E72" i="1"/>
  <c r="I10" i="2"/>
  <c r="G73" i="4"/>
  <c r="H73" i="4" s="1"/>
  <c r="G82" i="4"/>
  <c r="H82" i="4" s="1"/>
  <c r="F82" i="4"/>
  <c r="G72" i="3"/>
  <c r="I72" i="1"/>
  <c r="F10" i="4"/>
  <c r="G10" i="4"/>
  <c r="H10" i="4" s="1"/>
  <c r="I9" i="1"/>
  <c r="I18" i="1"/>
  <c r="I36" i="1"/>
  <c r="I45" i="1"/>
  <c r="I63" i="1"/>
  <c r="I81" i="1"/>
  <c r="I108" i="1"/>
  <c r="E9" i="1"/>
  <c r="M9" i="1"/>
  <c r="E18" i="1"/>
  <c r="M18" i="1"/>
  <c r="E27" i="1"/>
  <c r="E36" i="1"/>
  <c r="M36" i="1"/>
  <c r="E45" i="1"/>
  <c r="M45" i="1"/>
  <c r="E63" i="1"/>
  <c r="M63" i="1"/>
  <c r="E81" i="1"/>
  <c r="M81" i="1"/>
  <c r="E108" i="1"/>
  <c r="M108" i="1"/>
  <c r="F19" i="4"/>
  <c r="G19" i="4"/>
  <c r="H19" i="4"/>
  <c r="F28" i="4"/>
  <c r="G28" i="4"/>
  <c r="H28" i="4" s="1"/>
  <c r="F37" i="4"/>
  <c r="G37" i="4"/>
  <c r="H37" i="4"/>
  <c r="F46" i="4"/>
  <c r="G46" i="4"/>
  <c r="H46" i="4"/>
  <c r="F64" i="4"/>
  <c r="G64" i="4"/>
  <c r="H64" i="4"/>
  <c r="F100" i="4"/>
  <c r="G100" i="4"/>
  <c r="H100" i="4" s="1"/>
  <c r="G109" i="4"/>
  <c r="H109" i="4" s="1"/>
  <c r="F9" i="3"/>
  <c r="F18" i="3"/>
  <c r="G18" i="3"/>
  <c r="F27" i="3"/>
  <c r="G27" i="3"/>
  <c r="F36" i="3"/>
  <c r="G36" i="3"/>
  <c r="F45" i="3"/>
  <c r="G45" i="3"/>
  <c r="F63" i="3"/>
  <c r="G63" i="3"/>
  <c r="F81" i="3"/>
  <c r="G81" i="3"/>
  <c r="F99" i="3"/>
  <c r="G99" i="3"/>
  <c r="F108" i="3"/>
  <c r="G108" i="3"/>
  <c r="G9" i="3"/>
  <c r="B10" i="2"/>
  <c r="C10" i="2"/>
  <c r="D10" i="2"/>
  <c r="E10" i="2"/>
  <c r="E23" i="2"/>
  <c r="F10" i="2"/>
  <c r="H10" i="2"/>
  <c r="J10" i="2"/>
  <c r="L10" i="2"/>
  <c r="M10" i="2"/>
  <c r="N10" i="2"/>
  <c r="N23" i="2" s="1"/>
  <c r="I27" i="1"/>
  <c r="M27" i="1"/>
  <c r="K34" i="1"/>
  <c r="M34" i="1" s="1"/>
  <c r="D31" i="2"/>
  <c r="L124" i="1"/>
  <c r="M124" i="1"/>
  <c r="K124" i="1"/>
  <c r="I124" i="1" s="1"/>
  <c r="K61" i="1"/>
  <c r="K106" i="1"/>
  <c r="H45" i="1"/>
  <c r="H63" i="1"/>
  <c r="H18" i="1"/>
  <c r="H99" i="1"/>
  <c r="H27" i="1"/>
  <c r="F70" i="1"/>
  <c r="H70" i="1" s="1"/>
  <c r="J81" i="1"/>
  <c r="F52" i="1"/>
  <c r="J52" i="1" s="1"/>
  <c r="F34" i="1"/>
  <c r="H34" i="1" s="1"/>
  <c r="G43" i="1"/>
  <c r="F106" i="1"/>
  <c r="H106" i="1" s="1"/>
  <c r="J106" i="1"/>
  <c r="H36" i="1"/>
  <c r="J36" i="1"/>
  <c r="F79" i="1"/>
  <c r="J79" i="1" s="1"/>
  <c r="F88" i="1"/>
  <c r="H88" i="1" s="1"/>
  <c r="G79" i="1"/>
  <c r="G115" i="1"/>
  <c r="H117" i="1"/>
  <c r="G88" i="1"/>
  <c r="G129" i="4"/>
  <c r="H129" i="4" s="1"/>
  <c r="G97" i="1"/>
  <c r="H81" i="1"/>
  <c r="J63" i="1"/>
  <c r="I128" i="1"/>
  <c r="H54" i="1"/>
  <c r="J54" i="1"/>
  <c r="M128" i="1"/>
  <c r="F25" i="1"/>
  <c r="H25" i="1" s="1"/>
  <c r="H9" i="1"/>
  <c r="G16" i="1"/>
  <c r="G26" i="4"/>
  <c r="H26" i="4" s="1"/>
  <c r="J64" i="1"/>
  <c r="H72" i="1"/>
  <c r="F129" i="4"/>
  <c r="G53" i="4"/>
  <c r="H53" i="4" s="1"/>
  <c r="G129" i="5"/>
  <c r="H129" i="5"/>
  <c r="G88" i="3"/>
  <c r="J65" i="1"/>
  <c r="J119" i="1"/>
  <c r="F80" i="4"/>
  <c r="G71" i="4"/>
  <c r="H71" i="4" s="1"/>
  <c r="G62" i="4"/>
  <c r="H62" i="4"/>
  <c r="G80" i="5"/>
  <c r="H80" i="5" s="1"/>
  <c r="G61" i="3"/>
  <c r="H57" i="1"/>
  <c r="F124" i="1"/>
  <c r="J120" i="1"/>
  <c r="J124" i="1"/>
  <c r="M106" i="1"/>
  <c r="J88" i="1"/>
  <c r="I79" i="1"/>
  <c r="M70" i="1"/>
  <c r="F89" i="4"/>
  <c r="F125" i="4"/>
  <c r="F116" i="4"/>
  <c r="G107" i="4"/>
  <c r="H107" i="4" s="1"/>
  <c r="G98" i="4"/>
  <c r="H98" i="4" s="1"/>
  <c r="G89" i="4"/>
  <c r="H89" i="4" s="1"/>
  <c r="G80" i="4"/>
  <c r="H80" i="4" s="1"/>
  <c r="F53" i="4"/>
  <c r="F35" i="4"/>
  <c r="F17" i="4"/>
  <c r="G17" i="4"/>
  <c r="H17" i="4"/>
  <c r="D127" i="5"/>
  <c r="E127" i="5"/>
  <c r="F124" i="3"/>
  <c r="F106" i="3"/>
  <c r="G106" i="3"/>
  <c r="G97" i="3"/>
  <c r="F61" i="3"/>
  <c r="F43" i="3"/>
  <c r="G43" i="3"/>
  <c r="D126" i="3"/>
  <c r="G16" i="3"/>
  <c r="O36" i="2"/>
  <c r="O15" i="2"/>
  <c r="H30" i="1"/>
  <c r="H112" i="1"/>
  <c r="J112" i="1"/>
  <c r="E124" i="1"/>
  <c r="M115" i="1"/>
  <c r="E115" i="1"/>
  <c r="I115" i="1"/>
  <c r="I106" i="1"/>
  <c r="E106" i="1"/>
  <c r="M97" i="1"/>
  <c r="I97" i="1"/>
  <c r="I70" i="1"/>
  <c r="E61" i="1"/>
  <c r="I61" i="1"/>
  <c r="E52" i="1"/>
  <c r="I52" i="1"/>
  <c r="M43" i="1"/>
  <c r="I43" i="1"/>
  <c r="L126" i="1"/>
  <c r="J34" i="1"/>
  <c r="I34" i="1"/>
  <c r="I25" i="1"/>
  <c r="E25" i="1"/>
  <c r="E16" i="1"/>
  <c r="I16" i="1"/>
  <c r="C126" i="1"/>
  <c r="E126" i="1" s="1"/>
  <c r="F44" i="2"/>
  <c r="H44" i="2"/>
  <c r="O12" i="2"/>
  <c r="O34" i="2"/>
  <c r="O14" i="2"/>
  <c r="O35" i="2"/>
  <c r="N44" i="2"/>
  <c r="C44" i="2"/>
  <c r="J44" i="2"/>
  <c r="G23" i="2"/>
  <c r="D44" i="2"/>
  <c r="O11" i="2"/>
  <c r="K44" i="2"/>
  <c r="C23" i="2"/>
  <c r="M44" i="2"/>
  <c r="O33" i="2"/>
  <c r="O13" i="2"/>
  <c r="I23" i="2"/>
  <c r="M23" i="2"/>
  <c r="F23" i="2"/>
  <c r="B23" i="2"/>
  <c r="E44" i="2"/>
  <c r="H23" i="2"/>
  <c r="O32" i="2"/>
  <c r="G44" i="2"/>
  <c r="L23" i="2"/>
  <c r="L44" i="2"/>
  <c r="D23" i="2"/>
  <c r="H43" i="1" l="1"/>
  <c r="J43" i="1"/>
  <c r="H128" i="1"/>
  <c r="J128" i="1"/>
  <c r="J97" i="1"/>
  <c r="H97" i="1"/>
  <c r="G126" i="1"/>
  <c r="H124" i="1"/>
  <c r="F126" i="3"/>
  <c r="J16" i="1"/>
  <c r="H16" i="1"/>
  <c r="J55" i="1"/>
  <c r="F115" i="1"/>
  <c r="J70" i="1"/>
  <c r="E126" i="3"/>
  <c r="J90" i="1"/>
  <c r="H79" i="1"/>
  <c r="H108" i="1"/>
  <c r="H10" i="1"/>
  <c r="H46" i="1"/>
  <c r="H73" i="1"/>
  <c r="J109" i="1"/>
  <c r="H29" i="1"/>
  <c r="H56" i="1"/>
  <c r="J49" i="1"/>
  <c r="J32" i="1"/>
  <c r="H100" i="1"/>
  <c r="J111" i="1"/>
  <c r="J95" i="1"/>
  <c r="O31" i="2"/>
  <c r="O44" i="2" s="1"/>
  <c r="G25" i="3"/>
  <c r="G70" i="3"/>
  <c r="F115" i="3"/>
  <c r="H92" i="1"/>
  <c r="H37" i="1"/>
  <c r="J22" i="1"/>
  <c r="J25" i="1"/>
  <c r="F79" i="3"/>
  <c r="C127" i="4"/>
  <c r="H90" i="1"/>
  <c r="G52" i="3"/>
  <c r="F44" i="4"/>
  <c r="M61" i="1"/>
  <c r="H65" i="1"/>
  <c r="J68" i="1"/>
  <c r="J37" i="1"/>
  <c r="F61" i="1"/>
  <c r="H61" i="1" s="1"/>
  <c r="O10" i="2"/>
  <c r="O23" i="2" s="1"/>
  <c r="D127" i="4"/>
  <c r="M88" i="1"/>
  <c r="H20" i="1"/>
  <c r="H38" i="1"/>
  <c r="H83" i="1"/>
  <c r="G126" i="3"/>
  <c r="K126" i="1"/>
  <c r="J39" i="1"/>
  <c r="J58" i="1"/>
  <c r="J41" i="1"/>
  <c r="M126" i="1" l="1"/>
  <c r="I126" i="1"/>
  <c r="J61" i="1"/>
  <c r="G127" i="4"/>
  <c r="H127" i="4" s="1"/>
  <c r="F127" i="4"/>
  <c r="F126" i="1"/>
  <c r="H126" i="1" s="1"/>
  <c r="H115" i="1"/>
  <c r="J115" i="1"/>
  <c r="J126" i="1" l="1"/>
</calcChain>
</file>

<file path=xl/sharedStrings.xml><?xml version="1.0" encoding="utf-8"?>
<sst xmlns="http://schemas.openxmlformats.org/spreadsheetml/2006/main" count="241" uniqueCount="77">
  <si>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</si>
  <si>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</si>
  <si>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</si>
  <si>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</si>
  <si>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</si>
  <si>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</si>
  <si>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</si>
  <si>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</si>
  <si>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</si>
  <si>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</si>
  <si>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</si>
  <si>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</si>
  <si>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</si>
  <si>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</si>
  <si>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</si>
  <si>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</si>
  <si>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</si>
  <si>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</si>
  <si>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</si>
  <si>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</si>
  <si>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</si>
  <si>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</si>
  <si>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</si>
  <si>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</si>
  <si>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</si>
  <si>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</si>
  <si>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</si>
  <si>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</si>
  <si>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</si>
  <si>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</si>
  <si>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</si>
  <si>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</si>
  <si>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</si>
  <si>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</si>
  <si>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</si>
  <si>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</si>
  <si>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</si>
  <si>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</si>
  <si>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</si>
  <si>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</si>
  <si>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</si>
  <si>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</si>
  <si>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</si>
  <si>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</si>
  <si>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</si>
  <si>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</si>
  <si>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</si>
  <si>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</si>
  <si>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</si>
  <si>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</si>
  <si>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</si>
  <si>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</si>
  <si>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</si>
  <si>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</si>
  <si>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</si>
  <si>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</si>
  <si>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</si>
  <si>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</si>
  <si>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</si>
  <si>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</si>
  <si>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</si>
  <si>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</si>
  <si>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 xml:space="preserve">FISCAL 2021 YTD ADMISSIONS, PATRONS AND AGR SUMMARY </t>
  </si>
  <si>
    <t>HARRAHS KC</t>
  </si>
  <si>
    <t xml:space="preserve">CENTURY- CAPE </t>
  </si>
  <si>
    <t>CENTURY-CARUTHERSVILLE</t>
  </si>
  <si>
    <t>CASINO KC</t>
  </si>
  <si>
    <t>CENTURY - CAPE</t>
  </si>
  <si>
    <t>CENTURY-CAPE</t>
  </si>
  <si>
    <t>HYBRID</t>
  </si>
  <si>
    <t>HYBRID WIN</t>
  </si>
  <si>
    <t>MONTH ENDED:  DECEMBER 31, 2020</t>
  </si>
  <si>
    <t>(as reported on the tax remittal database dtd 1/7/21)</t>
  </si>
  <si>
    <t>FOR THE MONTH ENDED:   DECEMBER 31, 2020</t>
  </si>
  <si>
    <t>THRU MONTH ENDED:   DECEMBER 31, 2020</t>
  </si>
  <si>
    <t>(as reported on the tax remittal database as of 1/7/21)</t>
  </si>
  <si>
    <t>THRU MONTH ENDED:    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</si>
</sst>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00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DATE(2020,7,1)</f>
        <v>44013</v>
      </c>
      <c r="C9" s="21">
        <v>188333</v>
      </c>
      <c r="D9" s="22">
        <v>273819</v>
      </c>
      <c r="E9" s="23">
        <f t="shared" ref="E9:E14" si="0">(+C9-D9)/D9</f>
        <v>-0.31219893433253354</v>
      </c>
      <c r="F9" s="21">
        <f>+C9-87391</f>
        <v>100942</v>
      </c>
      <c r="G9" s="21">
        <f>+D9-121652</f>
        <v>152167</v>
      </c>
      <c r="H9" s="23">
        <f t="shared" ref="H9:H14" si="1">(+F9-G9)/G9</f>
        <v>-0.33663672149677659</v>
      </c>
      <c r="I9" s="24">
        <f t="shared" ref="I9:I14" si="2">K9/C9</f>
        <v>72.293304359830728</v>
      </c>
      <c r="J9" s="24">
        <f t="shared" ref="J9:J14" si="3">K9/F9</f>
        <v>134.88156456182759</v>
      </c>
      <c r="K9" s="21">
        <v>13615214.890000001</v>
      </c>
      <c r="L9" s="21">
        <v>14592883.67</v>
      </c>
      <c r="M9" s="25">
        <f t="shared" ref="M9:M14" si="4">(+K9-L9)/L9</f>
        <v>-6.6996270381424847E-2</v>
      </c>
      <c r="N9" s="10"/>
      <c r="R9" s="2"/>
    </row>
    <row r="10" spans="1:18" ht="15.75" x14ac:dyDescent="0.25">
      <c r="A10" s="19"/>
      <c r="B10" s="20">
        <f>DATE(2020,8,1)</f>
        <v>44044</v>
      </c>
      <c r="C10" s="21">
        <v>193126</v>
      </c>
      <c r="D10" s="22">
        <v>276880</v>
      </c>
      <c r="E10" s="23">
        <f t="shared" si="0"/>
        <v>-0.30249205431956083</v>
      </c>
      <c r="F10" s="21">
        <f>+C10-88951</f>
        <v>104175</v>
      </c>
      <c r="G10" s="21">
        <f>+D10-123357</f>
        <v>153523</v>
      </c>
      <c r="H10" s="23">
        <f t="shared" si="1"/>
        <v>-0.32143717879405692</v>
      </c>
      <c r="I10" s="24">
        <f t="shared" si="2"/>
        <v>65.366431966695316</v>
      </c>
      <c r="J10" s="24">
        <f t="shared" si="3"/>
        <v>121.18029796016317</v>
      </c>
      <c r="K10" s="21">
        <v>12623957.539999999</v>
      </c>
      <c r="L10" s="21">
        <v>14502049.98</v>
      </c>
      <c r="M10" s="25">
        <f t="shared" si="4"/>
        <v>-0.12950530735931179</v>
      </c>
      <c r="N10" s="10"/>
      <c r="R10" s="2"/>
    </row>
    <row r="11" spans="1:18" ht="15.75" x14ac:dyDescent="0.25">
      <c r="A11" s="19"/>
      <c r="B11" s="20">
        <f>DATE(2020,9,1)</f>
        <v>44075</v>
      </c>
      <c r="C11" s="21">
        <v>196754</v>
      </c>
      <c r="D11" s="22">
        <v>254028</v>
      </c>
      <c r="E11" s="23">
        <f t="shared" si="0"/>
        <v>-0.22546333475049996</v>
      </c>
      <c r="F11" s="21">
        <f>+C11-92272</f>
        <v>104482</v>
      </c>
      <c r="G11" s="21">
        <f>+D11-112781</f>
        <v>141247</v>
      </c>
      <c r="H11" s="23">
        <f t="shared" si="1"/>
        <v>-0.26028871409658261</v>
      </c>
      <c r="I11" s="24">
        <f t="shared" si="2"/>
        <v>63.171506500503163</v>
      </c>
      <c r="J11" s="24">
        <f t="shared" si="3"/>
        <v>118.96064958557454</v>
      </c>
      <c r="K11" s="21">
        <v>12429246.59</v>
      </c>
      <c r="L11" s="21">
        <v>12773890.380000001</v>
      </c>
      <c r="M11" s="25">
        <f t="shared" si="4"/>
        <v>-2.6980330952237352E-2</v>
      </c>
      <c r="N11" s="10"/>
      <c r="R11" s="2"/>
    </row>
    <row r="12" spans="1:18" ht="15.75" x14ac:dyDescent="0.25">
      <c r="A12" s="19"/>
      <c r="B12" s="20">
        <f>DATE(2020,10,1)</f>
        <v>44105</v>
      </c>
      <c r="C12" s="21">
        <v>203827</v>
      </c>
      <c r="D12" s="22">
        <v>250952</v>
      </c>
      <c r="E12" s="23">
        <f t="shared" si="0"/>
        <v>-0.1877849150435143</v>
      </c>
      <c r="F12" s="21">
        <f>+C12-94349</f>
        <v>109478</v>
      </c>
      <c r="G12" s="21">
        <f>+D12-113545</f>
        <v>137407</v>
      </c>
      <c r="H12" s="23">
        <f t="shared" si="1"/>
        <v>-0.20325747596556215</v>
      </c>
      <c r="I12" s="24">
        <f t="shared" si="2"/>
        <v>63.424137332149328</v>
      </c>
      <c r="J12" s="24">
        <f t="shared" si="3"/>
        <v>118.08355687900766</v>
      </c>
      <c r="K12" s="21">
        <v>12927551.640000001</v>
      </c>
      <c r="L12" s="21">
        <v>13374556.41</v>
      </c>
      <c r="M12" s="25">
        <f t="shared" si="4"/>
        <v>-3.3422025844967784E-2</v>
      </c>
      <c r="N12" s="10"/>
      <c r="R12" s="2"/>
    </row>
    <row r="13" spans="1:18" ht="15.75" x14ac:dyDescent="0.25">
      <c r="A13" s="19"/>
      <c r="B13" s="20">
        <f>DATE(2020,11,1)</f>
        <v>44136</v>
      </c>
      <c r="C13" s="21">
        <v>189148</v>
      </c>
      <c r="D13" s="22">
        <v>272418</v>
      </c>
      <c r="E13" s="23">
        <f t="shared" si="0"/>
        <v>-0.30566996307145639</v>
      </c>
      <c r="F13" s="21">
        <f>+C13-86903</f>
        <v>102245</v>
      </c>
      <c r="G13" s="21">
        <f>+D13-124199</f>
        <v>148219</v>
      </c>
      <c r="H13" s="23">
        <f t="shared" si="1"/>
        <v>-0.31017615825231581</v>
      </c>
      <c r="I13" s="24">
        <f t="shared" si="2"/>
        <v>59.62246928331254</v>
      </c>
      <c r="J13" s="24">
        <f t="shared" si="3"/>
        <v>110.29850672404518</v>
      </c>
      <c r="K13" s="21">
        <v>11277470.82</v>
      </c>
      <c r="L13" s="21">
        <v>13968055.51</v>
      </c>
      <c r="M13" s="25">
        <f t="shared" si="4"/>
        <v>-0.1926241407097615</v>
      </c>
      <c r="N13" s="10"/>
      <c r="R13" s="2"/>
    </row>
    <row r="14" spans="1:18" ht="15.75" x14ac:dyDescent="0.25">
      <c r="A14" s="19"/>
      <c r="B14" s="20">
        <f>DATE(2020,12,1)</f>
        <v>44166</v>
      </c>
      <c r="C14" s="21">
        <v>196076</v>
      </c>
      <c r="D14" s="22">
        <v>282345</v>
      </c>
      <c r="E14" s="23">
        <f t="shared" si="0"/>
        <v>-0.30554463510952912</v>
      </c>
      <c r="F14" s="21">
        <f>+C14-87128</f>
        <v>108948</v>
      </c>
      <c r="G14" s="21">
        <f>+D14-128827</f>
        <v>153518</v>
      </c>
      <c r="H14" s="23">
        <f t="shared" si="1"/>
        <v>-0.29032426165009967</v>
      </c>
      <c r="I14" s="24">
        <f t="shared" si="2"/>
        <v>63.799970980640154</v>
      </c>
      <c r="J14" s="24">
        <f t="shared" si="3"/>
        <v>114.82214551896317</v>
      </c>
      <c r="K14" s="21">
        <v>12509643.109999999</v>
      </c>
      <c r="L14" s="21">
        <v>14646594.890000001</v>
      </c>
      <c r="M14" s="25">
        <f t="shared" si="4"/>
        <v>-0.14590092755682144</v>
      </c>
      <c r="N14" s="10"/>
      <c r="R14" s="2"/>
    </row>
    <row r="15" spans="1:18" ht="15.75" customHeight="1" thickBot="1" x14ac:dyDescent="0.3">
      <c r="A15" s="19"/>
      <c r="B15" s="20"/>
      <c r="C15" s="21"/>
      <c r="D15" s="21"/>
      <c r="E15" s="23"/>
      <c r="F15" s="21"/>
      <c r="G15" s="21"/>
      <c r="H15" s="23"/>
      <c r="I15" s="24"/>
      <c r="J15" s="24"/>
      <c r="K15" s="21"/>
      <c r="L15" s="21"/>
      <c r="M15" s="25"/>
      <c r="N15" s="10"/>
      <c r="R15" s="2"/>
    </row>
    <row r="16" spans="1:18" ht="17.25" thickTop="1" thickBot="1" x14ac:dyDescent="0.3">
      <c r="A16" s="26" t="s">
        <v>14</v>
      </c>
      <c r="B16" s="27"/>
      <c r="C16" s="28">
        <f>SUM(C9:C15)</f>
        <v>1167264</v>
      </c>
      <c r="D16" s="28">
        <f>SUM(D9:D15)</f>
        <v>1610442</v>
      </c>
      <c r="E16" s="279">
        <f>(+C16-D16)/D16</f>
        <v>-0.27519028937397311</v>
      </c>
      <c r="F16" s="28">
        <f>SUM(F9:F15)</f>
        <v>630270</v>
      </c>
      <c r="G16" s="28">
        <f>SUM(G9:G15)</f>
        <v>886081</v>
      </c>
      <c r="H16" s="30">
        <f>(+F16-G16)/G16</f>
        <v>-0.28869934012804699</v>
      </c>
      <c r="I16" s="31">
        <f>K16/C16</f>
        <v>64.581007030114876</v>
      </c>
      <c r="J16" s="31">
        <f>K16/F16</f>
        <v>119.60443078363242</v>
      </c>
      <c r="K16" s="28">
        <f>SUM(K9:K15)</f>
        <v>75383084.590000004</v>
      </c>
      <c r="L16" s="28">
        <f>SUM(L9:L15)</f>
        <v>83858030.840000004</v>
      </c>
      <c r="M16" s="32">
        <f>(+K16-L16)/L16</f>
        <v>-0.10106302479448967</v>
      </c>
      <c r="N16" s="10"/>
      <c r="R16" s="2"/>
    </row>
    <row r="17" spans="1:18" ht="15.75" customHeight="1" thickTop="1" x14ac:dyDescent="0.25">
      <c r="A17" s="15"/>
      <c r="B17" s="16"/>
      <c r="C17" s="16"/>
      <c r="D17" s="16"/>
      <c r="E17" s="17"/>
      <c r="F17" s="16"/>
      <c r="G17" s="16"/>
      <c r="H17" s="17"/>
      <c r="I17" s="16"/>
      <c r="J17" s="16"/>
      <c r="K17" s="195"/>
      <c r="L17" s="195"/>
      <c r="M17" s="18"/>
      <c r="N17" s="10"/>
      <c r="R17" s="2"/>
    </row>
    <row r="18" spans="1:18" ht="15.75" x14ac:dyDescent="0.25">
      <c r="A18" s="19" t="s">
        <v>15</v>
      </c>
      <c r="B18" s="20">
        <f>DATE(2020,7,1)</f>
        <v>44013</v>
      </c>
      <c r="C18" s="21">
        <v>79471</v>
      </c>
      <c r="D18" s="21">
        <v>128877</v>
      </c>
      <c r="E18" s="23">
        <f t="shared" ref="E18:E23" si="5">(+C18-D18)/D18</f>
        <v>-0.38335777524306119</v>
      </c>
      <c r="F18" s="21">
        <f>+C18-38596</f>
        <v>40875</v>
      </c>
      <c r="G18" s="21">
        <f>+D18-61988</f>
        <v>66889</v>
      </c>
      <c r="H18" s="23">
        <f t="shared" ref="H18:H23" si="6">(+F18-G18)/G18</f>
        <v>-0.38891297522761592</v>
      </c>
      <c r="I18" s="24">
        <f t="shared" ref="I18:I23" si="7">K18/C18</f>
        <v>70.633539655975142</v>
      </c>
      <c r="J18" s="24">
        <f t="shared" ref="J18:J23" si="8">K18/F18</f>
        <v>137.32888146788991</v>
      </c>
      <c r="K18" s="21">
        <v>5613318.0300000003</v>
      </c>
      <c r="L18" s="21">
        <v>6965970.8300000001</v>
      </c>
      <c r="M18" s="25">
        <f t="shared" ref="M18:M23" si="9">(+K18-L18)/L18</f>
        <v>-0.19418008386922858</v>
      </c>
      <c r="N18" s="10"/>
      <c r="R18" s="2"/>
    </row>
    <row r="19" spans="1:18" ht="15.75" x14ac:dyDescent="0.25">
      <c r="A19" s="19"/>
      <c r="B19" s="20">
        <f>DATE(2020,8,1)</f>
        <v>44044</v>
      </c>
      <c r="C19" s="21">
        <v>88234</v>
      </c>
      <c r="D19" s="21">
        <v>130133</v>
      </c>
      <c r="E19" s="23">
        <f t="shared" si="5"/>
        <v>-0.32197059930993677</v>
      </c>
      <c r="F19" s="21">
        <f>+C19-41802</f>
        <v>46432</v>
      </c>
      <c r="G19" s="21">
        <f>+D19-62200</f>
        <v>67933</v>
      </c>
      <c r="H19" s="23">
        <f t="shared" si="6"/>
        <v>-0.31650302503937705</v>
      </c>
      <c r="I19" s="24">
        <f t="shared" si="7"/>
        <v>67.939255049074063</v>
      </c>
      <c r="J19" s="24">
        <f t="shared" si="8"/>
        <v>129.10389881977946</v>
      </c>
      <c r="K19" s="21">
        <v>5994552.2300000004</v>
      </c>
      <c r="L19" s="21">
        <v>6966409.8499999996</v>
      </c>
      <c r="M19" s="25">
        <f t="shared" si="9"/>
        <v>-0.13950623648707652</v>
      </c>
      <c r="N19" s="10"/>
      <c r="R19" s="2"/>
    </row>
    <row r="20" spans="1:18" ht="15.75" x14ac:dyDescent="0.25">
      <c r="A20" s="19"/>
      <c r="B20" s="20">
        <f>DATE(2020,9,1)</f>
        <v>44075</v>
      </c>
      <c r="C20" s="21">
        <v>90948</v>
      </c>
      <c r="D20" s="21">
        <v>118251</v>
      </c>
      <c r="E20" s="23">
        <f t="shared" si="5"/>
        <v>-0.23089022502980946</v>
      </c>
      <c r="F20" s="21">
        <f>+C20-42310</f>
        <v>48638</v>
      </c>
      <c r="G20" s="21">
        <f>+D20-55723</f>
        <v>62528</v>
      </c>
      <c r="H20" s="23">
        <f t="shared" si="6"/>
        <v>-0.22214048106448311</v>
      </c>
      <c r="I20" s="24">
        <f t="shared" si="7"/>
        <v>64.968384791309319</v>
      </c>
      <c r="J20" s="24">
        <f t="shared" si="8"/>
        <v>121.48412064640816</v>
      </c>
      <c r="K20" s="21">
        <v>5908744.6600000001</v>
      </c>
      <c r="L20" s="21">
        <v>6414760.5999999996</v>
      </c>
      <c r="M20" s="25">
        <f t="shared" si="9"/>
        <v>-7.8883059174491954E-2</v>
      </c>
      <c r="N20" s="10"/>
      <c r="R20" s="2"/>
    </row>
    <row r="21" spans="1:18" ht="15.75" x14ac:dyDescent="0.25">
      <c r="A21" s="19"/>
      <c r="B21" s="20">
        <f>DATE(2020,10,1)</f>
        <v>44105</v>
      </c>
      <c r="C21" s="21">
        <v>87099</v>
      </c>
      <c r="D21" s="21">
        <v>113052</v>
      </c>
      <c r="E21" s="23">
        <f t="shared" si="5"/>
        <v>-0.22956692495488801</v>
      </c>
      <c r="F21" s="21">
        <f>+C21-41806</f>
        <v>45293</v>
      </c>
      <c r="G21" s="21">
        <f>+D21-54189</f>
        <v>58863</v>
      </c>
      <c r="H21" s="23">
        <f t="shared" si="6"/>
        <v>-0.23053531080644887</v>
      </c>
      <c r="I21" s="24">
        <f t="shared" si="7"/>
        <v>65.65413942754796</v>
      </c>
      <c r="J21" s="24">
        <f t="shared" si="8"/>
        <v>126.25372331265316</v>
      </c>
      <c r="K21" s="21">
        <v>5718409.8899999997</v>
      </c>
      <c r="L21" s="21">
        <v>6049114.7400000002</v>
      </c>
      <c r="M21" s="25">
        <f t="shared" si="9"/>
        <v>-5.4669958202842844E-2</v>
      </c>
      <c r="N21" s="10"/>
      <c r="R21" s="2"/>
    </row>
    <row r="22" spans="1:18" ht="15.75" x14ac:dyDescent="0.25">
      <c r="A22" s="19"/>
      <c r="B22" s="20">
        <f>DATE(2020,11,1)</f>
        <v>44136</v>
      </c>
      <c r="C22" s="21">
        <v>77783</v>
      </c>
      <c r="D22" s="21">
        <v>116655</v>
      </c>
      <c r="E22" s="23">
        <f t="shared" si="5"/>
        <v>-0.3332218936179332</v>
      </c>
      <c r="F22" s="21">
        <f>+C22-37695</f>
        <v>40088</v>
      </c>
      <c r="G22" s="21">
        <f>+D22-56252</f>
        <v>60403</v>
      </c>
      <c r="H22" s="23">
        <f t="shared" si="6"/>
        <v>-0.33632435475059186</v>
      </c>
      <c r="I22" s="24">
        <f t="shared" si="7"/>
        <v>68.774152064075693</v>
      </c>
      <c r="J22" s="24">
        <f t="shared" si="8"/>
        <v>133.44292232089404</v>
      </c>
      <c r="K22" s="21">
        <v>5349459.87</v>
      </c>
      <c r="L22" s="21">
        <v>6363767.6699999999</v>
      </c>
      <c r="M22" s="25">
        <f t="shared" si="9"/>
        <v>-0.15938793692636485</v>
      </c>
      <c r="N22" s="10"/>
      <c r="R22" s="2"/>
    </row>
    <row r="23" spans="1:18" ht="15.75" x14ac:dyDescent="0.25">
      <c r="A23" s="19"/>
      <c r="B23" s="20">
        <f>DATE(2020,12,1)</f>
        <v>44166</v>
      </c>
      <c r="C23" s="21">
        <v>82424</v>
      </c>
      <c r="D23" s="21">
        <v>115489</v>
      </c>
      <c r="E23" s="23">
        <f t="shared" si="5"/>
        <v>-0.28630432335547107</v>
      </c>
      <c r="F23" s="21">
        <f>+C23-39950</f>
        <v>42474</v>
      </c>
      <c r="G23" s="21">
        <f>+D23-56066</f>
        <v>59423</v>
      </c>
      <c r="H23" s="23">
        <f t="shared" si="6"/>
        <v>-0.28522625919256855</v>
      </c>
      <c r="I23" s="24">
        <f t="shared" si="7"/>
        <v>69.936856862079011</v>
      </c>
      <c r="J23" s="24">
        <f t="shared" si="8"/>
        <v>135.71774473795733</v>
      </c>
      <c r="K23" s="21">
        <v>5764475.4900000002</v>
      </c>
      <c r="L23" s="21">
        <v>6275301.9900000002</v>
      </c>
      <c r="M23" s="25">
        <f t="shared" si="9"/>
        <v>-8.140269596810272E-2</v>
      </c>
      <c r="N23" s="10"/>
      <c r="R23" s="2"/>
    </row>
    <row r="24" spans="1:18" ht="15.75" customHeight="1" thickBot="1" x14ac:dyDescent="0.3">
      <c r="A24" s="19"/>
      <c r="B24" s="20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7.25" customHeight="1" thickTop="1" thickBot="1" x14ac:dyDescent="0.3">
      <c r="A25" s="26" t="s">
        <v>14</v>
      </c>
      <c r="B25" s="27"/>
      <c r="C25" s="28">
        <f>SUM(C18:C24)</f>
        <v>505959</v>
      </c>
      <c r="D25" s="28">
        <f>SUM(D18:D24)</f>
        <v>722457</v>
      </c>
      <c r="E25" s="279">
        <f>(+C25-D25)/D25</f>
        <v>-0.29966904604703115</v>
      </c>
      <c r="F25" s="28">
        <f>SUM(F18:F24)</f>
        <v>263800</v>
      </c>
      <c r="G25" s="28">
        <f>SUM(G18:G24)</f>
        <v>376039</v>
      </c>
      <c r="H25" s="30">
        <f>(+F25-G25)/G25</f>
        <v>-0.29847701967083201</v>
      </c>
      <c r="I25" s="31">
        <f>K25/C25</f>
        <v>67.888821366948704</v>
      </c>
      <c r="J25" s="31">
        <f>K25/F25</f>
        <v>130.20834029567854</v>
      </c>
      <c r="K25" s="28">
        <f>SUM(K18:K24)</f>
        <v>34348960.170000002</v>
      </c>
      <c r="L25" s="28">
        <f>SUM(L18:L24)</f>
        <v>39035325.680000007</v>
      </c>
      <c r="M25" s="32">
        <f>(+K25-L25)/L25</f>
        <v>-0.12005447446288617</v>
      </c>
      <c r="N25" s="10"/>
      <c r="R25" s="2"/>
    </row>
    <row r="26" spans="1:18" ht="15.75" customHeight="1" thickTop="1" x14ac:dyDescent="0.25">
      <c r="A26" s="33"/>
      <c r="B26" s="34"/>
      <c r="C26" s="35"/>
      <c r="D26" s="35"/>
      <c r="E26" s="29"/>
      <c r="F26" s="35"/>
      <c r="G26" s="35"/>
      <c r="H26" s="29"/>
      <c r="I26" s="36"/>
      <c r="J26" s="36"/>
      <c r="K26" s="35"/>
      <c r="L26" s="35"/>
      <c r="M26" s="37"/>
      <c r="N26" s="10"/>
      <c r="R26" s="2"/>
    </row>
    <row r="27" spans="1:18" ht="15.75" customHeight="1" x14ac:dyDescent="0.25">
      <c r="A27" s="19" t="s">
        <v>65</v>
      </c>
      <c r="B27" s="20">
        <f>DATE(2020,7,1)</f>
        <v>44013</v>
      </c>
      <c r="C27" s="21">
        <v>53105</v>
      </c>
      <c r="D27" s="21">
        <v>66822</v>
      </c>
      <c r="E27" s="23">
        <f t="shared" ref="E27:E32" si="10">(+C27-D27)/D27</f>
        <v>-0.20527670527670527</v>
      </c>
      <c r="F27" s="21">
        <f>+C27-28880</f>
        <v>24225</v>
      </c>
      <c r="G27" s="21">
        <f>+D27-35692</f>
        <v>31130</v>
      </c>
      <c r="H27" s="23">
        <f t="shared" ref="H27:H32" si="11">(+F27-G27)/G27</f>
        <v>-0.22181175714744619</v>
      </c>
      <c r="I27" s="24">
        <f t="shared" ref="I27:I32" si="12">K27/C27</f>
        <v>65.300001883061867</v>
      </c>
      <c r="J27" s="24">
        <f t="shared" ref="J27:J32" si="13">K27/F27</f>
        <v>143.14784726522188</v>
      </c>
      <c r="K27" s="21">
        <v>3467756.6</v>
      </c>
      <c r="L27" s="21">
        <v>3260452.77</v>
      </c>
      <c r="M27" s="25">
        <f t="shared" ref="M27:M32" si="14">(+K27-L27)/L27</f>
        <v>6.3581301317240088E-2</v>
      </c>
      <c r="N27" s="10"/>
      <c r="R27" s="2"/>
    </row>
    <row r="28" spans="1:18" ht="15.75" customHeight="1" x14ac:dyDescent="0.25">
      <c r="A28" s="19"/>
      <c r="B28" s="20">
        <f>DATE(2020,8,1)</f>
        <v>44044</v>
      </c>
      <c r="C28" s="21">
        <v>52610</v>
      </c>
      <c r="D28" s="21">
        <v>69025</v>
      </c>
      <c r="E28" s="23">
        <f t="shared" si="10"/>
        <v>-0.23781238681637087</v>
      </c>
      <c r="F28" s="21">
        <f>+C28-28661</f>
        <v>23949</v>
      </c>
      <c r="G28" s="21">
        <f>+D28-37871</f>
        <v>31154</v>
      </c>
      <c r="H28" s="23">
        <f t="shared" si="11"/>
        <v>-0.2312704628619118</v>
      </c>
      <c r="I28" s="24">
        <f t="shared" si="12"/>
        <v>62.65578787302794</v>
      </c>
      <c r="J28" s="24">
        <f t="shared" si="13"/>
        <v>137.6391916155163</v>
      </c>
      <c r="K28" s="21">
        <v>3296321</v>
      </c>
      <c r="L28" s="21">
        <v>3222586.84</v>
      </c>
      <c r="M28" s="25">
        <f t="shared" si="14"/>
        <v>2.2880426086516307E-2</v>
      </c>
      <c r="N28" s="10"/>
      <c r="R28" s="2"/>
    </row>
    <row r="29" spans="1:18" ht="15.75" customHeight="1" x14ac:dyDescent="0.25">
      <c r="A29" s="19"/>
      <c r="B29" s="20">
        <f>DATE(2020,9,1)</f>
        <v>44075</v>
      </c>
      <c r="C29" s="21">
        <v>50852</v>
      </c>
      <c r="D29" s="21">
        <v>65573</v>
      </c>
      <c r="E29" s="23">
        <f t="shared" si="10"/>
        <v>-0.22449788785018224</v>
      </c>
      <c r="F29" s="21">
        <f>+C29-27986</f>
        <v>22866</v>
      </c>
      <c r="G29" s="21">
        <f>+D29-35939</f>
        <v>29634</v>
      </c>
      <c r="H29" s="23">
        <f t="shared" si="11"/>
        <v>-0.22838631301882972</v>
      </c>
      <c r="I29" s="24">
        <f t="shared" si="12"/>
        <v>60.968254542594195</v>
      </c>
      <c r="J29" s="24">
        <f t="shared" si="13"/>
        <v>135.58810810810812</v>
      </c>
      <c r="K29" s="21">
        <v>3100357.68</v>
      </c>
      <c r="L29" s="21">
        <v>3112007.99</v>
      </c>
      <c r="M29" s="25">
        <f t="shared" si="14"/>
        <v>-3.743663267394135E-3</v>
      </c>
      <c r="N29" s="10"/>
      <c r="R29" s="2"/>
    </row>
    <row r="30" spans="1:18" ht="15.75" customHeight="1" x14ac:dyDescent="0.25">
      <c r="A30" s="19"/>
      <c r="B30" s="20">
        <f>DATE(2020,10,1)</f>
        <v>44105</v>
      </c>
      <c r="C30" s="21">
        <v>51638</v>
      </c>
      <c r="D30" s="21">
        <v>63001</v>
      </c>
      <c r="E30" s="23">
        <f t="shared" si="10"/>
        <v>-0.18036221647275441</v>
      </c>
      <c r="F30" s="21">
        <f>+C30-28439</f>
        <v>23199</v>
      </c>
      <c r="G30" s="21">
        <f>+D30-34530</f>
        <v>28471</v>
      </c>
      <c r="H30" s="23">
        <f t="shared" si="11"/>
        <v>-0.18517087562783183</v>
      </c>
      <c r="I30" s="24">
        <f t="shared" si="12"/>
        <v>65.424530965567996</v>
      </c>
      <c r="J30" s="24">
        <f t="shared" si="13"/>
        <v>145.62661881977672</v>
      </c>
      <c r="K30" s="21">
        <v>3378391.93</v>
      </c>
      <c r="L30" s="21">
        <v>3125609.18</v>
      </c>
      <c r="M30" s="25">
        <f t="shared" si="14"/>
        <v>8.0874714477259108E-2</v>
      </c>
      <c r="N30" s="10"/>
      <c r="R30" s="2"/>
    </row>
    <row r="31" spans="1:18" ht="15.75" customHeight="1" x14ac:dyDescent="0.25">
      <c r="A31" s="19"/>
      <c r="B31" s="20">
        <f>DATE(2020,11,1)</f>
        <v>44136</v>
      </c>
      <c r="C31" s="21">
        <v>45747</v>
      </c>
      <c r="D31" s="21">
        <v>64340</v>
      </c>
      <c r="E31" s="23">
        <f t="shared" si="10"/>
        <v>-0.2889804165371464</v>
      </c>
      <c r="F31" s="21">
        <f>+C31-25343</f>
        <v>20404</v>
      </c>
      <c r="G31" s="21">
        <f>+D31-35256</f>
        <v>29084</v>
      </c>
      <c r="H31" s="23">
        <f t="shared" si="11"/>
        <v>-0.29844588089671298</v>
      </c>
      <c r="I31" s="24">
        <f t="shared" si="12"/>
        <v>66.627814282903799</v>
      </c>
      <c r="J31" s="24">
        <f t="shared" si="13"/>
        <v>149.38358263085669</v>
      </c>
      <c r="K31" s="21">
        <v>3048022.62</v>
      </c>
      <c r="L31" s="21">
        <v>3209514.95</v>
      </c>
      <c r="M31" s="25">
        <f t="shared" si="14"/>
        <v>-5.0316740228924642E-2</v>
      </c>
      <c r="N31" s="10"/>
      <c r="R31" s="2"/>
    </row>
    <row r="32" spans="1:18" ht="15.75" customHeight="1" x14ac:dyDescent="0.25">
      <c r="A32" s="19"/>
      <c r="B32" s="20">
        <f>DATE(2020,12,1)</f>
        <v>44166</v>
      </c>
      <c r="C32" s="21">
        <v>50018</v>
      </c>
      <c r="D32" s="21">
        <v>68470</v>
      </c>
      <c r="E32" s="23">
        <f t="shared" si="10"/>
        <v>-0.26949028771724842</v>
      </c>
      <c r="F32" s="21">
        <f>+C32-28141</f>
        <v>21877</v>
      </c>
      <c r="G32" s="21">
        <f>+D32-38903</f>
        <v>29567</v>
      </c>
      <c r="H32" s="23">
        <f t="shared" si="11"/>
        <v>-0.26008725944465111</v>
      </c>
      <c r="I32" s="24">
        <f t="shared" si="12"/>
        <v>67.199841057219402</v>
      </c>
      <c r="J32" s="24">
        <f t="shared" si="13"/>
        <v>153.640885404763</v>
      </c>
      <c r="K32" s="21">
        <v>3361201.65</v>
      </c>
      <c r="L32" s="21">
        <v>3422072.19</v>
      </c>
      <c r="M32" s="25">
        <f t="shared" si="14"/>
        <v>-1.778762592381198E-2</v>
      </c>
      <c r="N32" s="10"/>
      <c r="R32" s="2"/>
    </row>
    <row r="33" spans="1:18" ht="15.75" customHeight="1" thickBot="1" x14ac:dyDescent="0.25">
      <c r="A33" s="38"/>
      <c r="B33" s="20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7.25" customHeight="1" thickTop="1" thickBot="1" x14ac:dyDescent="0.3">
      <c r="A34" s="39" t="s">
        <v>14</v>
      </c>
      <c r="B34" s="40"/>
      <c r="C34" s="41">
        <f>SUM(C27:C33)</f>
        <v>303970</v>
      </c>
      <c r="D34" s="41">
        <f>SUM(D27:D33)</f>
        <v>397231</v>
      </c>
      <c r="E34" s="280">
        <f>(+C34-D34)/D34</f>
        <v>-0.23477774896722561</v>
      </c>
      <c r="F34" s="41">
        <f>SUM(F27:F33)</f>
        <v>136520</v>
      </c>
      <c r="G34" s="41">
        <f>SUM(G27:G33)</f>
        <v>179040</v>
      </c>
      <c r="H34" s="42">
        <f>(+F34-G34)/G34</f>
        <v>-0.23748882931188561</v>
      </c>
      <c r="I34" s="43">
        <f>K34/C34</f>
        <v>64.651286245353148</v>
      </c>
      <c r="J34" s="43">
        <f>K34/F34</f>
        <v>143.9499815411661</v>
      </c>
      <c r="K34" s="41">
        <f>SUM(K27:K33)</f>
        <v>19652051.479999997</v>
      </c>
      <c r="L34" s="41">
        <f>SUM(L27:L33)</f>
        <v>19352243.920000002</v>
      </c>
      <c r="M34" s="44">
        <f>(+K34-L34)/L34</f>
        <v>1.5492134206212243E-2</v>
      </c>
      <c r="N34" s="10"/>
      <c r="R34" s="2"/>
    </row>
    <row r="35" spans="1:18" ht="15.75" customHeight="1" thickTop="1" x14ac:dyDescent="0.2">
      <c r="A35" s="38"/>
      <c r="B35" s="45"/>
      <c r="C35" s="21"/>
      <c r="D35" s="21"/>
      <c r="E35" s="23"/>
      <c r="F35" s="21"/>
      <c r="G35" s="21"/>
      <c r="H35" s="23"/>
      <c r="I35" s="24"/>
      <c r="J35" s="24"/>
      <c r="K35" s="21"/>
      <c r="L35" s="21"/>
      <c r="M35" s="25"/>
      <c r="N35" s="10"/>
      <c r="R35" s="2"/>
    </row>
    <row r="36" spans="1:18" ht="15.75" customHeight="1" x14ac:dyDescent="0.25">
      <c r="A36" s="177" t="s">
        <v>59</v>
      </c>
      <c r="B36" s="20">
        <f>DATE(2020,7,1)</f>
        <v>44013</v>
      </c>
      <c r="C36" s="21">
        <v>226236</v>
      </c>
      <c r="D36" s="21">
        <v>438217</v>
      </c>
      <c r="E36" s="23">
        <f t="shared" ref="E36:E41" si="15">(+C36-D36)/D36</f>
        <v>-0.4837352270678682</v>
      </c>
      <c r="F36" s="21">
        <f>+C36-121061</f>
        <v>105175</v>
      </c>
      <c r="G36" s="21">
        <f>+D36-221917</f>
        <v>216300</v>
      </c>
      <c r="H36" s="23">
        <f t="shared" ref="H36:H41" si="16">(+F36-G36)/G36</f>
        <v>-0.5137540453074434</v>
      </c>
      <c r="I36" s="24">
        <f t="shared" ref="I36:I41" si="17">K36/C36</f>
        <v>64.441251392351347</v>
      </c>
      <c r="J36" s="24">
        <f t="shared" ref="J36:J41" si="18">K36/F36</f>
        <v>138.615934870454</v>
      </c>
      <c r="K36" s="21">
        <v>14578930.949999999</v>
      </c>
      <c r="L36" s="21">
        <v>20447041.25</v>
      </c>
      <c r="M36" s="25">
        <f t="shared" ref="M36:M41" si="19">(+K36-L36)/L36</f>
        <v>-0.28699068135346972</v>
      </c>
      <c r="N36" s="10"/>
      <c r="R36" s="2"/>
    </row>
    <row r="37" spans="1:18" ht="15.75" customHeight="1" x14ac:dyDescent="0.25">
      <c r="A37" s="177"/>
      <c r="B37" s="20">
        <f>DATE(2020,8,1)</f>
        <v>44044</v>
      </c>
      <c r="C37" s="21">
        <v>248866</v>
      </c>
      <c r="D37" s="21">
        <v>437029</v>
      </c>
      <c r="E37" s="23">
        <f t="shared" si="15"/>
        <v>-0.43055037537554713</v>
      </c>
      <c r="F37" s="21">
        <f>+C37-132898</f>
        <v>115968</v>
      </c>
      <c r="G37" s="21">
        <f>+D37-215022</f>
        <v>222007</v>
      </c>
      <c r="H37" s="23">
        <f t="shared" si="16"/>
        <v>-0.47763809249257905</v>
      </c>
      <c r="I37" s="24">
        <f t="shared" si="17"/>
        <v>60.671518688772274</v>
      </c>
      <c r="J37" s="24">
        <f t="shared" si="18"/>
        <v>130.20038433016003</v>
      </c>
      <c r="K37" s="21">
        <v>15099078.17</v>
      </c>
      <c r="L37" s="21">
        <v>21336857.579999998</v>
      </c>
      <c r="M37" s="25">
        <f t="shared" si="19"/>
        <v>-0.29234761429194478</v>
      </c>
      <c r="N37" s="10"/>
      <c r="R37" s="2"/>
    </row>
    <row r="38" spans="1:18" ht="15.75" customHeight="1" x14ac:dyDescent="0.25">
      <c r="A38" s="177"/>
      <c r="B38" s="20">
        <f>DATE(2020,9,1)</f>
        <v>44075</v>
      </c>
      <c r="C38" s="21">
        <v>249571</v>
      </c>
      <c r="D38" s="21">
        <v>403849</v>
      </c>
      <c r="E38" s="23">
        <f t="shared" si="15"/>
        <v>-0.38201902196117854</v>
      </c>
      <c r="F38" s="21">
        <f>+C38-130815</f>
        <v>118756</v>
      </c>
      <c r="G38" s="21">
        <f>+D38-198275</f>
        <v>205574</v>
      </c>
      <c r="H38" s="23">
        <f t="shared" si="16"/>
        <v>-0.42231994318347649</v>
      </c>
      <c r="I38" s="24">
        <f t="shared" si="17"/>
        <v>59.832789787274962</v>
      </c>
      <c r="J38" s="24">
        <f t="shared" si="18"/>
        <v>125.74126090471218</v>
      </c>
      <c r="K38" s="21">
        <v>14932529.18</v>
      </c>
      <c r="L38" s="21">
        <v>18932128.91</v>
      </c>
      <c r="M38" s="25">
        <f t="shared" si="19"/>
        <v>-0.21125990368084813</v>
      </c>
      <c r="N38" s="10"/>
      <c r="R38" s="2"/>
    </row>
    <row r="39" spans="1:18" ht="15.75" customHeight="1" x14ac:dyDescent="0.25">
      <c r="A39" s="177"/>
      <c r="B39" s="20">
        <f>DATE(2020,10,1)</f>
        <v>44105</v>
      </c>
      <c r="C39" s="21">
        <v>272084</v>
      </c>
      <c r="D39" s="21">
        <v>396586</v>
      </c>
      <c r="E39" s="23">
        <f t="shared" si="15"/>
        <v>-0.3139344303631495</v>
      </c>
      <c r="F39" s="21">
        <f>+C39-143559</f>
        <v>128525</v>
      </c>
      <c r="G39" s="21">
        <f>+D39-195500</f>
        <v>201086</v>
      </c>
      <c r="H39" s="23">
        <f t="shared" si="16"/>
        <v>-0.36084560834667756</v>
      </c>
      <c r="I39" s="24">
        <f t="shared" si="17"/>
        <v>58.369290954264123</v>
      </c>
      <c r="J39" s="24">
        <f t="shared" si="18"/>
        <v>123.5662334954289</v>
      </c>
      <c r="K39" s="21">
        <v>15881350.16</v>
      </c>
      <c r="L39" s="21">
        <v>19033136.550000001</v>
      </c>
      <c r="M39" s="25">
        <f t="shared" si="19"/>
        <v>-0.16559469227367049</v>
      </c>
      <c r="N39" s="10"/>
      <c r="R39" s="2"/>
    </row>
    <row r="40" spans="1:18" ht="15.75" customHeight="1" x14ac:dyDescent="0.25">
      <c r="A40" s="177"/>
      <c r="B40" s="20">
        <f>DATE(2020,11,1)</f>
        <v>44136</v>
      </c>
      <c r="C40" s="21">
        <v>232899</v>
      </c>
      <c r="D40" s="21">
        <v>419787</v>
      </c>
      <c r="E40" s="23">
        <f t="shared" si="15"/>
        <v>-0.44519720715505723</v>
      </c>
      <c r="F40" s="21">
        <f>+C40-123557</f>
        <v>109342</v>
      </c>
      <c r="G40" s="21">
        <f>+D40-213343</f>
        <v>206444</v>
      </c>
      <c r="H40" s="23">
        <f t="shared" si="16"/>
        <v>-0.47035515684640872</v>
      </c>
      <c r="I40" s="24">
        <f t="shared" si="17"/>
        <v>58.263514184260124</v>
      </c>
      <c r="J40" s="24">
        <f t="shared" si="18"/>
        <v>124.10157295458286</v>
      </c>
      <c r="K40" s="21">
        <v>13569514.189999999</v>
      </c>
      <c r="L40" s="21">
        <v>20240068.129999999</v>
      </c>
      <c r="M40" s="25">
        <f t="shared" si="19"/>
        <v>-0.32957171374896949</v>
      </c>
      <c r="N40" s="10"/>
      <c r="R40" s="2"/>
    </row>
    <row r="41" spans="1:18" ht="15.75" customHeight="1" x14ac:dyDescent="0.25">
      <c r="A41" s="177"/>
      <c r="B41" s="20">
        <f>DATE(2020,12,1)</f>
        <v>44166</v>
      </c>
      <c r="C41" s="21">
        <v>226657</v>
      </c>
      <c r="D41" s="21">
        <v>398020</v>
      </c>
      <c r="E41" s="23">
        <f t="shared" si="15"/>
        <v>-0.43053866639867344</v>
      </c>
      <c r="F41" s="21">
        <f>+C41-116839</f>
        <v>109818</v>
      </c>
      <c r="G41" s="21">
        <f>+D41-203674</f>
        <v>194346</v>
      </c>
      <c r="H41" s="23">
        <f t="shared" si="16"/>
        <v>-0.43493563026766696</v>
      </c>
      <c r="I41" s="24">
        <f t="shared" si="17"/>
        <v>64.91430231583405</v>
      </c>
      <c r="J41" s="24">
        <f t="shared" si="18"/>
        <v>133.9787741535996</v>
      </c>
      <c r="K41" s="21">
        <v>14713281.02</v>
      </c>
      <c r="L41" s="21">
        <v>19602359.640000001</v>
      </c>
      <c r="M41" s="25">
        <f t="shared" si="19"/>
        <v>-0.24941275998342008</v>
      </c>
      <c r="N41" s="10"/>
      <c r="R41" s="2"/>
    </row>
    <row r="42" spans="1:18" ht="15.75" thickBot="1" x14ac:dyDescent="0.25">
      <c r="A42" s="38"/>
      <c r="B42" s="45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thickTop="1" thickBot="1" x14ac:dyDescent="0.3">
      <c r="A43" s="39" t="s">
        <v>14</v>
      </c>
      <c r="B43" s="40"/>
      <c r="C43" s="41">
        <f>SUM(C36:C42)</f>
        <v>1456313</v>
      </c>
      <c r="D43" s="41">
        <f>SUM(D36:D42)</f>
        <v>2493488</v>
      </c>
      <c r="E43" s="280">
        <f>(+C43-D43)/D43</f>
        <v>-0.41595347561327745</v>
      </c>
      <c r="F43" s="41">
        <f>SUM(F36:F42)</f>
        <v>687584</v>
      </c>
      <c r="G43" s="41">
        <f>SUM(G36:G42)</f>
        <v>1245757</v>
      </c>
      <c r="H43" s="42">
        <f>(+F43-G43)/G43</f>
        <v>-0.44805929246233417</v>
      </c>
      <c r="I43" s="43">
        <f>K43/C43</f>
        <v>60.958518992826399</v>
      </c>
      <c r="J43" s="43">
        <f>K43/F43</f>
        <v>129.11103758958905</v>
      </c>
      <c r="K43" s="41">
        <f>SUM(K36:K42)</f>
        <v>88774683.669999987</v>
      </c>
      <c r="L43" s="41">
        <f>SUM(L36:L42)</f>
        <v>119591592.05999999</v>
      </c>
      <c r="M43" s="44">
        <f>(+K43-L43)/L43</f>
        <v>-0.25768457346515572</v>
      </c>
      <c r="N43" s="10"/>
      <c r="R43" s="2"/>
    </row>
    <row r="44" spans="1:18" ht="15.75" thickTop="1" x14ac:dyDescent="0.2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x14ac:dyDescent="0.25">
      <c r="A45" s="19" t="s">
        <v>63</v>
      </c>
      <c r="B45" s="20">
        <f>DATE(2020,7,1)</f>
        <v>44013</v>
      </c>
      <c r="C45" s="21">
        <v>260785</v>
      </c>
      <c r="D45" s="21">
        <v>288759</v>
      </c>
      <c r="E45" s="23">
        <f t="shared" ref="E45:E50" si="20">(+C45-D45)/D45</f>
        <v>-9.6876634148199706E-2</v>
      </c>
      <c r="F45" s="21">
        <f>+C45-121006</f>
        <v>139779</v>
      </c>
      <c r="G45" s="21">
        <f>+D45-131177</f>
        <v>157582</v>
      </c>
      <c r="H45" s="23">
        <f t="shared" ref="H45:H50" si="21">(+F45-G45)/G45</f>
        <v>-0.11297610133137033</v>
      </c>
      <c r="I45" s="24">
        <f t="shared" ref="I45:I50" si="22">K45/C45</f>
        <v>60.581983204555478</v>
      </c>
      <c r="J45" s="24">
        <f t="shared" ref="J45:J50" si="23">K45/F45</f>
        <v>113.02751121413088</v>
      </c>
      <c r="K45" s="21">
        <v>15798872.49</v>
      </c>
      <c r="L45" s="21">
        <v>14077474.74</v>
      </c>
      <c r="M45" s="25">
        <f t="shared" ref="M45:M50" si="24">(+K45-L45)/L45</f>
        <v>0.12228029400108162</v>
      </c>
      <c r="N45" s="10"/>
      <c r="R45" s="2"/>
    </row>
    <row r="46" spans="1:18" ht="15.75" x14ac:dyDescent="0.25">
      <c r="A46" s="19"/>
      <c r="B46" s="20">
        <f>DATE(2020,8,1)</f>
        <v>44044</v>
      </c>
      <c r="C46" s="21">
        <v>267898</v>
      </c>
      <c r="D46" s="21">
        <v>292957</v>
      </c>
      <c r="E46" s="23">
        <f t="shared" si="20"/>
        <v>-8.5538150650095401E-2</v>
      </c>
      <c r="F46" s="21">
        <f>+C46-127416</f>
        <v>140482</v>
      </c>
      <c r="G46" s="21">
        <f>+D46-131852</f>
        <v>161105</v>
      </c>
      <c r="H46" s="23">
        <f t="shared" si="21"/>
        <v>-0.12800968312591168</v>
      </c>
      <c r="I46" s="24">
        <f t="shared" si="22"/>
        <v>58.202557988488159</v>
      </c>
      <c r="J46" s="24">
        <f t="shared" si="23"/>
        <v>110.99179168861492</v>
      </c>
      <c r="K46" s="21">
        <v>15592348.880000001</v>
      </c>
      <c r="L46" s="21">
        <v>15580367.26</v>
      </c>
      <c r="M46" s="25">
        <f t="shared" si="24"/>
        <v>7.6902038315629817E-4</v>
      </c>
      <c r="N46" s="10"/>
      <c r="R46" s="2"/>
    </row>
    <row r="47" spans="1:18" ht="15.75" x14ac:dyDescent="0.25">
      <c r="A47" s="19"/>
      <c r="B47" s="20">
        <f>DATE(2020,9,1)</f>
        <v>44075</v>
      </c>
      <c r="C47" s="21">
        <v>245708</v>
      </c>
      <c r="D47" s="21">
        <v>276713</v>
      </c>
      <c r="E47" s="23">
        <f t="shared" si="20"/>
        <v>-0.11204750047883547</v>
      </c>
      <c r="F47" s="21">
        <f>+C47-116526</f>
        <v>129182</v>
      </c>
      <c r="G47" s="21">
        <f>+D47-125818</f>
        <v>150895</v>
      </c>
      <c r="H47" s="23">
        <f t="shared" si="21"/>
        <v>-0.1438947612578283</v>
      </c>
      <c r="I47" s="24">
        <f t="shared" si="22"/>
        <v>59.831929770296455</v>
      </c>
      <c r="J47" s="24">
        <f t="shared" si="23"/>
        <v>113.802107104705</v>
      </c>
      <c r="K47" s="21">
        <v>14701183.800000001</v>
      </c>
      <c r="L47" s="21">
        <v>14643182.48</v>
      </c>
      <c r="M47" s="25">
        <f t="shared" si="24"/>
        <v>3.9609777505142654E-3</v>
      </c>
      <c r="N47" s="10"/>
      <c r="R47" s="2"/>
    </row>
    <row r="48" spans="1:18" ht="15.75" x14ac:dyDescent="0.25">
      <c r="A48" s="19"/>
      <c r="B48" s="20">
        <f>DATE(2020,10,1)</f>
        <v>44105</v>
      </c>
      <c r="C48" s="21">
        <v>252286</v>
      </c>
      <c r="D48" s="21">
        <v>265282</v>
      </c>
      <c r="E48" s="23">
        <f t="shared" si="20"/>
        <v>-4.8989377341847544E-2</v>
      </c>
      <c r="F48" s="21">
        <f>+C48-116651</f>
        <v>135635</v>
      </c>
      <c r="G48" s="21">
        <f>+D48-120858</f>
        <v>144424</v>
      </c>
      <c r="H48" s="23">
        <f t="shared" si="21"/>
        <v>-6.0855536475931976E-2</v>
      </c>
      <c r="I48" s="24">
        <f t="shared" si="22"/>
        <v>59.294009100782446</v>
      </c>
      <c r="J48" s="24">
        <f t="shared" si="23"/>
        <v>110.28899900468168</v>
      </c>
      <c r="K48" s="21">
        <v>14959048.380000001</v>
      </c>
      <c r="L48" s="21">
        <v>14675401.32</v>
      </c>
      <c r="M48" s="25">
        <f t="shared" si="24"/>
        <v>1.9328061551096343E-2</v>
      </c>
      <c r="N48" s="10"/>
      <c r="R48" s="2"/>
    </row>
    <row r="49" spans="1:18" ht="15.75" x14ac:dyDescent="0.25">
      <c r="A49" s="19"/>
      <c r="B49" s="20">
        <f>DATE(2020,11,1)</f>
        <v>44136</v>
      </c>
      <c r="C49" s="21">
        <v>229647</v>
      </c>
      <c r="D49" s="21">
        <v>288764</v>
      </c>
      <c r="E49" s="23">
        <f t="shared" si="20"/>
        <v>-0.20472427310883629</v>
      </c>
      <c r="F49" s="21">
        <f>+C49-106423</f>
        <v>123224</v>
      </c>
      <c r="G49" s="21">
        <f>+D49-130395</f>
        <v>158369</v>
      </c>
      <c r="H49" s="23">
        <f t="shared" si="21"/>
        <v>-0.22191843100606812</v>
      </c>
      <c r="I49" s="24">
        <f t="shared" si="22"/>
        <v>54.453050290228049</v>
      </c>
      <c r="J49" s="24">
        <f t="shared" si="23"/>
        <v>101.48168895669676</v>
      </c>
      <c r="K49" s="21">
        <v>12504979.640000001</v>
      </c>
      <c r="L49" s="21">
        <v>14546056.49</v>
      </c>
      <c r="M49" s="25">
        <f t="shared" si="24"/>
        <v>-0.1403182265518618</v>
      </c>
      <c r="N49" s="10"/>
      <c r="R49" s="2"/>
    </row>
    <row r="50" spans="1:18" ht="15.75" x14ac:dyDescent="0.25">
      <c r="A50" s="19"/>
      <c r="B50" s="20">
        <f>DATE(2020,12,1)</f>
        <v>44166</v>
      </c>
      <c r="C50" s="21">
        <v>237315</v>
      </c>
      <c r="D50" s="21">
        <v>302309</v>
      </c>
      <c r="E50" s="23">
        <f t="shared" si="20"/>
        <v>-0.21499194532746296</v>
      </c>
      <c r="F50" s="21">
        <f>+C50-109898</f>
        <v>127417</v>
      </c>
      <c r="G50" s="21">
        <f>+D50-138214</f>
        <v>164095</v>
      </c>
      <c r="H50" s="23">
        <f t="shared" si="21"/>
        <v>-0.22351686523050671</v>
      </c>
      <c r="I50" s="24">
        <f t="shared" si="22"/>
        <v>55.607328782419991</v>
      </c>
      <c r="J50" s="24">
        <f t="shared" si="23"/>
        <v>103.56901535901802</v>
      </c>
      <c r="K50" s="21">
        <v>13196453.23</v>
      </c>
      <c r="L50" s="21">
        <v>14887793.43</v>
      </c>
      <c r="M50" s="25">
        <f t="shared" si="24"/>
        <v>-0.11360583473651806</v>
      </c>
      <c r="N50" s="10"/>
      <c r="R50" s="2"/>
    </row>
    <row r="51" spans="1:18" ht="15.75" thickBot="1" x14ac:dyDescent="0.25">
      <c r="A51" s="38"/>
      <c r="B51" s="20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thickTop="1" thickBot="1" x14ac:dyDescent="0.3">
      <c r="A52" s="39" t="s">
        <v>14</v>
      </c>
      <c r="B52" s="40"/>
      <c r="C52" s="41">
        <f>SUM(C45:C51)</f>
        <v>1493639</v>
      </c>
      <c r="D52" s="41">
        <f>SUM(D45:D51)</f>
        <v>1714784</v>
      </c>
      <c r="E52" s="281">
        <f>(+C52-D52)/D52</f>
        <v>-0.12896376453244257</v>
      </c>
      <c r="F52" s="47">
        <f>SUM(F45:F51)</f>
        <v>795719</v>
      </c>
      <c r="G52" s="48">
        <f>SUM(G45:G51)</f>
        <v>936470</v>
      </c>
      <c r="H52" s="49">
        <f>(+F52-G52)/G52</f>
        <v>-0.15029952908261876</v>
      </c>
      <c r="I52" s="50">
        <f>K52/C52</f>
        <v>58.081562157924374</v>
      </c>
      <c r="J52" s="51">
        <f>K52/F52</f>
        <v>109.02452551717379</v>
      </c>
      <c r="K52" s="48">
        <f>SUM(K45:K51)</f>
        <v>86752886.420000002</v>
      </c>
      <c r="L52" s="47">
        <f>SUM(L45:L51)</f>
        <v>88410275.719999999</v>
      </c>
      <c r="M52" s="44">
        <f>(+K52-L52)/L52</f>
        <v>-1.8746568614366008E-2</v>
      </c>
      <c r="N52" s="10"/>
      <c r="R52" s="2"/>
    </row>
    <row r="53" spans="1:18" ht="15.75" customHeight="1" thickTop="1" x14ac:dyDescent="0.25">
      <c r="A53" s="273"/>
      <c r="B53" s="45"/>
      <c r="C53" s="21"/>
      <c r="D53" s="21"/>
      <c r="E53" s="23"/>
      <c r="F53" s="21"/>
      <c r="G53" s="21"/>
      <c r="H53" s="23"/>
      <c r="I53" s="24"/>
      <c r="J53" s="24"/>
      <c r="K53" s="21"/>
      <c r="L53" s="21"/>
      <c r="M53" s="25"/>
      <c r="N53" s="10"/>
      <c r="R53" s="2"/>
    </row>
    <row r="54" spans="1:18" ht="15.75" x14ac:dyDescent="0.25">
      <c r="A54" s="274" t="s">
        <v>64</v>
      </c>
      <c r="B54" s="20">
        <f>DATE(2020,7,1)</f>
        <v>44013</v>
      </c>
      <c r="C54" s="21">
        <v>75978</v>
      </c>
      <c r="D54" s="21">
        <v>110928</v>
      </c>
      <c r="E54" s="23">
        <f t="shared" ref="E54:E59" si="25">(+C54-D54)/D54</f>
        <v>-0.31506923409779314</v>
      </c>
      <c r="F54" s="21">
        <f>+C54-36462</f>
        <v>39516</v>
      </c>
      <c r="G54" s="21">
        <f>+D54-54910</f>
        <v>56018</v>
      </c>
      <c r="H54" s="23">
        <f t="shared" ref="H54:H59" si="26">(+F54-G54)/G54</f>
        <v>-0.29458388375165123</v>
      </c>
      <c r="I54" s="24">
        <f t="shared" ref="I54:I59" si="27">K54/C54</f>
        <v>65.902360814972752</v>
      </c>
      <c r="J54" s="24">
        <f t="shared" ref="J54:J59" si="28">K54/F54</f>
        <v>126.71144776799272</v>
      </c>
      <c r="K54" s="21">
        <v>5007129.57</v>
      </c>
      <c r="L54" s="21">
        <v>4456959.1900000004</v>
      </c>
      <c r="M54" s="25">
        <f t="shared" ref="M54:M59" si="29">(+K54-L54)/L54</f>
        <v>0.12344074884831957</v>
      </c>
      <c r="N54" s="10"/>
      <c r="R54" s="2"/>
    </row>
    <row r="55" spans="1:18" ht="15.75" x14ac:dyDescent="0.25">
      <c r="A55" s="274"/>
      <c r="B55" s="20">
        <f>DATE(2020,8,1)</f>
        <v>44044</v>
      </c>
      <c r="C55" s="21">
        <v>75051</v>
      </c>
      <c r="D55" s="21">
        <v>114308</v>
      </c>
      <c r="E55" s="23">
        <f t="shared" si="25"/>
        <v>-0.34343178080274345</v>
      </c>
      <c r="F55" s="21">
        <f>+C55-37094</f>
        <v>37957</v>
      </c>
      <c r="G55" s="21">
        <f>+D55-54234</f>
        <v>60074</v>
      </c>
      <c r="H55" s="23">
        <f t="shared" si="26"/>
        <v>-0.36816259946066515</v>
      </c>
      <c r="I55" s="24">
        <f t="shared" si="27"/>
        <v>66.127390707652125</v>
      </c>
      <c r="J55" s="24">
        <f t="shared" si="28"/>
        <v>130.75129225175857</v>
      </c>
      <c r="K55" s="21">
        <v>4962926.8</v>
      </c>
      <c r="L55" s="21">
        <v>5215749.95</v>
      </c>
      <c r="M55" s="25">
        <f t="shared" si="29"/>
        <v>-4.8473019685309177E-2</v>
      </c>
      <c r="N55" s="10"/>
      <c r="R55" s="2"/>
    </row>
    <row r="56" spans="1:18" ht="15.75" x14ac:dyDescent="0.25">
      <c r="A56" s="274"/>
      <c r="B56" s="20">
        <f>DATE(2020,9,1)</f>
        <v>44075</v>
      </c>
      <c r="C56" s="21">
        <v>76058</v>
      </c>
      <c r="D56" s="21">
        <v>108669</v>
      </c>
      <c r="E56" s="23">
        <f t="shared" si="25"/>
        <v>-0.30009478324085065</v>
      </c>
      <c r="F56" s="21">
        <f>+C56-37383</f>
        <v>38675</v>
      </c>
      <c r="G56" s="21">
        <f>+D56-53294</f>
        <v>55375</v>
      </c>
      <c r="H56" s="23">
        <f t="shared" si="26"/>
        <v>-0.30158013544018059</v>
      </c>
      <c r="I56" s="24">
        <f t="shared" si="27"/>
        <v>65.497897131136753</v>
      </c>
      <c r="J56" s="24">
        <f t="shared" si="28"/>
        <v>128.80773264382674</v>
      </c>
      <c r="K56" s="21">
        <v>4981639.0599999996</v>
      </c>
      <c r="L56" s="21">
        <v>5069628.72</v>
      </c>
      <c r="M56" s="25">
        <f t="shared" si="29"/>
        <v>-1.7356233534987577E-2</v>
      </c>
      <c r="N56" s="10"/>
      <c r="R56" s="2"/>
    </row>
    <row r="57" spans="1:18" ht="15.75" x14ac:dyDescent="0.25">
      <c r="A57" s="274"/>
      <c r="B57" s="20">
        <f>DATE(2020,10,1)</f>
        <v>44105</v>
      </c>
      <c r="C57" s="21">
        <v>79279</v>
      </c>
      <c r="D57" s="21">
        <v>108635</v>
      </c>
      <c r="E57" s="23">
        <f t="shared" si="25"/>
        <v>-0.27022598610024395</v>
      </c>
      <c r="F57" s="21">
        <f>+C57-39288</f>
        <v>39991</v>
      </c>
      <c r="G57" s="21">
        <f>+D57-52866</f>
        <v>55769</v>
      </c>
      <c r="H57" s="23">
        <f t="shared" si="26"/>
        <v>-0.28291703276013558</v>
      </c>
      <c r="I57" s="24">
        <f t="shared" si="27"/>
        <v>62.994921605973836</v>
      </c>
      <c r="J57" s="24">
        <f t="shared" si="28"/>
        <v>124.8824583031182</v>
      </c>
      <c r="K57" s="21">
        <v>4994174.3899999997</v>
      </c>
      <c r="L57" s="21">
        <v>5103440.46</v>
      </c>
      <c r="M57" s="25">
        <f t="shared" si="29"/>
        <v>-2.141027623549473E-2</v>
      </c>
      <c r="N57" s="10"/>
      <c r="R57" s="2"/>
    </row>
    <row r="58" spans="1:18" ht="15.75" x14ac:dyDescent="0.25">
      <c r="A58" s="274"/>
      <c r="B58" s="20">
        <f>DATE(2020,11,1)</f>
        <v>44136</v>
      </c>
      <c r="C58" s="21">
        <v>74117</v>
      </c>
      <c r="D58" s="21">
        <v>108978</v>
      </c>
      <c r="E58" s="23">
        <f t="shared" si="25"/>
        <v>-0.31989025307860303</v>
      </c>
      <c r="F58" s="21">
        <f>+C58-36979</f>
        <v>37138</v>
      </c>
      <c r="G58" s="21">
        <f>+D58-53627</f>
        <v>55351</v>
      </c>
      <c r="H58" s="23">
        <f t="shared" si="26"/>
        <v>-0.3290455456992647</v>
      </c>
      <c r="I58" s="24">
        <f t="shared" si="27"/>
        <v>60.658709203016848</v>
      </c>
      <c r="J58" s="24">
        <f t="shared" si="28"/>
        <v>121.05771850934353</v>
      </c>
      <c r="K58" s="21">
        <v>4495841.55</v>
      </c>
      <c r="L58" s="21">
        <v>5108677.83</v>
      </c>
      <c r="M58" s="25">
        <f t="shared" si="29"/>
        <v>-0.11995986053401224</v>
      </c>
      <c r="N58" s="10"/>
      <c r="R58" s="2"/>
    </row>
    <row r="59" spans="1:18" ht="15.75" x14ac:dyDescent="0.25">
      <c r="A59" s="274"/>
      <c r="B59" s="20">
        <f>DATE(2020,12,1)</f>
        <v>44166</v>
      </c>
      <c r="C59" s="21">
        <v>90055</v>
      </c>
      <c r="D59" s="21">
        <v>115824</v>
      </c>
      <c r="E59" s="23">
        <f t="shared" si="25"/>
        <v>-0.22248411382787678</v>
      </c>
      <c r="F59" s="21">
        <f>+C59-45539</f>
        <v>44516</v>
      </c>
      <c r="G59" s="21">
        <f>+D59-57047</f>
        <v>58777</v>
      </c>
      <c r="H59" s="23">
        <f t="shared" si="26"/>
        <v>-0.24262891947530496</v>
      </c>
      <c r="I59" s="24">
        <f t="shared" si="27"/>
        <v>68.144607517628117</v>
      </c>
      <c r="J59" s="24">
        <f t="shared" si="28"/>
        <v>137.85521228322401</v>
      </c>
      <c r="K59" s="21">
        <v>6136762.6299999999</v>
      </c>
      <c r="L59" s="21">
        <v>5367894.3099999996</v>
      </c>
      <c r="M59" s="25">
        <f t="shared" si="29"/>
        <v>0.14323462341045987</v>
      </c>
      <c r="N59" s="10"/>
      <c r="R59" s="2"/>
    </row>
    <row r="60" spans="1:18" ht="15.75" customHeight="1" thickBot="1" x14ac:dyDescent="0.3">
      <c r="A60" s="19"/>
      <c r="B60" s="20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7.45" customHeight="1" thickTop="1" thickBot="1" x14ac:dyDescent="0.3">
      <c r="A61" s="39" t="s">
        <v>14</v>
      </c>
      <c r="B61" s="52"/>
      <c r="C61" s="47">
        <f>SUM(C54:C60)</f>
        <v>470538</v>
      </c>
      <c r="D61" s="48">
        <f>SUM(D54:D60)</f>
        <v>667342</v>
      </c>
      <c r="E61" s="281">
        <f>(+C61-D61)/D61</f>
        <v>-0.29490725894668701</v>
      </c>
      <c r="F61" s="48">
        <f>SUM(F54:F60)</f>
        <v>237793</v>
      </c>
      <c r="G61" s="47">
        <f>SUM(G54:G60)</f>
        <v>341364</v>
      </c>
      <c r="H61" s="46">
        <f>(+F61-G61)/G61</f>
        <v>-0.30340340516281739</v>
      </c>
      <c r="I61" s="51">
        <f>K61/C61</f>
        <v>64.986194526265677</v>
      </c>
      <c r="J61" s="50">
        <f>K61/F61</f>
        <v>128.59282653400226</v>
      </c>
      <c r="K61" s="47">
        <f>SUM(K54:K60)</f>
        <v>30578474</v>
      </c>
      <c r="L61" s="48">
        <f>SUM(L54:L60)</f>
        <v>30322350.459999997</v>
      </c>
      <c r="M61" s="44">
        <f>(+K61-L61)/L61</f>
        <v>8.4466915036111902E-3</v>
      </c>
      <c r="N61" s="10"/>
      <c r="R61" s="2"/>
    </row>
    <row r="62" spans="1:18" ht="15.75" customHeight="1" thickTop="1" x14ac:dyDescent="0.25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5.75" x14ac:dyDescent="0.25">
      <c r="A63" s="19" t="s">
        <v>66</v>
      </c>
      <c r="B63" s="20">
        <f>DATE(2020,7,1)</f>
        <v>44013</v>
      </c>
      <c r="C63" s="21">
        <v>89782</v>
      </c>
      <c r="D63" s="21">
        <v>151411</v>
      </c>
      <c r="E63" s="23">
        <f t="shared" ref="E63:E68" si="30">(+C63-D63)/D63</f>
        <v>-0.40703119324223469</v>
      </c>
      <c r="F63" s="21">
        <f>+C63-42122</f>
        <v>47660</v>
      </c>
      <c r="G63" s="21">
        <f>+D63-71749</f>
        <v>79662</v>
      </c>
      <c r="H63" s="23">
        <f t="shared" ref="H63:H68" si="31">(+F63-G63)/G63</f>
        <v>-0.40172227661871407</v>
      </c>
      <c r="I63" s="24">
        <f t="shared" ref="I63:I68" si="32">K63/C63</f>
        <v>50.702362945802051</v>
      </c>
      <c r="J63" s="24">
        <f t="shared" ref="J63:J68" si="33">K63/F63</f>
        <v>95.513209190096518</v>
      </c>
      <c r="K63" s="21">
        <v>4552159.55</v>
      </c>
      <c r="L63" s="21">
        <v>5243377.2</v>
      </c>
      <c r="M63" s="25">
        <f t="shared" ref="M63:M68" si="34">(+K63-L63)/L63</f>
        <v>-0.13182680238987962</v>
      </c>
      <c r="N63" s="10"/>
      <c r="R63" s="2"/>
    </row>
    <row r="64" spans="1:18" ht="15.75" x14ac:dyDescent="0.25">
      <c r="A64" s="19"/>
      <c r="B64" s="20">
        <f>DATE(2020,8,1)</f>
        <v>44044</v>
      </c>
      <c r="C64" s="21">
        <v>90766</v>
      </c>
      <c r="D64" s="21">
        <v>153404</v>
      </c>
      <c r="E64" s="23">
        <f t="shared" si="30"/>
        <v>-0.40832051315480694</v>
      </c>
      <c r="F64" s="21">
        <f>+C64-42451</f>
        <v>48315</v>
      </c>
      <c r="G64" s="21">
        <f>+D64-72820</f>
        <v>80584</v>
      </c>
      <c r="H64" s="23">
        <f t="shared" si="31"/>
        <v>-0.40043929315993249</v>
      </c>
      <c r="I64" s="24">
        <f t="shared" si="32"/>
        <v>48.512467223409644</v>
      </c>
      <c r="J64" s="24">
        <f t="shared" si="33"/>
        <v>91.136967815378242</v>
      </c>
      <c r="K64" s="21">
        <v>4403282.5999999996</v>
      </c>
      <c r="L64" s="21">
        <v>5663787.5</v>
      </c>
      <c r="M64" s="25">
        <f t="shared" si="34"/>
        <v>-0.22255511881404455</v>
      </c>
      <c r="N64" s="10"/>
      <c r="R64" s="2"/>
    </row>
    <row r="65" spans="1:18" ht="15.75" x14ac:dyDescent="0.25">
      <c r="A65" s="19"/>
      <c r="B65" s="20">
        <f>DATE(2020,9,1)</f>
        <v>44075</v>
      </c>
      <c r="C65" s="21">
        <v>113899</v>
      </c>
      <c r="D65" s="21">
        <v>143049</v>
      </c>
      <c r="E65" s="23">
        <f t="shared" si="30"/>
        <v>-0.20377632839097093</v>
      </c>
      <c r="F65" s="21">
        <f>+C65-56486</f>
        <v>57413</v>
      </c>
      <c r="G65" s="21">
        <f>+D65-67371</f>
        <v>75678</v>
      </c>
      <c r="H65" s="23">
        <f t="shared" si="31"/>
        <v>-0.24135151563201987</v>
      </c>
      <c r="I65" s="24">
        <f t="shared" si="32"/>
        <v>47.025149035549042</v>
      </c>
      <c r="J65" s="24">
        <f t="shared" si="33"/>
        <v>93.291022068172722</v>
      </c>
      <c r="K65" s="21">
        <v>5356117.45</v>
      </c>
      <c r="L65" s="21">
        <v>5081304.75</v>
      </c>
      <c r="M65" s="25">
        <f t="shared" si="34"/>
        <v>5.4083097456416131E-2</v>
      </c>
      <c r="N65" s="10"/>
      <c r="R65" s="2"/>
    </row>
    <row r="66" spans="1:18" ht="15.75" x14ac:dyDescent="0.25">
      <c r="A66" s="19"/>
      <c r="B66" s="20">
        <f>DATE(2020,10,1)</f>
        <v>44105</v>
      </c>
      <c r="C66" s="21">
        <v>133252</v>
      </c>
      <c r="D66" s="21">
        <v>147133</v>
      </c>
      <c r="E66" s="23">
        <f t="shared" si="30"/>
        <v>-9.4343213283219943E-2</v>
      </c>
      <c r="F66" s="21">
        <f>+C66-63794</f>
        <v>69458</v>
      </c>
      <c r="G66" s="21">
        <f>+D66-70441</f>
        <v>76692</v>
      </c>
      <c r="H66" s="23">
        <f t="shared" si="31"/>
        <v>-9.4325353361497943E-2</v>
      </c>
      <c r="I66" s="24">
        <f t="shared" si="32"/>
        <v>46.010231140996012</v>
      </c>
      <c r="J66" s="24">
        <f t="shared" si="33"/>
        <v>88.268526591609316</v>
      </c>
      <c r="K66" s="21">
        <v>6130955.3200000003</v>
      </c>
      <c r="L66" s="21">
        <v>5402701.21</v>
      </c>
      <c r="M66" s="25">
        <f t="shared" si="34"/>
        <v>0.13479444479588393</v>
      </c>
      <c r="N66" s="10"/>
      <c r="R66" s="2"/>
    </row>
    <row r="67" spans="1:18" ht="15.75" x14ac:dyDescent="0.25">
      <c r="A67" s="19"/>
      <c r="B67" s="20">
        <f>DATE(2020,11,1)</f>
        <v>44136</v>
      </c>
      <c r="C67" s="21">
        <v>128642</v>
      </c>
      <c r="D67" s="21">
        <v>147609</v>
      </c>
      <c r="E67" s="23">
        <f t="shared" si="30"/>
        <v>-0.1284948749737482</v>
      </c>
      <c r="F67" s="21">
        <f>+C67-61517</f>
        <v>67125</v>
      </c>
      <c r="G67" s="21">
        <f>+D67-72727</f>
        <v>74882</v>
      </c>
      <c r="H67" s="23">
        <f t="shared" si="31"/>
        <v>-0.10358964771240084</v>
      </c>
      <c r="I67" s="24">
        <f t="shared" si="32"/>
        <v>44.797572410254816</v>
      </c>
      <c r="J67" s="24">
        <f t="shared" si="33"/>
        <v>85.852503687150829</v>
      </c>
      <c r="K67" s="21">
        <v>5762849.3099999996</v>
      </c>
      <c r="L67" s="21">
        <v>5427921.8600000003</v>
      </c>
      <c r="M67" s="25">
        <f t="shared" si="34"/>
        <v>6.1704545245608831E-2</v>
      </c>
      <c r="N67" s="10"/>
      <c r="R67" s="2"/>
    </row>
    <row r="68" spans="1:18" ht="15.75" x14ac:dyDescent="0.25">
      <c r="A68" s="19"/>
      <c r="B68" s="20">
        <f>DATE(2020,12,1)</f>
        <v>44166</v>
      </c>
      <c r="C68" s="21">
        <v>136324</v>
      </c>
      <c r="D68" s="21">
        <v>146815</v>
      </c>
      <c r="E68" s="23">
        <f t="shared" si="30"/>
        <v>-7.1457276163879715E-2</v>
      </c>
      <c r="F68" s="21">
        <f>+C68-65497</f>
        <v>70827</v>
      </c>
      <c r="G68" s="21">
        <f>+D68-72079</f>
        <v>74736</v>
      </c>
      <c r="H68" s="23">
        <f t="shared" si="31"/>
        <v>-5.2304110468850355E-2</v>
      </c>
      <c r="I68" s="24">
        <f t="shared" si="32"/>
        <v>46.829371570669878</v>
      </c>
      <c r="J68" s="24">
        <f t="shared" si="33"/>
        <v>90.134655569203829</v>
      </c>
      <c r="K68" s="21">
        <v>6383967.25</v>
      </c>
      <c r="L68" s="21">
        <v>5406096.8300000001</v>
      </c>
      <c r="M68" s="25">
        <f t="shared" si="34"/>
        <v>0.18088289032736396</v>
      </c>
      <c r="N68" s="10"/>
      <c r="R68" s="2"/>
    </row>
    <row r="69" spans="1:18" ht="15.75" customHeight="1" thickBot="1" x14ac:dyDescent="0.3">
      <c r="A69" s="19"/>
      <c r="B69" s="45"/>
      <c r="C69" s="21"/>
      <c r="D69" s="21"/>
      <c r="E69" s="23"/>
      <c r="F69" s="21"/>
      <c r="G69" s="21"/>
      <c r="H69" s="23"/>
      <c r="I69" s="24"/>
      <c r="J69" s="24"/>
      <c r="K69" s="21"/>
      <c r="L69" s="21"/>
      <c r="M69" s="25"/>
      <c r="N69" s="10"/>
      <c r="R69" s="2"/>
    </row>
    <row r="70" spans="1:18" ht="17.45" customHeight="1" thickTop="1" thickBot="1" x14ac:dyDescent="0.3">
      <c r="A70" s="39" t="s">
        <v>14</v>
      </c>
      <c r="B70" s="52"/>
      <c r="C70" s="47">
        <f>SUM(C63:C69)</f>
        <v>692665</v>
      </c>
      <c r="D70" s="48">
        <f>SUM(D63:D69)</f>
        <v>889421</v>
      </c>
      <c r="E70" s="281">
        <f>(+C70-D70)/D70</f>
        <v>-0.22121807333085231</v>
      </c>
      <c r="F70" s="48">
        <f>SUM(F63:F69)</f>
        <v>360798</v>
      </c>
      <c r="G70" s="47">
        <f>SUM(G63:G69)</f>
        <v>462234</v>
      </c>
      <c r="H70" s="53">
        <f>(+F70-G70)/G70</f>
        <v>-0.21944729292955517</v>
      </c>
      <c r="I70" s="51">
        <f>K70/C70</f>
        <v>47.049196191521148</v>
      </c>
      <c r="J70" s="50">
        <f>K70/F70</f>
        <v>90.325698812077661</v>
      </c>
      <c r="K70" s="47">
        <f>SUM(K63:K69)</f>
        <v>32589331.479999997</v>
      </c>
      <c r="L70" s="48">
        <f>SUM(L63:L69)</f>
        <v>32225189.350000001</v>
      </c>
      <c r="M70" s="44">
        <f>(+K70-L70)/L70</f>
        <v>1.1299922121326347E-2</v>
      </c>
      <c r="N70" s="10"/>
      <c r="R70" s="2"/>
    </row>
    <row r="71" spans="1:18" ht="15.75" customHeight="1" thickTop="1" x14ac:dyDescent="0.25">
      <c r="A71" s="19"/>
      <c r="B71" s="45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5.75" customHeight="1" x14ac:dyDescent="0.25">
      <c r="A72" s="19" t="s">
        <v>60</v>
      </c>
      <c r="B72" s="20">
        <f>DATE(2020,7,1)</f>
        <v>44013</v>
      </c>
      <c r="C72" s="21">
        <v>198458</v>
      </c>
      <c r="D72" s="21">
        <v>323723</v>
      </c>
      <c r="E72" s="23">
        <f t="shared" ref="E72:E77" si="35">(+C72-D72)/D72</f>
        <v>-0.38695118975173221</v>
      </c>
      <c r="F72" s="21">
        <f>+C72-91512</f>
        <v>106946</v>
      </c>
      <c r="G72" s="21">
        <f>+D72-139054</f>
        <v>184669</v>
      </c>
      <c r="H72" s="23">
        <f t="shared" ref="H72:H77" si="36">(+F72-G72)/G72</f>
        <v>-0.42087735353524414</v>
      </c>
      <c r="I72" s="24">
        <f t="shared" ref="I72:I77" si="37">K72/C72</f>
        <v>57.559684013745979</v>
      </c>
      <c r="J72" s="24">
        <f t="shared" ref="J72:J77" si="38">K72/F72</f>
        <v>106.81259486095786</v>
      </c>
      <c r="K72" s="21">
        <v>11423179.77</v>
      </c>
      <c r="L72" s="21">
        <v>12562489.76</v>
      </c>
      <c r="M72" s="25">
        <f t="shared" ref="M72:M77" si="39">(+K72-L72)/L72</f>
        <v>-9.0691416412346612E-2</v>
      </c>
      <c r="N72" s="10"/>
      <c r="R72" s="2"/>
    </row>
    <row r="73" spans="1:18" ht="15.75" customHeight="1" x14ac:dyDescent="0.25">
      <c r="A73" s="19"/>
      <c r="B73" s="20">
        <f>DATE(2020,8,1)</f>
        <v>44044</v>
      </c>
      <c r="C73" s="21">
        <v>207170</v>
      </c>
      <c r="D73" s="21">
        <v>324702</v>
      </c>
      <c r="E73" s="23">
        <f t="shared" si="35"/>
        <v>-0.36196882064169605</v>
      </c>
      <c r="F73" s="21">
        <f>+C73-94983</f>
        <v>112187</v>
      </c>
      <c r="G73" s="21">
        <f>+D73-140464</f>
        <v>184238</v>
      </c>
      <c r="H73" s="23">
        <f t="shared" si="36"/>
        <v>-0.39107567385664194</v>
      </c>
      <c r="I73" s="24">
        <f t="shared" si="37"/>
        <v>58.301137906067481</v>
      </c>
      <c r="J73" s="24">
        <f t="shared" si="38"/>
        <v>107.66173210799826</v>
      </c>
      <c r="K73" s="21">
        <v>12078246.74</v>
      </c>
      <c r="L73" s="21">
        <v>12914541.609999999</v>
      </c>
      <c r="M73" s="25">
        <f t="shared" si="39"/>
        <v>-6.4756062991228325E-2</v>
      </c>
      <c r="N73" s="10"/>
      <c r="R73" s="2"/>
    </row>
    <row r="74" spans="1:18" ht="15.75" customHeight="1" x14ac:dyDescent="0.25">
      <c r="A74" s="19"/>
      <c r="B74" s="20">
        <f>DATE(2020,9,1)</f>
        <v>44075</v>
      </c>
      <c r="C74" s="21">
        <v>214679</v>
      </c>
      <c r="D74" s="21">
        <v>300779</v>
      </c>
      <c r="E74" s="23">
        <f t="shared" si="35"/>
        <v>-0.28625668680326749</v>
      </c>
      <c r="F74" s="21">
        <f>+C74-98438</f>
        <v>116241</v>
      </c>
      <c r="G74" s="21">
        <f>+D74-129539</f>
        <v>171240</v>
      </c>
      <c r="H74" s="23">
        <f t="shared" si="36"/>
        <v>-0.32118079887876666</v>
      </c>
      <c r="I74" s="24">
        <f t="shared" si="37"/>
        <v>53.75294761015283</v>
      </c>
      <c r="J74" s="24">
        <f t="shared" si="38"/>
        <v>99.273311826291916</v>
      </c>
      <c r="K74" s="21">
        <v>11539629.039999999</v>
      </c>
      <c r="L74" s="21">
        <v>12290273.1</v>
      </c>
      <c r="M74" s="25">
        <f t="shared" si="39"/>
        <v>-6.107627177137346E-2</v>
      </c>
      <c r="N74" s="10"/>
      <c r="R74" s="2"/>
    </row>
    <row r="75" spans="1:18" ht="15.75" customHeight="1" x14ac:dyDescent="0.25">
      <c r="A75" s="19"/>
      <c r="B75" s="20">
        <f>DATE(2020,10,1)</f>
        <v>44105</v>
      </c>
      <c r="C75" s="21">
        <v>213678</v>
      </c>
      <c r="D75" s="21">
        <v>283562</v>
      </c>
      <c r="E75" s="23">
        <f t="shared" si="35"/>
        <v>-0.24645051170467128</v>
      </c>
      <c r="F75" s="21">
        <f>+C75-98578</f>
        <v>115100</v>
      </c>
      <c r="G75" s="21">
        <f>+D75-124664</f>
        <v>158898</v>
      </c>
      <c r="H75" s="23">
        <f t="shared" si="36"/>
        <v>-0.27563594255434304</v>
      </c>
      <c r="I75" s="24">
        <f t="shared" si="37"/>
        <v>52.956099036868558</v>
      </c>
      <c r="J75" s="24">
        <f t="shared" si="38"/>
        <v>98.310628410078195</v>
      </c>
      <c r="K75" s="21">
        <v>11315553.33</v>
      </c>
      <c r="L75" s="21">
        <v>11906925.060000001</v>
      </c>
      <c r="M75" s="25">
        <f t="shared" si="39"/>
        <v>-4.9666200721011376E-2</v>
      </c>
      <c r="N75" s="10"/>
      <c r="R75" s="2"/>
    </row>
    <row r="76" spans="1:18" ht="15.75" customHeight="1" x14ac:dyDescent="0.25">
      <c r="A76" s="19"/>
      <c r="B76" s="20">
        <f>DATE(2020,11,1)</f>
        <v>44136</v>
      </c>
      <c r="C76" s="21">
        <v>182201</v>
      </c>
      <c r="D76" s="21">
        <v>288970</v>
      </c>
      <c r="E76" s="23">
        <f t="shared" si="35"/>
        <v>-0.36948126103055678</v>
      </c>
      <c r="F76" s="21">
        <f>+C76-83158</f>
        <v>99043</v>
      </c>
      <c r="G76" s="21">
        <f>+D76-131628</f>
        <v>157342</v>
      </c>
      <c r="H76" s="23">
        <f t="shared" si="36"/>
        <v>-0.37052408130060632</v>
      </c>
      <c r="I76" s="24">
        <f t="shared" si="37"/>
        <v>57.958710984023135</v>
      </c>
      <c r="J76" s="24">
        <f t="shared" si="38"/>
        <v>106.62172086871358</v>
      </c>
      <c r="K76" s="21">
        <v>10560135.1</v>
      </c>
      <c r="L76" s="21">
        <v>12108761.949999999</v>
      </c>
      <c r="M76" s="25">
        <f t="shared" si="39"/>
        <v>-0.12789307911037096</v>
      </c>
      <c r="N76" s="10"/>
      <c r="R76" s="2"/>
    </row>
    <row r="77" spans="1:18" ht="15.75" customHeight="1" x14ac:dyDescent="0.25">
      <c r="A77" s="19"/>
      <c r="B77" s="20">
        <f>DATE(2020,12,1)</f>
        <v>44166</v>
      </c>
      <c r="C77" s="21">
        <v>236562</v>
      </c>
      <c r="D77" s="21">
        <v>314814</v>
      </c>
      <c r="E77" s="23">
        <f t="shared" si="35"/>
        <v>-0.24856581981741599</v>
      </c>
      <c r="F77" s="21">
        <f>+C77-114294</f>
        <v>122268</v>
      </c>
      <c r="G77" s="21">
        <f>+D77-147218</f>
        <v>167596</v>
      </c>
      <c r="H77" s="23">
        <f t="shared" si="36"/>
        <v>-0.27045991551111004</v>
      </c>
      <c r="I77" s="24">
        <f t="shared" si="37"/>
        <v>58.419002460242986</v>
      </c>
      <c r="J77" s="24">
        <f t="shared" si="38"/>
        <v>113.02806997742664</v>
      </c>
      <c r="K77" s="21">
        <v>13819716.060000001</v>
      </c>
      <c r="L77" s="21">
        <v>12730914.02</v>
      </c>
      <c r="M77" s="25">
        <f t="shared" si="39"/>
        <v>8.5524263088220989E-2</v>
      </c>
      <c r="N77" s="10"/>
      <c r="R77" s="2"/>
    </row>
    <row r="78" spans="1:18" ht="15.75" customHeight="1" thickBot="1" x14ac:dyDescent="0.3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SUM(C72:C78)</f>
        <v>1252748</v>
      </c>
      <c r="D79" s="41">
        <f>SUM(D72:D78)</f>
        <v>1836550</v>
      </c>
      <c r="E79" s="280">
        <f>(+C79-D79)/D79</f>
        <v>-0.31787972012741283</v>
      </c>
      <c r="F79" s="41">
        <f>SUM(F72:F78)</f>
        <v>671785</v>
      </c>
      <c r="G79" s="41">
        <f>SUM(G72:G78)</f>
        <v>1023983</v>
      </c>
      <c r="H79" s="42">
        <f>(+F79-G79)/G79</f>
        <v>-0.34394906946697357</v>
      </c>
      <c r="I79" s="43">
        <f>K79/C79</f>
        <v>56.465035298399989</v>
      </c>
      <c r="J79" s="43">
        <f>K79/F79</f>
        <v>105.29627788652618</v>
      </c>
      <c r="K79" s="41">
        <f>SUM(K72:K78)</f>
        <v>70736460.039999992</v>
      </c>
      <c r="L79" s="41">
        <f>SUM(L72:L78)</f>
        <v>74513905.5</v>
      </c>
      <c r="M79" s="44">
        <f>(+K79-L79)/L79</f>
        <v>-5.0694503725885208E-2</v>
      </c>
      <c r="N79" s="10"/>
      <c r="R79" s="2"/>
    </row>
    <row r="80" spans="1:18" ht="15.75" customHeight="1" thickTop="1" x14ac:dyDescent="0.2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 x14ac:dyDescent="0.25">
      <c r="A81" s="19" t="s">
        <v>16</v>
      </c>
      <c r="B81" s="20">
        <f>DATE(2020,7,1)</f>
        <v>44013</v>
      </c>
      <c r="C81" s="21">
        <v>211446</v>
      </c>
      <c r="D81" s="21">
        <v>366609</v>
      </c>
      <c r="E81" s="23">
        <f t="shared" ref="E81:E86" si="40">(+C81-D81)/D81</f>
        <v>-0.42323838203644754</v>
      </c>
      <c r="F81" s="21">
        <f>+C81-102823</f>
        <v>108623</v>
      </c>
      <c r="G81" s="21">
        <f>+D81-178251</f>
        <v>188358</v>
      </c>
      <c r="H81" s="23">
        <f t="shared" ref="H81:H86" si="41">(+F81-G81)/G81</f>
        <v>-0.42331623822720565</v>
      </c>
      <c r="I81" s="24">
        <f t="shared" ref="I81:I86" si="42">K81/C81</f>
        <v>65.394689944477548</v>
      </c>
      <c r="J81" s="24">
        <f t="shared" ref="J81:J86" si="43">K81/F81</f>
        <v>127.29758531802656</v>
      </c>
      <c r="K81" s="21">
        <v>13827445.609999999</v>
      </c>
      <c r="L81" s="21">
        <v>15689376.039999999</v>
      </c>
      <c r="M81" s="25">
        <f t="shared" ref="M81:M86" si="44">(+K81-L81)/L81</f>
        <v>-0.11867460026791478</v>
      </c>
      <c r="N81" s="10"/>
      <c r="R81" s="2"/>
    </row>
    <row r="82" spans="1:18" ht="15.75" customHeight="1" x14ac:dyDescent="0.25">
      <c r="A82" s="19"/>
      <c r="B82" s="20">
        <f>DATE(2020,8,1)</f>
        <v>44044</v>
      </c>
      <c r="C82" s="21">
        <v>225551</v>
      </c>
      <c r="D82" s="21">
        <v>384874</v>
      </c>
      <c r="E82" s="23">
        <f t="shared" si="40"/>
        <v>-0.41396145231946041</v>
      </c>
      <c r="F82" s="21">
        <f>+C82-110461</f>
        <v>115090</v>
      </c>
      <c r="G82" s="21">
        <f>+D82-186167</f>
        <v>198707</v>
      </c>
      <c r="H82" s="23">
        <f t="shared" si="41"/>
        <v>-0.42080550760667718</v>
      </c>
      <c r="I82" s="24">
        <f t="shared" si="42"/>
        <v>63.5922016750092</v>
      </c>
      <c r="J82" s="24">
        <f t="shared" si="43"/>
        <v>124.62668068468155</v>
      </c>
      <c r="K82" s="21">
        <v>14343284.68</v>
      </c>
      <c r="L82" s="21">
        <v>16597532.279999999</v>
      </c>
      <c r="M82" s="25">
        <f t="shared" si="44"/>
        <v>-0.13581823863758136</v>
      </c>
      <c r="N82" s="10"/>
      <c r="R82" s="2"/>
    </row>
    <row r="83" spans="1:18" ht="15.75" customHeight="1" x14ac:dyDescent="0.25">
      <c r="A83" s="19"/>
      <c r="B83" s="20">
        <f>DATE(2020,9,1)</f>
        <v>44075</v>
      </c>
      <c r="C83" s="21">
        <v>224827</v>
      </c>
      <c r="D83" s="21">
        <v>348168</v>
      </c>
      <c r="E83" s="23">
        <f t="shared" si="40"/>
        <v>-0.35425714023115279</v>
      </c>
      <c r="F83" s="21">
        <f>+C83-110393</f>
        <v>114434</v>
      </c>
      <c r="G83" s="21">
        <f>+D83-163347</f>
        <v>184821</v>
      </c>
      <c r="H83" s="23">
        <f t="shared" si="41"/>
        <v>-0.3808387575005005</v>
      </c>
      <c r="I83" s="24">
        <f t="shared" si="42"/>
        <v>60.458002019330422</v>
      </c>
      <c r="J83" s="24">
        <f t="shared" si="43"/>
        <v>118.78105475645351</v>
      </c>
      <c r="K83" s="21">
        <v>13592591.220000001</v>
      </c>
      <c r="L83" s="21">
        <v>15466295.43</v>
      </c>
      <c r="M83" s="25">
        <f t="shared" si="44"/>
        <v>-0.12114757657904114</v>
      </c>
      <c r="N83" s="10"/>
      <c r="R83" s="2"/>
    </row>
    <row r="84" spans="1:18" ht="15.75" customHeight="1" x14ac:dyDescent="0.25">
      <c r="A84" s="19"/>
      <c r="B84" s="20">
        <f>DATE(2020,10,1)</f>
        <v>44105</v>
      </c>
      <c r="C84" s="21">
        <v>236689</v>
      </c>
      <c r="D84" s="21">
        <v>347400</v>
      </c>
      <c r="E84" s="23">
        <f t="shared" si="40"/>
        <v>-0.31868451352907312</v>
      </c>
      <c r="F84" s="21">
        <f>+C84-116990</f>
        <v>119699</v>
      </c>
      <c r="G84" s="21">
        <f>+D84-164019</f>
        <v>183381</v>
      </c>
      <c r="H84" s="23">
        <f t="shared" si="41"/>
        <v>-0.3472660744570048</v>
      </c>
      <c r="I84" s="24">
        <f t="shared" si="42"/>
        <v>61.045766089678864</v>
      </c>
      <c r="J84" s="24">
        <f t="shared" si="43"/>
        <v>120.70995856272818</v>
      </c>
      <c r="K84" s="21">
        <v>14448861.33</v>
      </c>
      <c r="L84" s="21">
        <v>16339837.66</v>
      </c>
      <c r="M84" s="25">
        <f t="shared" si="44"/>
        <v>-0.11572797535370373</v>
      </c>
      <c r="N84" s="10"/>
      <c r="R84" s="2"/>
    </row>
    <row r="85" spans="1:18" ht="15.75" customHeight="1" x14ac:dyDescent="0.25">
      <c r="A85" s="19"/>
      <c r="B85" s="20">
        <f>DATE(2020,11,1)</f>
        <v>44136</v>
      </c>
      <c r="C85" s="21">
        <v>217833</v>
      </c>
      <c r="D85" s="21">
        <v>367906</v>
      </c>
      <c r="E85" s="23">
        <f t="shared" si="40"/>
        <v>-0.4079112599413981</v>
      </c>
      <c r="F85" s="21">
        <f>+C85-108450</f>
        <v>109383</v>
      </c>
      <c r="G85" s="21">
        <f>+D85-173004</f>
        <v>194902</v>
      </c>
      <c r="H85" s="23">
        <f t="shared" si="41"/>
        <v>-0.43877948917917725</v>
      </c>
      <c r="I85" s="24">
        <f t="shared" si="42"/>
        <v>57.771631616880825</v>
      </c>
      <c r="J85" s="24">
        <f t="shared" si="43"/>
        <v>115.05049075267638</v>
      </c>
      <c r="K85" s="21">
        <v>12584567.83</v>
      </c>
      <c r="L85" s="21">
        <v>16579737.300000001</v>
      </c>
      <c r="M85" s="25">
        <f t="shared" si="44"/>
        <v>-0.24096699469418015</v>
      </c>
      <c r="N85" s="10"/>
      <c r="R85" s="2"/>
    </row>
    <row r="86" spans="1:18" ht="15.75" customHeight="1" x14ac:dyDescent="0.25">
      <c r="A86" s="19"/>
      <c r="B86" s="20">
        <f>DATE(2020,12,1)</f>
        <v>44166</v>
      </c>
      <c r="C86" s="21">
        <v>232838</v>
      </c>
      <c r="D86" s="21">
        <v>375779</v>
      </c>
      <c r="E86" s="23">
        <f t="shared" si="40"/>
        <v>-0.3803858118734682</v>
      </c>
      <c r="F86" s="21">
        <f>+C86-115697</f>
        <v>117141</v>
      </c>
      <c r="G86" s="21">
        <f>+D86-181369</f>
        <v>194410</v>
      </c>
      <c r="H86" s="23">
        <f t="shared" si="41"/>
        <v>-0.39745383467928602</v>
      </c>
      <c r="I86" s="24">
        <f t="shared" si="42"/>
        <v>60.641073922641489</v>
      </c>
      <c r="J86" s="24">
        <f t="shared" si="43"/>
        <v>120.53462382940216</v>
      </c>
      <c r="K86" s="21">
        <v>14119546.369999999</v>
      </c>
      <c r="L86" s="21">
        <v>15685280.15</v>
      </c>
      <c r="M86" s="25">
        <f t="shared" si="44"/>
        <v>-9.9821856226138317E-2</v>
      </c>
      <c r="N86" s="10"/>
      <c r="R86" s="2"/>
    </row>
    <row r="87" spans="1:18" ht="15.75" customHeight="1" thickBot="1" x14ac:dyDescent="0.3">
      <c r="A87" s="19"/>
      <c r="B87" s="45"/>
      <c r="C87" s="21"/>
      <c r="D87" s="21"/>
      <c r="E87" s="23"/>
      <c r="F87" s="21"/>
      <c r="G87" s="21"/>
      <c r="H87" s="23"/>
      <c r="I87" s="24"/>
      <c r="J87" s="24"/>
      <c r="K87" s="21"/>
      <c r="L87" s="21"/>
      <c r="M87" s="25"/>
      <c r="N87" s="10"/>
      <c r="R87" s="2"/>
    </row>
    <row r="88" spans="1:18" ht="17.25" thickTop="1" thickBot="1" x14ac:dyDescent="0.3">
      <c r="A88" s="39" t="s">
        <v>14</v>
      </c>
      <c r="B88" s="40"/>
      <c r="C88" s="41">
        <f>SUM(C81:C87)</f>
        <v>1349184</v>
      </c>
      <c r="D88" s="41">
        <f>SUM(D81:D87)</f>
        <v>2190736</v>
      </c>
      <c r="E88" s="280">
        <f>(+C88-D88)/D88</f>
        <v>-0.38414122011963103</v>
      </c>
      <c r="F88" s="41">
        <f>SUM(F81:F87)</f>
        <v>684370</v>
      </c>
      <c r="G88" s="41">
        <f>SUM(G81:G87)</f>
        <v>1144579</v>
      </c>
      <c r="H88" s="42">
        <f>(+F88-G88)/G88</f>
        <v>-0.40207709559584792</v>
      </c>
      <c r="I88" s="43">
        <f>K88/C88</f>
        <v>61.456626405293875</v>
      </c>
      <c r="J88" s="43">
        <f>K88/F88</f>
        <v>121.15711828396921</v>
      </c>
      <c r="K88" s="41">
        <f>SUM(K81:K87)</f>
        <v>82916297.040000007</v>
      </c>
      <c r="L88" s="41">
        <f>SUM(L81:L87)</f>
        <v>96358058.859999999</v>
      </c>
      <c r="M88" s="44">
        <f>(+K88-L88)/L88</f>
        <v>-0.1394980552641655</v>
      </c>
      <c r="N88" s="10"/>
      <c r="R88" s="2"/>
    </row>
    <row r="89" spans="1:18" ht="15.75" customHeight="1" thickTop="1" x14ac:dyDescent="0.2">
      <c r="A89" s="54"/>
      <c r="B89" s="55"/>
      <c r="C89" s="55"/>
      <c r="D89" s="55"/>
      <c r="E89" s="56"/>
      <c r="F89" s="55"/>
      <c r="G89" s="55"/>
      <c r="H89" s="56"/>
      <c r="I89" s="55"/>
      <c r="J89" s="55"/>
      <c r="K89" s="196"/>
      <c r="L89" s="196"/>
      <c r="M89" s="57"/>
      <c r="N89" s="10"/>
      <c r="R89" s="2"/>
    </row>
    <row r="90" spans="1:18" ht="15.75" customHeight="1" x14ac:dyDescent="0.25">
      <c r="A90" s="19" t="s">
        <v>54</v>
      </c>
      <c r="B90" s="20">
        <f>DATE(2020,7,1)</f>
        <v>44013</v>
      </c>
      <c r="C90" s="21">
        <v>223492</v>
      </c>
      <c r="D90" s="21">
        <v>420137</v>
      </c>
      <c r="E90" s="23">
        <f t="shared" ref="E90:E95" si="45">(+C90-D90)/D90</f>
        <v>-0.46804970759537962</v>
      </c>
      <c r="F90" s="21">
        <f>+C90-109534</f>
        <v>113958</v>
      </c>
      <c r="G90" s="21">
        <f>+D90-190250</f>
        <v>229887</v>
      </c>
      <c r="H90" s="23">
        <f t="shared" ref="H90:H95" si="46">(+F90-G90)/G90</f>
        <v>-0.50428688877578987</v>
      </c>
      <c r="I90" s="24">
        <f t="shared" ref="I90:I95" si="47">K90/C90</f>
        <v>67.284607413240749</v>
      </c>
      <c r="J90" s="24">
        <f t="shared" ref="J90:J95" si="48">K90/F90</f>
        <v>131.9571375419014</v>
      </c>
      <c r="K90" s="21">
        <v>15037571.48</v>
      </c>
      <c r="L90" s="21">
        <v>18224766.800000001</v>
      </c>
      <c r="M90" s="25">
        <f t="shared" ref="M90:M95" si="49">(+K90-L90)/L90</f>
        <v>-0.17488263937621415</v>
      </c>
      <c r="N90" s="10"/>
      <c r="R90" s="2"/>
    </row>
    <row r="91" spans="1:18" ht="15.75" customHeight="1" x14ac:dyDescent="0.25">
      <c r="A91" s="19"/>
      <c r="B91" s="20">
        <f>DATE(2020,8,1)</f>
        <v>44044</v>
      </c>
      <c r="C91" s="21">
        <v>243172</v>
      </c>
      <c r="D91" s="21">
        <v>436427</v>
      </c>
      <c r="E91" s="23">
        <f t="shared" si="45"/>
        <v>-0.44281174171167226</v>
      </c>
      <c r="F91" s="21">
        <f>+C91-117936</f>
        <v>125236</v>
      </c>
      <c r="G91" s="21">
        <f>+D91-195454</f>
        <v>240973</v>
      </c>
      <c r="H91" s="23">
        <f t="shared" si="46"/>
        <v>-0.48029032298224283</v>
      </c>
      <c r="I91" s="24">
        <f t="shared" si="47"/>
        <v>65.227788561183033</v>
      </c>
      <c r="J91" s="24">
        <f t="shared" si="48"/>
        <v>126.65345268133764</v>
      </c>
      <c r="K91" s="21">
        <v>15861571.800000001</v>
      </c>
      <c r="L91" s="21">
        <v>19518295.300000001</v>
      </c>
      <c r="M91" s="25">
        <f t="shared" si="49"/>
        <v>-0.18734850783818194</v>
      </c>
      <c r="N91" s="10"/>
      <c r="R91" s="2"/>
    </row>
    <row r="92" spans="1:18" ht="15.75" customHeight="1" x14ac:dyDescent="0.25">
      <c r="A92" s="19"/>
      <c r="B92" s="20">
        <f>DATE(2020,9,1)</f>
        <v>44075</v>
      </c>
      <c r="C92" s="21">
        <v>258989</v>
      </c>
      <c r="D92" s="21">
        <v>419890</v>
      </c>
      <c r="E92" s="23">
        <f t="shared" si="45"/>
        <v>-0.38319798042344422</v>
      </c>
      <c r="F92" s="21">
        <f>+C92-126754</f>
        <v>132235</v>
      </c>
      <c r="G92" s="21">
        <f>+D92-187135</f>
        <v>232755</v>
      </c>
      <c r="H92" s="23">
        <f t="shared" si="46"/>
        <v>-0.43187042168804107</v>
      </c>
      <c r="I92" s="24">
        <f t="shared" si="47"/>
        <v>63.346609122395158</v>
      </c>
      <c r="J92" s="24">
        <f t="shared" si="48"/>
        <v>124.06756872235036</v>
      </c>
      <c r="K92" s="21">
        <v>16406074.949999999</v>
      </c>
      <c r="L92" s="21">
        <v>18459322.530000001</v>
      </c>
      <c r="M92" s="25">
        <f t="shared" si="49"/>
        <v>-0.11123092825660714</v>
      </c>
      <c r="N92" s="10"/>
      <c r="R92" s="2"/>
    </row>
    <row r="93" spans="1:18" ht="15.75" customHeight="1" x14ac:dyDescent="0.25">
      <c r="A93" s="19"/>
      <c r="B93" s="20">
        <f>DATE(2020,10,1)</f>
        <v>44105</v>
      </c>
      <c r="C93" s="21">
        <v>272659</v>
      </c>
      <c r="D93" s="21">
        <v>422307</v>
      </c>
      <c r="E93" s="23">
        <f t="shared" si="45"/>
        <v>-0.3543583222631877</v>
      </c>
      <c r="F93" s="21">
        <f>+C93-130567</f>
        <v>142092</v>
      </c>
      <c r="G93" s="21">
        <f>+D93-185957</f>
        <v>236350</v>
      </c>
      <c r="H93" s="23">
        <f t="shared" si="46"/>
        <v>-0.39880685424159085</v>
      </c>
      <c r="I93" s="24">
        <f t="shared" si="47"/>
        <v>60.090470587803807</v>
      </c>
      <c r="J93" s="24">
        <f t="shared" si="48"/>
        <v>115.30703783464234</v>
      </c>
      <c r="K93" s="21">
        <v>16384207.619999999</v>
      </c>
      <c r="L93" s="21">
        <v>18621742.489999998</v>
      </c>
      <c r="M93" s="25">
        <f t="shared" si="49"/>
        <v>-0.12015711586612104</v>
      </c>
      <c r="N93" s="10"/>
      <c r="R93" s="2"/>
    </row>
    <row r="94" spans="1:18" ht="15.75" customHeight="1" x14ac:dyDescent="0.25">
      <c r="A94" s="19"/>
      <c r="B94" s="20">
        <f>DATE(2020,11,1)</f>
        <v>44136</v>
      </c>
      <c r="C94" s="21">
        <v>229316</v>
      </c>
      <c r="D94" s="21">
        <v>434809</v>
      </c>
      <c r="E94" s="23">
        <f t="shared" si="45"/>
        <v>-0.4726052128635792</v>
      </c>
      <c r="F94" s="21">
        <f>+C94-112072</f>
        <v>117244</v>
      </c>
      <c r="G94" s="21">
        <f>+D94-195397</f>
        <v>239412</v>
      </c>
      <c r="H94" s="23">
        <f t="shared" si="46"/>
        <v>-0.51028352797687671</v>
      </c>
      <c r="I94" s="24">
        <f t="shared" si="47"/>
        <v>63.174358483490032</v>
      </c>
      <c r="J94" s="24">
        <f t="shared" si="48"/>
        <v>123.56189817815837</v>
      </c>
      <c r="K94" s="21">
        <v>14486891.189999999</v>
      </c>
      <c r="L94" s="21">
        <v>19750307.149999999</v>
      </c>
      <c r="M94" s="25">
        <f t="shared" si="49"/>
        <v>-0.26649792937524008</v>
      </c>
      <c r="N94" s="10"/>
      <c r="R94" s="2"/>
    </row>
    <row r="95" spans="1:18" ht="15.75" customHeight="1" x14ac:dyDescent="0.25">
      <c r="A95" s="19"/>
      <c r="B95" s="20">
        <f>DATE(2020,12,1)</f>
        <v>44166</v>
      </c>
      <c r="C95" s="21">
        <v>224469</v>
      </c>
      <c r="D95" s="21">
        <v>424920</v>
      </c>
      <c r="E95" s="23">
        <f t="shared" si="45"/>
        <v>-0.47173820954532619</v>
      </c>
      <c r="F95" s="21">
        <f>+C95-110658</f>
        <v>113811</v>
      </c>
      <c r="G95" s="21">
        <f>+D95-195550</f>
        <v>229370</v>
      </c>
      <c r="H95" s="23">
        <f t="shared" si="46"/>
        <v>-0.5038104372847364</v>
      </c>
      <c r="I95" s="24">
        <f t="shared" si="47"/>
        <v>62.790052479406953</v>
      </c>
      <c r="J95" s="24">
        <f t="shared" si="48"/>
        <v>123.84058034812099</v>
      </c>
      <c r="K95" s="21">
        <v>14094420.289999999</v>
      </c>
      <c r="L95" s="21">
        <v>19938989.449999999</v>
      </c>
      <c r="M95" s="25">
        <f t="shared" si="49"/>
        <v>-0.29312263666401611</v>
      </c>
      <c r="N95" s="10"/>
      <c r="R95" s="2"/>
    </row>
    <row r="96" spans="1:18" ht="15.75" customHeight="1" thickBot="1" x14ac:dyDescent="0.3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thickTop="1" thickBot="1" x14ac:dyDescent="0.3">
      <c r="A97" s="39" t="s">
        <v>14</v>
      </c>
      <c r="B97" s="40"/>
      <c r="C97" s="41">
        <f>SUM(C90:C96)</f>
        <v>1452097</v>
      </c>
      <c r="D97" s="41">
        <f>SUM(D90:D96)</f>
        <v>2558490</v>
      </c>
      <c r="E97" s="280">
        <f>(+C97-D97)/D97</f>
        <v>-0.43243983756043602</v>
      </c>
      <c r="F97" s="41">
        <f>SUM(F90:F96)</f>
        <v>744576</v>
      </c>
      <c r="G97" s="41">
        <f>SUM(G90:G96)</f>
        <v>1408747</v>
      </c>
      <c r="H97" s="42">
        <f>(+F97-G97)/G97</f>
        <v>-0.47146222849099234</v>
      </c>
      <c r="I97" s="43">
        <f>K97/C97</f>
        <v>63.543094800140771</v>
      </c>
      <c r="J97" s="43">
        <f>K97/F97</f>
        <v>123.92386718078478</v>
      </c>
      <c r="K97" s="41">
        <f>SUM(K90:K96)</f>
        <v>92270737.330000013</v>
      </c>
      <c r="L97" s="41">
        <f>SUM(L90:L96)</f>
        <v>114513423.72000001</v>
      </c>
      <c r="M97" s="44">
        <f>(+K97-L97)/L97</f>
        <v>-0.19423649793570244</v>
      </c>
      <c r="N97" s="10"/>
      <c r="R97" s="2"/>
    </row>
    <row r="98" spans="1:18" ht="15.75" customHeight="1" thickTop="1" x14ac:dyDescent="0.2">
      <c r="A98" s="58"/>
      <c r="B98" s="59"/>
      <c r="C98" s="59"/>
      <c r="D98" s="59"/>
      <c r="E98" s="60"/>
      <c r="F98" s="59"/>
      <c r="G98" s="59"/>
      <c r="H98" s="60"/>
      <c r="I98" s="59"/>
      <c r="J98" s="59"/>
      <c r="K98" s="197"/>
      <c r="L98" s="197"/>
      <c r="M98" s="61"/>
      <c r="N98" s="10"/>
      <c r="R98" s="2"/>
    </row>
    <row r="99" spans="1:18" ht="15" customHeight="1" x14ac:dyDescent="0.25">
      <c r="A99" s="19" t="s">
        <v>55</v>
      </c>
      <c r="B99" s="20">
        <f>DATE(2020,7,1)</f>
        <v>44013</v>
      </c>
      <c r="C99" s="21">
        <v>43226</v>
      </c>
      <c r="D99" s="21">
        <v>61327</v>
      </c>
      <c r="E99" s="23">
        <f t="shared" ref="E99:E104" si="50">(+C99-D99)/D99</f>
        <v>-0.29515547801131636</v>
      </c>
      <c r="F99" s="21">
        <f>+C99-22161</f>
        <v>21065</v>
      </c>
      <c r="G99" s="21">
        <f>+D99-29380</f>
        <v>31947</v>
      </c>
      <c r="H99" s="23">
        <f t="shared" ref="H99:H104" si="51">(+F99-G99)/G99</f>
        <v>-0.34062666291044541</v>
      </c>
      <c r="I99" s="24">
        <f t="shared" ref="I99:I104" si="52">K99/C99</f>
        <v>68.785856891685569</v>
      </c>
      <c r="J99" s="24">
        <f t="shared" ref="J99:J104" si="53">K99/F99</f>
        <v>141.15060289579873</v>
      </c>
      <c r="K99" s="21">
        <v>2973337.45</v>
      </c>
      <c r="L99" s="21">
        <v>2748922.94</v>
      </c>
      <c r="M99" s="25">
        <f t="shared" ref="M99:M104" si="54">(+K99-L99)/L99</f>
        <v>8.1637250260642169E-2</v>
      </c>
      <c r="N99" s="10"/>
      <c r="R99" s="2"/>
    </row>
    <row r="100" spans="1:18" ht="15" customHeight="1" x14ac:dyDescent="0.25">
      <c r="A100" s="19"/>
      <c r="B100" s="20">
        <f>DATE(2020,8,1)</f>
        <v>44044</v>
      </c>
      <c r="C100" s="21">
        <v>46706</v>
      </c>
      <c r="D100" s="21">
        <v>62887</v>
      </c>
      <c r="E100" s="23">
        <f t="shared" si="50"/>
        <v>-0.25730278117894001</v>
      </c>
      <c r="F100" s="21">
        <f>+C100-23797</f>
        <v>22909</v>
      </c>
      <c r="G100" s="21">
        <f>+D100-30695</f>
        <v>32192</v>
      </c>
      <c r="H100" s="23">
        <f t="shared" si="51"/>
        <v>-0.28836356858846918</v>
      </c>
      <c r="I100" s="24">
        <f t="shared" si="52"/>
        <v>65.788545797113855</v>
      </c>
      <c r="J100" s="24">
        <f t="shared" si="53"/>
        <v>134.12719106028197</v>
      </c>
      <c r="K100" s="21">
        <v>3072719.82</v>
      </c>
      <c r="L100" s="21">
        <v>2960495.62</v>
      </c>
      <c r="M100" s="25">
        <f t="shared" si="54"/>
        <v>3.7907233924568254E-2</v>
      </c>
      <c r="N100" s="10"/>
      <c r="R100" s="2"/>
    </row>
    <row r="101" spans="1:18" ht="15" customHeight="1" x14ac:dyDescent="0.25">
      <c r="A101" s="19"/>
      <c r="B101" s="20">
        <f>DATE(2020,9,1)</f>
        <v>44075</v>
      </c>
      <c r="C101" s="21">
        <v>44655</v>
      </c>
      <c r="D101" s="21">
        <v>59108</v>
      </c>
      <c r="E101" s="23">
        <f t="shared" si="50"/>
        <v>-0.24451850849292819</v>
      </c>
      <c r="F101" s="21">
        <f>+C101-22941</f>
        <v>21714</v>
      </c>
      <c r="G101" s="21">
        <f>+D101-28508</f>
        <v>30600</v>
      </c>
      <c r="H101" s="23">
        <f t="shared" si="51"/>
        <v>-0.29039215686274511</v>
      </c>
      <c r="I101" s="24">
        <f t="shared" si="52"/>
        <v>63.064807748292466</v>
      </c>
      <c r="J101" s="24">
        <f t="shared" si="53"/>
        <v>129.69323892419638</v>
      </c>
      <c r="K101" s="21">
        <v>2816158.99</v>
      </c>
      <c r="L101" s="21">
        <v>2697791.52</v>
      </c>
      <c r="M101" s="25">
        <f t="shared" si="54"/>
        <v>4.3875692069786108E-2</v>
      </c>
      <c r="N101" s="10"/>
      <c r="R101" s="2"/>
    </row>
    <row r="102" spans="1:18" ht="15" customHeight="1" x14ac:dyDescent="0.25">
      <c r="A102" s="19"/>
      <c r="B102" s="20">
        <f>DATE(2020,10,1)</f>
        <v>44105</v>
      </c>
      <c r="C102" s="21">
        <v>42403</v>
      </c>
      <c r="D102" s="21">
        <v>56197</v>
      </c>
      <c r="E102" s="23">
        <f t="shared" si="50"/>
        <v>-0.24545794259480044</v>
      </c>
      <c r="F102" s="21">
        <f>+C102-22277</f>
        <v>20126</v>
      </c>
      <c r="G102" s="21">
        <f>+D102-27661</f>
        <v>28536</v>
      </c>
      <c r="H102" s="23">
        <f t="shared" si="51"/>
        <v>-0.29471544715447157</v>
      </c>
      <c r="I102" s="24">
        <f t="shared" si="52"/>
        <v>67.736065136900692</v>
      </c>
      <c r="J102" s="24">
        <f t="shared" si="53"/>
        <v>142.71153582430688</v>
      </c>
      <c r="K102" s="21">
        <v>2872212.37</v>
      </c>
      <c r="L102" s="21">
        <v>2815045.18</v>
      </c>
      <c r="M102" s="25">
        <f t="shared" si="54"/>
        <v>2.0307734457036295E-2</v>
      </c>
      <c r="N102" s="10"/>
      <c r="R102" s="2"/>
    </row>
    <row r="103" spans="1:18" ht="15" customHeight="1" x14ac:dyDescent="0.25">
      <c r="A103" s="19"/>
      <c r="B103" s="20">
        <f>DATE(2020,11,1)</f>
        <v>44136</v>
      </c>
      <c r="C103" s="21">
        <v>37816</v>
      </c>
      <c r="D103" s="21">
        <v>56040</v>
      </c>
      <c r="E103" s="23">
        <f t="shared" si="50"/>
        <v>-0.32519628836545322</v>
      </c>
      <c r="F103" s="21">
        <f>+C103-19316</f>
        <v>18500</v>
      </c>
      <c r="G103" s="21">
        <f>+D103-27978</f>
        <v>28062</v>
      </c>
      <c r="H103" s="23">
        <f t="shared" si="51"/>
        <v>-0.34074549212458127</v>
      </c>
      <c r="I103" s="24">
        <f t="shared" si="52"/>
        <v>70.016627882377819</v>
      </c>
      <c r="J103" s="24">
        <f t="shared" si="53"/>
        <v>143.12155675675675</v>
      </c>
      <c r="K103" s="21">
        <v>2647748.7999999998</v>
      </c>
      <c r="L103" s="21">
        <v>2921369.96</v>
      </c>
      <c r="M103" s="25">
        <f t="shared" si="54"/>
        <v>-9.3661933868862041E-2</v>
      </c>
      <c r="N103" s="10"/>
      <c r="R103" s="2"/>
    </row>
    <row r="104" spans="1:18" ht="15" customHeight="1" x14ac:dyDescent="0.25">
      <c r="A104" s="19"/>
      <c r="B104" s="20">
        <f>DATE(2020,12,1)</f>
        <v>44166</v>
      </c>
      <c r="C104" s="21">
        <v>48198</v>
      </c>
      <c r="D104" s="21">
        <v>57797</v>
      </c>
      <c r="E104" s="23">
        <f t="shared" si="50"/>
        <v>-0.16608128449573506</v>
      </c>
      <c r="F104" s="21">
        <f>+C104-24463</f>
        <v>23735</v>
      </c>
      <c r="G104" s="21">
        <f>+D104-28840</f>
        <v>28957</v>
      </c>
      <c r="H104" s="23">
        <f t="shared" si="51"/>
        <v>-0.18033636081085747</v>
      </c>
      <c r="I104" s="24">
        <f t="shared" si="52"/>
        <v>68.945855222208394</v>
      </c>
      <c r="J104" s="24">
        <f t="shared" si="53"/>
        <v>140.00641794817781</v>
      </c>
      <c r="K104" s="21">
        <v>3323052.33</v>
      </c>
      <c r="L104" s="21">
        <v>2789521.62</v>
      </c>
      <c r="M104" s="25">
        <f t="shared" si="54"/>
        <v>0.1912624394716109</v>
      </c>
      <c r="N104" s="10"/>
      <c r="R104" s="2"/>
    </row>
    <row r="105" spans="1:18" ht="15.75" thickBot="1" x14ac:dyDescent="0.25">
      <c r="A105" s="38"/>
      <c r="B105" s="20"/>
      <c r="C105" s="21"/>
      <c r="D105" s="21"/>
      <c r="E105" s="23"/>
      <c r="F105" s="21"/>
      <c r="G105" s="21"/>
      <c r="H105" s="23"/>
      <c r="I105" s="24"/>
      <c r="J105" s="24"/>
      <c r="K105" s="21"/>
      <c r="L105" s="21"/>
      <c r="M105" s="25"/>
      <c r="N105" s="10"/>
      <c r="R105" s="2"/>
    </row>
    <row r="106" spans="1:18" ht="17.25" thickTop="1" thickBot="1" x14ac:dyDescent="0.3">
      <c r="A106" s="62" t="s">
        <v>14</v>
      </c>
      <c r="B106" s="52"/>
      <c r="C106" s="48">
        <f>SUM(C99:C105)</f>
        <v>263004</v>
      </c>
      <c r="D106" s="48">
        <f>SUM(D99:D105)</f>
        <v>353356</v>
      </c>
      <c r="E106" s="280">
        <f>(+C106-D106)/D106</f>
        <v>-0.25569680435594699</v>
      </c>
      <c r="F106" s="48">
        <f>SUM(F99:F105)</f>
        <v>128049</v>
      </c>
      <c r="G106" s="48">
        <f>SUM(G99:G105)</f>
        <v>180294</v>
      </c>
      <c r="H106" s="42">
        <f>(+F106-G106)/G106</f>
        <v>-0.28977669805983558</v>
      </c>
      <c r="I106" s="50">
        <f>K106/C106</f>
        <v>67.31924138035923</v>
      </c>
      <c r="J106" s="50">
        <f>K106/F106</f>
        <v>138.26917633093581</v>
      </c>
      <c r="K106" s="48">
        <f>SUM(K99:K105)</f>
        <v>17705229.759999998</v>
      </c>
      <c r="L106" s="48">
        <f>SUM(L99:L105)</f>
        <v>16933146.84</v>
      </c>
      <c r="M106" s="44">
        <f>(+K106-L106)/L106</f>
        <v>4.5595950197287613E-2</v>
      </c>
      <c r="N106" s="10"/>
      <c r="R106" s="2"/>
    </row>
    <row r="107" spans="1:18" ht="15.75" customHeight="1" thickTop="1" x14ac:dyDescent="0.25">
      <c r="A107" s="19"/>
      <c r="B107" s="45"/>
      <c r="C107" s="21"/>
      <c r="D107" s="21"/>
      <c r="E107" s="23"/>
      <c r="F107" s="21"/>
      <c r="G107" s="21"/>
      <c r="H107" s="23"/>
      <c r="I107" s="24"/>
      <c r="J107" s="24"/>
      <c r="K107" s="21"/>
      <c r="L107" s="21"/>
      <c r="M107" s="25"/>
      <c r="N107" s="10"/>
      <c r="R107" s="2"/>
    </row>
    <row r="108" spans="1:18" ht="15.75" x14ac:dyDescent="0.25">
      <c r="A108" s="19" t="s">
        <v>17</v>
      </c>
      <c r="B108" s="20">
        <f>DATE(2020,7,1)</f>
        <v>44013</v>
      </c>
      <c r="C108" s="21">
        <v>316439</v>
      </c>
      <c r="D108" s="21">
        <v>447474</v>
      </c>
      <c r="E108" s="23">
        <f t="shared" ref="E108:E113" si="55">(+C108-D108)/D108</f>
        <v>-0.29283265619901938</v>
      </c>
      <c r="F108" s="21">
        <f>+C108-163690</f>
        <v>152749</v>
      </c>
      <c r="G108" s="21">
        <f>+D108-208413</f>
        <v>239061</v>
      </c>
      <c r="H108" s="23">
        <f t="shared" ref="H108:H113" si="56">(+F108-G108)/G108</f>
        <v>-0.36104592551691828</v>
      </c>
      <c r="I108" s="24">
        <f t="shared" ref="I108:I113" si="57">K108/C108</f>
        <v>71.817670419891343</v>
      </c>
      <c r="J108" s="24">
        <f t="shared" ref="J108:J113" si="58">K108/F108</f>
        <v>148.77944739409094</v>
      </c>
      <c r="K108" s="21">
        <v>22725911.809999999</v>
      </c>
      <c r="L108" s="21">
        <v>22798067.890000001</v>
      </c>
      <c r="M108" s="25">
        <f t="shared" ref="M108:M113" si="59">(+K108-L108)/L108</f>
        <v>-3.1650085589775799E-3</v>
      </c>
      <c r="N108" s="10"/>
      <c r="R108" s="2"/>
    </row>
    <row r="109" spans="1:18" ht="15.75" x14ac:dyDescent="0.25">
      <c r="A109" s="19"/>
      <c r="B109" s="20">
        <f>DATE(2020,8,1)</f>
        <v>44044</v>
      </c>
      <c r="C109" s="21">
        <v>305395</v>
      </c>
      <c r="D109" s="21">
        <v>463395</v>
      </c>
      <c r="E109" s="23">
        <f t="shared" si="55"/>
        <v>-0.34096181443476947</v>
      </c>
      <c r="F109" s="21">
        <f>+C109-155433</f>
        <v>149962</v>
      </c>
      <c r="G109" s="21">
        <f>+D109-219743</f>
        <v>243652</v>
      </c>
      <c r="H109" s="23">
        <f t="shared" si="56"/>
        <v>-0.38452382906768667</v>
      </c>
      <c r="I109" s="24">
        <f t="shared" si="57"/>
        <v>68.028956891894097</v>
      </c>
      <c r="J109" s="24">
        <f t="shared" si="58"/>
        <v>138.53978534562088</v>
      </c>
      <c r="K109" s="21">
        <v>20775703.289999999</v>
      </c>
      <c r="L109" s="21">
        <v>23200828.350000001</v>
      </c>
      <c r="M109" s="25">
        <f t="shared" si="59"/>
        <v>-0.10452752045812201</v>
      </c>
      <c r="N109" s="10"/>
      <c r="R109" s="2"/>
    </row>
    <row r="110" spans="1:18" ht="15.75" x14ac:dyDescent="0.25">
      <c r="A110" s="19"/>
      <c r="B110" s="20">
        <f>DATE(2020,9,1)</f>
        <v>44075</v>
      </c>
      <c r="C110" s="21">
        <v>318330</v>
      </c>
      <c r="D110" s="21">
        <v>425892</v>
      </c>
      <c r="E110" s="23">
        <f t="shared" si="55"/>
        <v>-0.25255698627821138</v>
      </c>
      <c r="F110" s="21">
        <f>+C110-166686</f>
        <v>151644</v>
      </c>
      <c r="G110" s="21">
        <f>+D110-202215</f>
        <v>223677</v>
      </c>
      <c r="H110" s="23">
        <f t="shared" si="56"/>
        <v>-0.32204026341555009</v>
      </c>
      <c r="I110" s="24">
        <f t="shared" si="57"/>
        <v>64.07588870040523</v>
      </c>
      <c r="J110" s="24">
        <f t="shared" si="58"/>
        <v>134.50764718683232</v>
      </c>
      <c r="K110" s="21">
        <v>20397277.649999999</v>
      </c>
      <c r="L110" s="21">
        <v>21530902.170000002</v>
      </c>
      <c r="M110" s="25">
        <f t="shared" si="59"/>
        <v>-5.2651045973332901E-2</v>
      </c>
      <c r="N110" s="10"/>
      <c r="R110" s="2"/>
    </row>
    <row r="111" spans="1:18" ht="15.75" x14ac:dyDescent="0.25">
      <c r="A111" s="19"/>
      <c r="B111" s="20">
        <f>DATE(2020,10,1)</f>
        <v>44105</v>
      </c>
      <c r="C111" s="21">
        <v>335355</v>
      </c>
      <c r="D111" s="21">
        <v>405696</v>
      </c>
      <c r="E111" s="23">
        <f t="shared" si="55"/>
        <v>-0.17338351869380028</v>
      </c>
      <c r="F111" s="21">
        <f>+C111-175973</f>
        <v>159382</v>
      </c>
      <c r="G111" s="21">
        <f>+D111-186355</f>
        <v>219341</v>
      </c>
      <c r="H111" s="23">
        <f t="shared" si="56"/>
        <v>-0.27335974578396194</v>
      </c>
      <c r="I111" s="24">
        <f t="shared" si="57"/>
        <v>65.370092558631896</v>
      </c>
      <c r="J111" s="24">
        <f t="shared" si="58"/>
        <v>137.54493851250456</v>
      </c>
      <c r="K111" s="21">
        <v>21922187.390000001</v>
      </c>
      <c r="L111" s="21">
        <v>21798172.190000001</v>
      </c>
      <c r="M111" s="25">
        <f t="shared" si="59"/>
        <v>5.6892476543006542E-3</v>
      </c>
      <c r="N111" s="10"/>
      <c r="R111" s="2"/>
    </row>
    <row r="112" spans="1:18" ht="15.75" x14ac:dyDescent="0.25">
      <c r="A112" s="19"/>
      <c r="B112" s="20">
        <f>DATE(2020,11,1)</f>
        <v>44136</v>
      </c>
      <c r="C112" s="21">
        <v>293538</v>
      </c>
      <c r="D112" s="21">
        <v>410474</v>
      </c>
      <c r="E112" s="23">
        <f t="shared" si="55"/>
        <v>-0.28488040655437374</v>
      </c>
      <c r="F112" s="21">
        <f>+C112-151202</f>
        <v>142336</v>
      </c>
      <c r="G112" s="21">
        <f>+D112-191079</f>
        <v>219395</v>
      </c>
      <c r="H112" s="23">
        <f t="shared" si="56"/>
        <v>-0.35123407552587799</v>
      </c>
      <c r="I112" s="24">
        <f t="shared" si="57"/>
        <v>64.933159624988917</v>
      </c>
      <c r="J112" s="24">
        <f t="shared" si="58"/>
        <v>133.91095583689298</v>
      </c>
      <c r="K112" s="21">
        <v>19060349.809999999</v>
      </c>
      <c r="L112" s="21">
        <v>20825709.969999999</v>
      </c>
      <c r="M112" s="25">
        <f t="shared" si="59"/>
        <v>-8.4768306220678644E-2</v>
      </c>
      <c r="N112" s="10"/>
      <c r="R112" s="2"/>
    </row>
    <row r="113" spans="1:18" ht="15.75" x14ac:dyDescent="0.25">
      <c r="A113" s="19"/>
      <c r="B113" s="20">
        <f>DATE(2020,12,1)</f>
        <v>44166</v>
      </c>
      <c r="C113" s="21">
        <v>344056</v>
      </c>
      <c r="D113" s="21">
        <v>436988</v>
      </c>
      <c r="E113" s="23">
        <f t="shared" si="55"/>
        <v>-0.21266487866943715</v>
      </c>
      <c r="F113" s="21">
        <f>+C113-176597</f>
        <v>167459</v>
      </c>
      <c r="G113" s="21">
        <f>+D113-202156</f>
        <v>234832</v>
      </c>
      <c r="H113" s="23">
        <f t="shared" si="56"/>
        <v>-0.28689871908428155</v>
      </c>
      <c r="I113" s="24">
        <f t="shared" si="57"/>
        <v>69.410434028181456</v>
      </c>
      <c r="J113" s="24">
        <f t="shared" si="58"/>
        <v>142.60849694552098</v>
      </c>
      <c r="K113" s="21">
        <v>23881076.289999999</v>
      </c>
      <c r="L113" s="21">
        <v>22010059.18</v>
      </c>
      <c r="M113" s="25">
        <f t="shared" si="59"/>
        <v>8.5007363892058346E-2</v>
      </c>
      <c r="N113" s="10"/>
      <c r="R113" s="2"/>
    </row>
    <row r="114" spans="1:18" ht="15.75" thickBot="1" x14ac:dyDescent="0.25">
      <c r="A114" s="38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7.25" thickTop="1" thickBot="1" x14ac:dyDescent="0.3">
      <c r="A115" s="39" t="s">
        <v>14</v>
      </c>
      <c r="B115" s="40"/>
      <c r="C115" s="41">
        <f>SUM(C108:C114)</f>
        <v>1913113</v>
      </c>
      <c r="D115" s="41">
        <f>SUM(D108:D114)</f>
        <v>2589919</v>
      </c>
      <c r="E115" s="280">
        <f>(+C115-D115)/D115</f>
        <v>-0.26132323057207579</v>
      </c>
      <c r="F115" s="41">
        <f>SUM(F108:F114)</f>
        <v>923532</v>
      </c>
      <c r="G115" s="41">
        <f>SUM(G108:G114)</f>
        <v>1379958</v>
      </c>
      <c r="H115" s="42">
        <f>(+F115-G115)/G115</f>
        <v>-0.33075354467309875</v>
      </c>
      <c r="I115" s="43">
        <f>K115/C115</f>
        <v>67.305227783199413</v>
      </c>
      <c r="J115" s="43">
        <f>K115/F115</f>
        <v>139.42397907165099</v>
      </c>
      <c r="K115" s="41">
        <f>SUM(K108:K114)</f>
        <v>128762506.23999998</v>
      </c>
      <c r="L115" s="41">
        <f>SUM(L108:L114)</f>
        <v>132163739.75</v>
      </c>
      <c r="M115" s="44">
        <f>(+K115-L115)/L115</f>
        <v>-2.5734997484436879E-2</v>
      </c>
      <c r="N115" s="10"/>
      <c r="R115" s="2"/>
    </row>
    <row r="116" spans="1:18" ht="15.75" customHeight="1" thickTop="1" x14ac:dyDescent="0.25">
      <c r="A116" s="19"/>
      <c r="B116" s="45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5.75" x14ac:dyDescent="0.25">
      <c r="A117" s="19" t="s">
        <v>57</v>
      </c>
      <c r="B117" s="20">
        <f>DATE(2020,7,1)</f>
        <v>44013</v>
      </c>
      <c r="C117" s="21">
        <v>61338</v>
      </c>
      <c r="D117" s="21">
        <v>77431</v>
      </c>
      <c r="E117" s="23">
        <f t="shared" ref="E117:E122" si="60">(+C117-D117)/D117</f>
        <v>-0.2078366545698751</v>
      </c>
      <c r="F117" s="21">
        <f>+C117-27914</f>
        <v>33424</v>
      </c>
      <c r="G117" s="21">
        <f>+D117-35761</f>
        <v>41670</v>
      </c>
      <c r="H117" s="23">
        <f t="shared" ref="H117:H122" si="61">(+F117-G117)/G117</f>
        <v>-0.19788816894648428</v>
      </c>
      <c r="I117" s="24">
        <f t="shared" ref="I117:I122" si="62">K117/C117</f>
        <v>57.274320812546875</v>
      </c>
      <c r="J117" s="24">
        <f t="shared" ref="J117:J122" si="63">K117/F117</f>
        <v>105.10687799186213</v>
      </c>
      <c r="K117" s="21">
        <v>3513092.29</v>
      </c>
      <c r="L117" s="21">
        <v>3396657.88</v>
      </c>
      <c r="M117" s="25">
        <f t="shared" ref="M117:M122" si="64">(+K117-L117)/L117</f>
        <v>3.4279110264705301E-2</v>
      </c>
      <c r="N117" s="10"/>
      <c r="R117" s="2"/>
    </row>
    <row r="118" spans="1:18" ht="15.75" x14ac:dyDescent="0.25">
      <c r="A118" s="19"/>
      <c r="B118" s="20">
        <f>DATE(2020,8,1)</f>
        <v>44044</v>
      </c>
      <c r="C118" s="21">
        <v>61855</v>
      </c>
      <c r="D118" s="21">
        <v>83032</v>
      </c>
      <c r="E118" s="23">
        <f t="shared" si="60"/>
        <v>-0.25504624722998365</v>
      </c>
      <c r="F118" s="21">
        <f>+C118-27562</f>
        <v>34293</v>
      </c>
      <c r="G118" s="21">
        <f>+D118-37844</f>
        <v>45188</v>
      </c>
      <c r="H118" s="23">
        <f t="shared" si="61"/>
        <v>-0.24110383287598477</v>
      </c>
      <c r="I118" s="24">
        <f t="shared" si="62"/>
        <v>57.364789265217041</v>
      </c>
      <c r="J118" s="24">
        <f t="shared" si="63"/>
        <v>103.47006794389526</v>
      </c>
      <c r="K118" s="21">
        <v>3548299.04</v>
      </c>
      <c r="L118" s="21">
        <v>3491800.49</v>
      </c>
      <c r="M118" s="25">
        <f t="shared" si="64"/>
        <v>1.618034883774239E-2</v>
      </c>
      <c r="N118" s="10"/>
      <c r="R118" s="2"/>
    </row>
    <row r="119" spans="1:18" ht="15.75" x14ac:dyDescent="0.25">
      <c r="A119" s="19"/>
      <c r="B119" s="20">
        <f>DATE(2020,9,1)</f>
        <v>44075</v>
      </c>
      <c r="C119" s="21">
        <v>58255</v>
      </c>
      <c r="D119" s="21">
        <v>70924</v>
      </c>
      <c r="E119" s="23">
        <f t="shared" si="60"/>
        <v>-0.17862782696971405</v>
      </c>
      <c r="F119" s="21">
        <f>+C119-26013</f>
        <v>32242</v>
      </c>
      <c r="G119" s="21">
        <f>+D119-32729</f>
        <v>38195</v>
      </c>
      <c r="H119" s="23">
        <f t="shared" si="61"/>
        <v>-0.15585809660950387</v>
      </c>
      <c r="I119" s="24">
        <f t="shared" si="62"/>
        <v>55.064059394043426</v>
      </c>
      <c r="J119" s="24">
        <f t="shared" si="63"/>
        <v>99.490006203089138</v>
      </c>
      <c r="K119" s="21">
        <v>3207756.78</v>
      </c>
      <c r="L119" s="21">
        <v>3371438.75</v>
      </c>
      <c r="M119" s="25">
        <f t="shared" si="64"/>
        <v>-4.8549590289902259E-2</v>
      </c>
      <c r="N119" s="10"/>
      <c r="R119" s="2"/>
    </row>
    <row r="120" spans="1:18" ht="15.75" x14ac:dyDescent="0.25">
      <c r="A120" s="19"/>
      <c r="B120" s="20">
        <f>DATE(2020,10,1)</f>
        <v>44105</v>
      </c>
      <c r="C120" s="21">
        <v>55328</v>
      </c>
      <c r="D120" s="21">
        <v>70482</v>
      </c>
      <c r="E120" s="23">
        <f t="shared" si="60"/>
        <v>-0.21500524956726541</v>
      </c>
      <c r="F120" s="21">
        <f>+C120-22799</f>
        <v>32529</v>
      </c>
      <c r="G120" s="21">
        <f>+D120-33635</f>
        <v>36847</v>
      </c>
      <c r="H120" s="23">
        <f t="shared" si="61"/>
        <v>-0.11718728797459765</v>
      </c>
      <c r="I120" s="24">
        <f t="shared" si="62"/>
        <v>52.386605696934645</v>
      </c>
      <c r="J120" s="24">
        <f t="shared" si="63"/>
        <v>89.103449844753911</v>
      </c>
      <c r="K120" s="21">
        <v>2898446.12</v>
      </c>
      <c r="L120" s="21">
        <v>3274009.79</v>
      </c>
      <c r="M120" s="25">
        <f t="shared" si="64"/>
        <v>-0.11471061300644428</v>
      </c>
      <c r="N120" s="10"/>
      <c r="R120" s="2"/>
    </row>
    <row r="121" spans="1:18" ht="15.75" x14ac:dyDescent="0.25">
      <c r="A121" s="19"/>
      <c r="B121" s="20">
        <f>DATE(2020,11,1)</f>
        <v>44136</v>
      </c>
      <c r="C121" s="21">
        <v>49882</v>
      </c>
      <c r="D121" s="21">
        <v>73056</v>
      </c>
      <c r="E121" s="23">
        <f t="shared" si="60"/>
        <v>-0.31720871660096367</v>
      </c>
      <c r="F121" s="21">
        <f>+C121-20773</f>
        <v>29109</v>
      </c>
      <c r="G121" s="21">
        <f>+D121-35437</f>
        <v>37619</v>
      </c>
      <c r="H121" s="23">
        <f t="shared" si="61"/>
        <v>-0.22621547622212179</v>
      </c>
      <c r="I121" s="24">
        <f t="shared" si="62"/>
        <v>51.305875065153764</v>
      </c>
      <c r="J121" s="24">
        <f t="shared" si="63"/>
        <v>87.919188567109828</v>
      </c>
      <c r="K121" s="21">
        <v>2559239.66</v>
      </c>
      <c r="L121" s="21">
        <v>3377500.2</v>
      </c>
      <c r="M121" s="25">
        <f t="shared" si="64"/>
        <v>-0.24226809520248141</v>
      </c>
      <c r="N121" s="10"/>
      <c r="R121" s="2"/>
    </row>
    <row r="122" spans="1:18" ht="15.75" x14ac:dyDescent="0.25">
      <c r="A122" s="19"/>
      <c r="B122" s="20">
        <f>DATE(2020,12,1)</f>
        <v>44166</v>
      </c>
      <c r="C122" s="21">
        <v>53490</v>
      </c>
      <c r="D122" s="21">
        <v>74995</v>
      </c>
      <c r="E122" s="23">
        <f t="shared" si="60"/>
        <v>-0.28675245016334422</v>
      </c>
      <c r="F122" s="21">
        <f>+C122-22512</f>
        <v>30978</v>
      </c>
      <c r="G122" s="21">
        <f>+D122-35471</f>
        <v>39524</v>
      </c>
      <c r="H122" s="23">
        <f t="shared" si="61"/>
        <v>-0.21622305434672603</v>
      </c>
      <c r="I122" s="24">
        <f t="shared" si="62"/>
        <v>52.612236118900725</v>
      </c>
      <c r="J122" s="24">
        <f t="shared" si="63"/>
        <v>90.846036219252369</v>
      </c>
      <c r="K122" s="21">
        <v>2814228.51</v>
      </c>
      <c r="L122" s="21">
        <v>3534603.49</v>
      </c>
      <c r="M122" s="25">
        <f t="shared" si="64"/>
        <v>-0.20380644732515679</v>
      </c>
      <c r="N122" s="10"/>
      <c r="R122" s="2"/>
    </row>
    <row r="123" spans="1:18" ht="15.75" thickBot="1" x14ac:dyDescent="0.25">
      <c r="A123" s="38"/>
      <c r="B123" s="45"/>
      <c r="C123" s="21"/>
      <c r="D123" s="21"/>
      <c r="E123" s="23"/>
      <c r="F123" s="21"/>
      <c r="G123" s="21"/>
      <c r="H123" s="23"/>
      <c r="I123" s="24"/>
      <c r="J123" s="24"/>
      <c r="K123" s="21"/>
      <c r="L123" s="21"/>
      <c r="M123" s="25"/>
      <c r="N123" s="10"/>
      <c r="R123" s="2"/>
    </row>
    <row r="124" spans="1:18" ht="17.25" thickTop="1" thickBot="1" x14ac:dyDescent="0.3">
      <c r="A124" s="26" t="s">
        <v>14</v>
      </c>
      <c r="B124" s="27"/>
      <c r="C124" s="28">
        <f>SUM(C117:C123)</f>
        <v>340148</v>
      </c>
      <c r="D124" s="28">
        <f>SUM(D117:D123)</f>
        <v>449920</v>
      </c>
      <c r="E124" s="280">
        <f>(+C124-D124)/D124</f>
        <v>-0.2439811522048364</v>
      </c>
      <c r="F124" s="28">
        <f>SUM(F117:F123)</f>
        <v>192575</v>
      </c>
      <c r="G124" s="28">
        <f>SUM(G117:G123)</f>
        <v>239043</v>
      </c>
      <c r="H124" s="42">
        <f>(+F124-G124)/G124</f>
        <v>-0.19439180398505709</v>
      </c>
      <c r="I124" s="43">
        <f>K124/C124</f>
        <v>54.50880910662417</v>
      </c>
      <c r="J124" s="43">
        <f>K124/F124</f>
        <v>96.279695702972859</v>
      </c>
      <c r="K124" s="28">
        <f>SUM(K117:K123)</f>
        <v>18541062.399999999</v>
      </c>
      <c r="L124" s="28">
        <f>SUM(L117:L123)</f>
        <v>20446010.600000001</v>
      </c>
      <c r="M124" s="44">
        <f>(+K124-L124)/L124</f>
        <v>-9.3169676826833053E-2</v>
      </c>
      <c r="N124" s="10"/>
      <c r="R124" s="2"/>
    </row>
    <row r="125" spans="1:18" ht="16.5" thickTop="1" thickBot="1" x14ac:dyDescent="0.25">
      <c r="A125" s="63"/>
      <c r="B125" s="34"/>
      <c r="C125" s="35"/>
      <c r="D125" s="35"/>
      <c r="E125" s="29"/>
      <c r="F125" s="35"/>
      <c r="G125" s="35"/>
      <c r="H125" s="29"/>
      <c r="I125" s="36"/>
      <c r="J125" s="36"/>
      <c r="K125" s="35"/>
      <c r="L125" s="35"/>
      <c r="M125" s="37"/>
      <c r="N125" s="10"/>
      <c r="R125" s="2"/>
    </row>
    <row r="126" spans="1:18" ht="17.25" thickTop="1" thickBot="1" x14ac:dyDescent="0.3">
      <c r="A126" s="64" t="s">
        <v>18</v>
      </c>
      <c r="B126" s="65"/>
      <c r="C126" s="28">
        <f>C124+C115+C52+C70+C79+C34+C16+C88+C97+C43+C106+C25+C61</f>
        <v>12660642</v>
      </c>
      <c r="D126" s="28">
        <f>D124+D115+D52+D70+D79+D34+D16+D88+D97+D43+D106+D25+D61</f>
        <v>18474136</v>
      </c>
      <c r="E126" s="279">
        <f>(+C126-D126)/D126</f>
        <v>-0.31468286257067718</v>
      </c>
      <c r="F126" s="28">
        <f>F124+F115+F52+F70+F79+F34+F16+F88+F97+F43+F106+F25+F61</f>
        <v>6457371</v>
      </c>
      <c r="G126" s="28">
        <f>G124+G115+G52+G70+G79+G34+G16+G88+G97+G43+G106+G25+G61</f>
        <v>9803589</v>
      </c>
      <c r="H126" s="30">
        <f>(+F126-G126)/G126</f>
        <v>-0.3413258144542779</v>
      </c>
      <c r="I126" s="31">
        <f>K126/C126</f>
        <v>61.530194489347373</v>
      </c>
      <c r="J126" s="31">
        <f>K126/F126</f>
        <v>120.63915246932535</v>
      </c>
      <c r="K126" s="28">
        <f>K124+K115+K52+K70+K79+K34+K16+K88+K97+K43+K106+K25+K61</f>
        <v>779011764.61999989</v>
      </c>
      <c r="L126" s="28">
        <f>L124+L115+L52+L70+L79+L34+L16+L88+L97+L43+L106+L25+L61</f>
        <v>867723293.30000019</v>
      </c>
      <c r="M126" s="32">
        <f>(+K126-L126)/L126</f>
        <v>-0.10223481306192139</v>
      </c>
      <c r="N126" s="10"/>
      <c r="R126" s="2"/>
    </row>
    <row r="127" spans="1:18" ht="17.25" thickTop="1" thickBot="1" x14ac:dyDescent="0.3">
      <c r="A127" s="64"/>
      <c r="B127" s="65"/>
      <c r="C127" s="28"/>
      <c r="D127" s="28"/>
      <c r="E127" s="29"/>
      <c r="F127" s="28"/>
      <c r="G127" s="28"/>
      <c r="H127" s="30"/>
      <c r="I127" s="31"/>
      <c r="J127" s="31"/>
      <c r="K127" s="28"/>
      <c r="L127" s="28"/>
      <c r="M127" s="32"/>
      <c r="N127" s="10"/>
      <c r="R127" s="2"/>
    </row>
    <row r="128" spans="1:18" ht="17.25" thickTop="1" thickBot="1" x14ac:dyDescent="0.3">
      <c r="A128" s="64" t="s">
        <v>19</v>
      </c>
      <c r="B128" s="65"/>
      <c r="C128" s="28">
        <f>SUM(C14+C23+C32+C41+C50+C59+C68+C77+C86+C95+C104+C113+C122)</f>
        <v>2158482</v>
      </c>
      <c r="D128" s="28">
        <f>SUM(D14+D23+D32+D41+D50+D59+D68+D77+D86+D95+D104+D113+D122)</f>
        <v>3114565</v>
      </c>
      <c r="E128" s="279">
        <f>(+C128-D128)/D128</f>
        <v>-0.30697159956526837</v>
      </c>
      <c r="F128" s="28">
        <f>SUM(F14+F23+F32+F41+F50+F59+F68+F77+F86+F95+F104+F113+F122)</f>
        <v>1101269</v>
      </c>
      <c r="G128" s="28">
        <f>SUM(G14+G23+G32+G41+G50+G59+G68+G77+G86+G95+G104+G113+G122)</f>
        <v>1629151</v>
      </c>
      <c r="H128" s="30">
        <f>(+F128-G128)/G128</f>
        <v>-0.32402275786590684</v>
      </c>
      <c r="I128" s="31">
        <f>K128/C128</f>
        <v>62.135252566386932</v>
      </c>
      <c r="J128" s="31">
        <f>K128/F128</f>
        <v>121.78479938144086</v>
      </c>
      <c r="K128" s="28">
        <f>SUM(K14+K23+K32+K41+K50+K59+K68+K77+K86+K95+K104+K113+K122)</f>
        <v>134117824.23</v>
      </c>
      <c r="L128" s="28">
        <f>SUM(L14+L23+L32+L41+L50+L59+L68+L77+L86+L95+L104+L113+L122)</f>
        <v>146297481.19000003</v>
      </c>
      <c r="M128" s="44">
        <f>(+K128-L128)/L128</f>
        <v>-8.3252677085957572E-2</v>
      </c>
      <c r="N128" s="10"/>
      <c r="R128" s="2"/>
    </row>
    <row r="129" spans="1:18" ht="15.75" thickTop="1" x14ac:dyDescent="0.2">
      <c r="A129" s="66"/>
      <c r="B129" s="67"/>
      <c r="C129" s="68"/>
      <c r="D129" s="67"/>
      <c r="E129" s="67"/>
      <c r="F129" s="67"/>
      <c r="G129" s="67"/>
      <c r="H129" s="67"/>
      <c r="I129" s="67"/>
      <c r="J129" s="67"/>
      <c r="K129" s="68"/>
      <c r="L129" s="68"/>
      <c r="M129" s="67"/>
      <c r="R129" s="2"/>
    </row>
    <row r="130" spans="1:18" ht="18.75" x14ac:dyDescent="0.3">
      <c r="A130" s="264" t="s">
        <v>20</v>
      </c>
      <c r="B130" s="70"/>
      <c r="C130" s="71"/>
      <c r="D130" s="71"/>
      <c r="E130" s="71"/>
      <c r="F130" s="71"/>
      <c r="G130" s="71"/>
      <c r="H130" s="71"/>
      <c r="I130" s="71"/>
      <c r="J130" s="71"/>
      <c r="K130" s="198"/>
      <c r="L130" s="198"/>
      <c r="M130" s="71"/>
      <c r="N130" s="2"/>
      <c r="O130" s="2"/>
      <c r="P130" s="2"/>
      <c r="Q130" s="2"/>
      <c r="R130" s="2"/>
    </row>
    <row r="131" spans="1:18" ht="18" x14ac:dyDescent="0.25">
      <c r="A131" s="69"/>
      <c r="B131" s="70"/>
      <c r="C131" s="71"/>
      <c r="D131" s="71"/>
      <c r="E131" s="71"/>
      <c r="F131" s="71"/>
      <c r="G131" s="71"/>
      <c r="H131" s="71"/>
      <c r="I131" s="71"/>
      <c r="J131" s="71"/>
      <c r="K131" s="198"/>
      <c r="L131" s="198"/>
      <c r="M131" s="71"/>
      <c r="N131" s="2"/>
      <c r="O131" s="2"/>
      <c r="P131" s="2"/>
      <c r="Q131" s="2"/>
      <c r="R131" s="2"/>
    </row>
    <row r="132" spans="1:18" ht="15.75" x14ac:dyDescent="0.25">
      <c r="A132" s="72"/>
      <c r="B132" s="73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73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3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3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73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73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73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4"/>
      <c r="N141" s="2"/>
      <c r="O141" s="2"/>
      <c r="P141" s="2"/>
      <c r="Q141" s="2"/>
      <c r="R141" s="2"/>
    </row>
    <row r="142" spans="1:18" x14ac:dyDescent="0.2">
      <c r="A142" s="2"/>
      <c r="B142" s="73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4"/>
      <c r="N142" s="2"/>
      <c r="O142" s="2"/>
      <c r="P142" s="2"/>
      <c r="Q142" s="2"/>
      <c r="R142" s="2"/>
    </row>
    <row r="143" spans="1:18" x14ac:dyDescent="0.2">
      <c r="A143" s="2"/>
      <c r="B143" s="70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4"/>
      <c r="N143" s="2"/>
      <c r="O143" s="2"/>
      <c r="P143" s="2"/>
      <c r="Q143" s="2"/>
      <c r="R143" s="2"/>
    </row>
    <row r="144" spans="1:18" ht="15.75" x14ac:dyDescent="0.25">
      <c r="A144" s="76"/>
      <c r="B144" s="70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.75" x14ac:dyDescent="0.25">
      <c r="A145" s="76"/>
      <c r="B145" s="70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.75" x14ac:dyDescent="0.25">
      <c r="A146" s="76"/>
      <c r="B146" s="70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70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.75" x14ac:dyDescent="0.25">
      <c r="A148" s="76"/>
      <c r="B148" s="73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73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73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77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77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.75" x14ac:dyDescent="0.25">
      <c r="A161" s="76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.75" x14ac:dyDescent="0.25">
      <c r="A164" s="76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.75" x14ac:dyDescent="0.25">
      <c r="A165" s="76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.75" x14ac:dyDescent="0.25">
      <c r="A166" s="76"/>
      <c r="B166" s="77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77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77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7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77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7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7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7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.75" x14ac:dyDescent="0.25">
      <c r="A179" s="76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.75" x14ac:dyDescent="0.25">
      <c r="A182" s="76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.75" x14ac:dyDescent="0.25">
      <c r="A188" s="76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.75" x14ac:dyDescent="0.25">
      <c r="A191" s="76"/>
      <c r="B191" s="76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52" max="12" man="1"/>
    <brk id="9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65</v>
      </c>
      <c r="E7" s="275" t="s">
        <v>56</v>
      </c>
      <c r="F7" s="84" t="s">
        <v>63</v>
      </c>
      <c r="G7" s="84" t="s">
        <v>67</v>
      </c>
      <c r="H7" s="84" t="s">
        <v>66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DATE(2020,7,1)</f>
        <v>44013</v>
      </c>
      <c r="B10" s="89">
        <f>'MONTHLY STATS'!$C$9*2</f>
        <v>376666</v>
      </c>
      <c r="C10" s="89">
        <f>'MONTHLY STATS'!$C$18*2</f>
        <v>158942</v>
      </c>
      <c r="D10" s="89">
        <f>'MONTHLY STATS'!$C$27*2</f>
        <v>106210</v>
      </c>
      <c r="E10" s="89">
        <f>'MONTHLY STATS'!$C$36*2</f>
        <v>452472</v>
      </c>
      <c r="F10" s="89">
        <f>'MONTHLY STATS'!$C$45*2</f>
        <v>521570</v>
      </c>
      <c r="G10" s="89">
        <f>'MONTHLY STATS'!$C$54*2</f>
        <v>151956</v>
      </c>
      <c r="H10" s="89">
        <f>'MONTHLY STATS'!$C$63*2</f>
        <v>179564</v>
      </c>
      <c r="I10" s="89">
        <f>'MONTHLY STATS'!$C$72*2</f>
        <v>396916</v>
      </c>
      <c r="J10" s="89">
        <f>'MONTHLY STATS'!$C$81*2</f>
        <v>422892</v>
      </c>
      <c r="K10" s="89">
        <f>'MONTHLY STATS'!$C$90*2</f>
        <v>446984</v>
      </c>
      <c r="L10" s="89">
        <f>'MONTHLY STATS'!$C$99*2</f>
        <v>86452</v>
      </c>
      <c r="M10" s="89">
        <f>'MONTHLY STATS'!$C$108*2</f>
        <v>632878</v>
      </c>
      <c r="N10" s="89">
        <f>'MONTHLY STATS'!$C$117*2</f>
        <v>122676</v>
      </c>
      <c r="O10" s="90">
        <f t="shared" ref="O10:O15" si="0">SUM(B10:N10)</f>
        <v>4056178</v>
      </c>
      <c r="P10" s="83"/>
    </row>
    <row r="11" spans="1:16" ht="15.75" x14ac:dyDescent="0.25">
      <c r="A11" s="88">
        <f>DATE(2020,8,1)</f>
        <v>44044</v>
      </c>
      <c r="B11" s="89">
        <f>'MONTHLY STATS'!$C$10*2</f>
        <v>386252</v>
      </c>
      <c r="C11" s="89">
        <f>'MONTHLY STATS'!$C$19*2</f>
        <v>176468</v>
      </c>
      <c r="D11" s="89">
        <f>'MONTHLY STATS'!$C$28*2</f>
        <v>105220</v>
      </c>
      <c r="E11" s="89">
        <f>'MONTHLY STATS'!$C$37*2</f>
        <v>497732</v>
      </c>
      <c r="F11" s="89">
        <f>'MONTHLY STATS'!$C$46*2</f>
        <v>535796</v>
      </c>
      <c r="G11" s="89">
        <f>'MONTHLY STATS'!$C$55*2</f>
        <v>150102</v>
      </c>
      <c r="H11" s="89">
        <f>'MONTHLY STATS'!$C$64*2</f>
        <v>181532</v>
      </c>
      <c r="I11" s="89">
        <f>'MONTHLY STATS'!$C$73*2</f>
        <v>414340</v>
      </c>
      <c r="J11" s="89">
        <f>'MONTHLY STATS'!$C$82*2</f>
        <v>451102</v>
      </c>
      <c r="K11" s="89">
        <f>'MONTHLY STATS'!$C$91*2</f>
        <v>486344</v>
      </c>
      <c r="L11" s="89">
        <f>'MONTHLY STATS'!$C$100*2</f>
        <v>93412</v>
      </c>
      <c r="M11" s="89">
        <f>'MONTHLY STATS'!$C$109*2</f>
        <v>610790</v>
      </c>
      <c r="N11" s="89">
        <f>'MONTHLY STATS'!$C$118*2</f>
        <v>123710</v>
      </c>
      <c r="O11" s="90">
        <f t="shared" si="0"/>
        <v>4212800</v>
      </c>
      <c r="P11" s="83"/>
    </row>
    <row r="12" spans="1:16" ht="15.75" x14ac:dyDescent="0.25">
      <c r="A12" s="88">
        <f>DATE(2020,9,1)</f>
        <v>44075</v>
      </c>
      <c r="B12" s="89">
        <f>'MONTHLY STATS'!$C$11*2</f>
        <v>393508</v>
      </c>
      <c r="C12" s="89">
        <f>'MONTHLY STATS'!$C$20*2</f>
        <v>181896</v>
      </c>
      <c r="D12" s="89">
        <f>'MONTHLY STATS'!$C$29*2</f>
        <v>101704</v>
      </c>
      <c r="E12" s="89">
        <f>'MONTHLY STATS'!$C$38*2</f>
        <v>499142</v>
      </c>
      <c r="F12" s="89">
        <f>'MONTHLY STATS'!$C$47*2</f>
        <v>491416</v>
      </c>
      <c r="G12" s="89">
        <f>'MONTHLY STATS'!$C$56*2</f>
        <v>152116</v>
      </c>
      <c r="H12" s="89">
        <f>'MONTHLY STATS'!$C$65*2</f>
        <v>227798</v>
      </c>
      <c r="I12" s="89">
        <f>'MONTHLY STATS'!$C$74*2</f>
        <v>429358</v>
      </c>
      <c r="J12" s="89">
        <f>'MONTHLY STATS'!$C$83*2</f>
        <v>449654</v>
      </c>
      <c r="K12" s="89">
        <f>'MONTHLY STATS'!$C$92*2</f>
        <v>517978</v>
      </c>
      <c r="L12" s="89">
        <f>'MONTHLY STATS'!$C$101*2</f>
        <v>89310</v>
      </c>
      <c r="M12" s="89">
        <f>'MONTHLY STATS'!$C$110*2</f>
        <v>636660</v>
      </c>
      <c r="N12" s="89">
        <f>'MONTHLY STATS'!$C$119*2</f>
        <v>116510</v>
      </c>
      <c r="O12" s="90">
        <f t="shared" si="0"/>
        <v>4287050</v>
      </c>
      <c r="P12" s="83"/>
    </row>
    <row r="13" spans="1:16" ht="15.75" x14ac:dyDescent="0.25">
      <c r="A13" s="88">
        <f>DATE(2020,10,1)</f>
        <v>44105</v>
      </c>
      <c r="B13" s="89">
        <f>'MONTHLY STATS'!$C$12*2</f>
        <v>407654</v>
      </c>
      <c r="C13" s="89">
        <f>'MONTHLY STATS'!$C$21*2</f>
        <v>174198</v>
      </c>
      <c r="D13" s="89">
        <f>'MONTHLY STATS'!$C$30*2</f>
        <v>103276</v>
      </c>
      <c r="E13" s="89">
        <f>'MONTHLY STATS'!$C$39*2</f>
        <v>544168</v>
      </c>
      <c r="F13" s="89">
        <f>'MONTHLY STATS'!$C$48*2</f>
        <v>504572</v>
      </c>
      <c r="G13" s="89">
        <f>'MONTHLY STATS'!$C$57*2</f>
        <v>158558</v>
      </c>
      <c r="H13" s="89">
        <f>'MONTHLY STATS'!$C$66*2</f>
        <v>266504</v>
      </c>
      <c r="I13" s="89">
        <f>'MONTHLY STATS'!$C$75*2</f>
        <v>427356</v>
      </c>
      <c r="J13" s="89">
        <f>'MONTHLY STATS'!$C$84*2</f>
        <v>473378</v>
      </c>
      <c r="K13" s="89">
        <f>'MONTHLY STATS'!$C$93*2</f>
        <v>545318</v>
      </c>
      <c r="L13" s="89">
        <f>'MONTHLY STATS'!$C$102*2</f>
        <v>84806</v>
      </c>
      <c r="M13" s="89">
        <f>'MONTHLY STATS'!$C$111*2</f>
        <v>670710</v>
      </c>
      <c r="N13" s="89">
        <f>'MONTHLY STATS'!$C$120*2</f>
        <v>110656</v>
      </c>
      <c r="O13" s="90">
        <f t="shared" si="0"/>
        <v>4471154</v>
      </c>
      <c r="P13" s="83"/>
    </row>
    <row r="14" spans="1:16" ht="15.75" x14ac:dyDescent="0.25">
      <c r="A14" s="88">
        <f>DATE(2020,11,1)</f>
        <v>44136</v>
      </c>
      <c r="B14" s="89">
        <f>'MONTHLY STATS'!$C$13*2</f>
        <v>378296</v>
      </c>
      <c r="C14" s="89">
        <f>'MONTHLY STATS'!$C$22*2</f>
        <v>155566</v>
      </c>
      <c r="D14" s="89">
        <f>'MONTHLY STATS'!$C$31*2</f>
        <v>91494</v>
      </c>
      <c r="E14" s="89">
        <f>'MONTHLY STATS'!$C$40*2</f>
        <v>465798</v>
      </c>
      <c r="F14" s="89">
        <f>'MONTHLY STATS'!$C$49*2</f>
        <v>459294</v>
      </c>
      <c r="G14" s="89">
        <f>'MONTHLY STATS'!$C$58*2</f>
        <v>148234</v>
      </c>
      <c r="H14" s="89">
        <f>'MONTHLY STATS'!$C$67*2</f>
        <v>257284</v>
      </c>
      <c r="I14" s="89">
        <f>'MONTHLY STATS'!$C$76*2</f>
        <v>364402</v>
      </c>
      <c r="J14" s="89">
        <f>'MONTHLY STATS'!$C$85*2</f>
        <v>435666</v>
      </c>
      <c r="K14" s="89">
        <f>'MONTHLY STATS'!$C$94*2</f>
        <v>458632</v>
      </c>
      <c r="L14" s="89">
        <f>'MONTHLY STATS'!$C$103*2</f>
        <v>75632</v>
      </c>
      <c r="M14" s="89">
        <f>'MONTHLY STATS'!$C$112*2</f>
        <v>587076</v>
      </c>
      <c r="N14" s="89">
        <f>'MONTHLY STATS'!$C$121*2</f>
        <v>99764</v>
      </c>
      <c r="O14" s="90">
        <f t="shared" si="0"/>
        <v>3977138</v>
      </c>
      <c r="P14" s="83"/>
    </row>
    <row r="15" spans="1:16" ht="15.75" x14ac:dyDescent="0.25">
      <c r="A15" s="88">
        <f>DATE(2020,12,1)</f>
        <v>44166</v>
      </c>
      <c r="B15" s="89">
        <f>'MONTHLY STATS'!$C$14*2</f>
        <v>392152</v>
      </c>
      <c r="C15" s="89">
        <f>'MONTHLY STATS'!$C$23*2</f>
        <v>164848</v>
      </c>
      <c r="D15" s="89">
        <f>'MONTHLY STATS'!$C$32*2</f>
        <v>100036</v>
      </c>
      <c r="E15" s="89">
        <f>'MONTHLY STATS'!$C$41*2</f>
        <v>453314</v>
      </c>
      <c r="F15" s="89">
        <f>'MONTHLY STATS'!$C$50*2</f>
        <v>474630</v>
      </c>
      <c r="G15" s="89">
        <f>'MONTHLY STATS'!$C$59*2</f>
        <v>180110</v>
      </c>
      <c r="H15" s="89">
        <f>'MONTHLY STATS'!$C$68*2</f>
        <v>272648</v>
      </c>
      <c r="I15" s="89">
        <f>'MONTHLY STATS'!$C$77*2</f>
        <v>473124</v>
      </c>
      <c r="J15" s="89">
        <f>'MONTHLY STATS'!$C$86*2</f>
        <v>465676</v>
      </c>
      <c r="K15" s="89">
        <f>'MONTHLY STATS'!$C$95*2</f>
        <v>448938</v>
      </c>
      <c r="L15" s="89">
        <f>'MONTHLY STATS'!$C$104*2</f>
        <v>96396</v>
      </c>
      <c r="M15" s="89">
        <f>'MONTHLY STATS'!$C$113*2</f>
        <v>688112</v>
      </c>
      <c r="N15" s="89">
        <f>'MONTHLY STATS'!$C$122*2</f>
        <v>106980</v>
      </c>
      <c r="O15" s="90">
        <f t="shared" si="0"/>
        <v>4316964</v>
      </c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2334528</v>
      </c>
      <c r="C23" s="90">
        <f t="shared" si="1"/>
        <v>1011918</v>
      </c>
      <c r="D23" s="90">
        <f t="shared" si="1"/>
        <v>607940</v>
      </c>
      <c r="E23" s="90">
        <f t="shared" si="1"/>
        <v>2912626</v>
      </c>
      <c r="F23" s="90">
        <f t="shared" si="1"/>
        <v>2987278</v>
      </c>
      <c r="G23" s="90">
        <f>SUM(G10:G21)</f>
        <v>941076</v>
      </c>
      <c r="H23" s="90">
        <f t="shared" si="1"/>
        <v>1385330</v>
      </c>
      <c r="I23" s="90">
        <f>SUM(I10:I21)</f>
        <v>2505496</v>
      </c>
      <c r="J23" s="90">
        <f t="shared" si="1"/>
        <v>2698368</v>
      </c>
      <c r="K23" s="90">
        <f>SUM(K10:K21)</f>
        <v>2904194</v>
      </c>
      <c r="L23" s="90">
        <f t="shared" si="1"/>
        <v>526008</v>
      </c>
      <c r="M23" s="90">
        <f t="shared" si="1"/>
        <v>3826226</v>
      </c>
      <c r="N23" s="90">
        <f t="shared" si="1"/>
        <v>680296</v>
      </c>
      <c r="O23" s="90">
        <f t="shared" si="1"/>
        <v>25321284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65</v>
      </c>
      <c r="E28" s="275" t="s">
        <v>56</v>
      </c>
      <c r="F28" s="84" t="s">
        <v>63</v>
      </c>
      <c r="G28" s="84" t="s">
        <v>67</v>
      </c>
      <c r="H28" s="84" t="s">
        <v>66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DATE(2020,7,1)</f>
        <v>44013</v>
      </c>
      <c r="B31" s="89">
        <f>'MONTHLY STATS'!$K$9*0.21</f>
        <v>2859195.1269</v>
      </c>
      <c r="C31" s="89">
        <f>'MONTHLY STATS'!$K$18*0.21</f>
        <v>1178796.7863</v>
      </c>
      <c r="D31" s="89">
        <f>'MONTHLY STATS'!$K$27*0.21</f>
        <v>728228.88599999994</v>
      </c>
      <c r="E31" s="89">
        <f>'MONTHLY STATS'!$K$36*0.21</f>
        <v>3061575.4994999999</v>
      </c>
      <c r="F31" s="89">
        <f>'MONTHLY STATS'!$K$45*0.21</f>
        <v>3317763.2228999999</v>
      </c>
      <c r="G31" s="89">
        <f>'MONTHLY STATS'!$K$54*0.21</f>
        <v>1051497.2097</v>
      </c>
      <c r="H31" s="89">
        <f>'MONTHLY STATS'!$K$63*0.21</f>
        <v>955953.50549999997</v>
      </c>
      <c r="I31" s="89">
        <f>'MONTHLY STATS'!$K$72*0.21</f>
        <v>2398867.7516999999</v>
      </c>
      <c r="J31" s="89">
        <f>'MONTHLY STATS'!$K$81*0.21</f>
        <v>2903763.5780999996</v>
      </c>
      <c r="K31" s="89">
        <f>'MONTHLY STATS'!$K$90*0.21</f>
        <v>3157890.0107999998</v>
      </c>
      <c r="L31" s="89">
        <f>'MONTHLY STATS'!$K$99*0.21</f>
        <v>624400.86450000003</v>
      </c>
      <c r="M31" s="89">
        <f>'MONTHLY STATS'!$K$108*0.21</f>
        <v>4772441.4800999993</v>
      </c>
      <c r="N31" s="89">
        <f>'MONTHLY STATS'!$K$117*0.21</f>
        <v>737749.38089999999</v>
      </c>
      <c r="O31" s="90">
        <f t="shared" ref="O31:O36" si="2">SUM(B31:N31)</f>
        <v>27748123.302899998</v>
      </c>
      <c r="P31" s="83"/>
    </row>
    <row r="32" spans="1:16" ht="15.75" x14ac:dyDescent="0.25">
      <c r="A32" s="88">
        <f>DATE(2020,8,1)</f>
        <v>44044</v>
      </c>
      <c r="B32" s="89">
        <f>'MONTHLY STATS'!$K$10*0.21</f>
        <v>2651031.0833999999</v>
      </c>
      <c r="C32" s="89">
        <f>'MONTHLY STATS'!$K$19*0.21</f>
        <v>1258855.9683000001</v>
      </c>
      <c r="D32" s="89">
        <f>'MONTHLY STATS'!$K$28*0.21</f>
        <v>692227.40999999992</v>
      </c>
      <c r="E32" s="89">
        <f>'MONTHLY STATS'!$K$37*0.21</f>
        <v>3170806.4156999998</v>
      </c>
      <c r="F32" s="89">
        <f>'MONTHLY STATS'!$K$46*0.21</f>
        <v>3274393.2648</v>
      </c>
      <c r="G32" s="89">
        <f>'MONTHLY STATS'!$K$55*0.21</f>
        <v>1042214.6279999999</v>
      </c>
      <c r="H32" s="89">
        <f>'MONTHLY STATS'!$K$64*0.21</f>
        <v>924689.3459999999</v>
      </c>
      <c r="I32" s="89">
        <f>'MONTHLY STATS'!$K$73*0.21</f>
        <v>2536431.8153999997</v>
      </c>
      <c r="J32" s="89">
        <f>'MONTHLY STATS'!$K$82*0.21</f>
        <v>3012089.7827999997</v>
      </c>
      <c r="K32" s="89">
        <f>'MONTHLY STATS'!$K$91*0.21</f>
        <v>3330930.0780000002</v>
      </c>
      <c r="L32" s="89">
        <f>'MONTHLY STATS'!$K$100*0.21</f>
        <v>645271.1621999999</v>
      </c>
      <c r="M32" s="89">
        <f>'MONTHLY STATS'!$K$109*0.21</f>
        <v>4362897.6908999998</v>
      </c>
      <c r="N32" s="89">
        <f>'MONTHLY STATS'!$K$118*0.21</f>
        <v>745142.79839999997</v>
      </c>
      <c r="O32" s="90">
        <f t="shared" si="2"/>
        <v>27646981.443900004</v>
      </c>
      <c r="P32" s="83"/>
    </row>
    <row r="33" spans="1:16" ht="15.75" x14ac:dyDescent="0.25">
      <c r="A33" s="88">
        <f>DATE(2020,9,1)</f>
        <v>44075</v>
      </c>
      <c r="B33" s="89">
        <f>'MONTHLY STATS'!$K$11*0.21</f>
        <v>2610141.7838999997</v>
      </c>
      <c r="C33" s="89">
        <f>'MONTHLY STATS'!$K$20*0.21</f>
        <v>1240836.3785999999</v>
      </c>
      <c r="D33" s="89">
        <f>'MONTHLY STATS'!$K$29*0.21</f>
        <v>651075.1128</v>
      </c>
      <c r="E33" s="89">
        <f>'MONTHLY STATS'!$K$38*0.21</f>
        <v>3135831.1277999999</v>
      </c>
      <c r="F33" s="89">
        <f>'MONTHLY STATS'!$K$47*0.21</f>
        <v>3087248.5980000002</v>
      </c>
      <c r="G33" s="89">
        <f>'MONTHLY STATS'!$K$56*0.21</f>
        <v>1046144.2025999998</v>
      </c>
      <c r="H33" s="89">
        <f>'MONTHLY STATS'!$K$65*0.21</f>
        <v>1124784.6645</v>
      </c>
      <c r="I33" s="89">
        <f>'MONTHLY STATS'!$K$74*0.21</f>
        <v>2423322.0983999996</v>
      </c>
      <c r="J33" s="89">
        <f>'MONTHLY STATS'!$K$83*0.21</f>
        <v>2854444.1562000001</v>
      </c>
      <c r="K33" s="89">
        <f>'MONTHLY STATS'!$K$92*0.21</f>
        <v>3445275.7394999997</v>
      </c>
      <c r="L33" s="89">
        <f>'MONTHLY STATS'!$K$101*0.21</f>
        <v>591393.38789999997</v>
      </c>
      <c r="M33" s="89">
        <f>'MONTHLY STATS'!$K$110*0.21</f>
        <v>4283428.3064999999</v>
      </c>
      <c r="N33" s="89">
        <f>'MONTHLY STATS'!$K$119*0.21</f>
        <v>673628.92379999999</v>
      </c>
      <c r="O33" s="90">
        <f t="shared" si="2"/>
        <v>27167554.480499998</v>
      </c>
      <c r="P33" s="83"/>
    </row>
    <row r="34" spans="1:16" ht="15.75" x14ac:dyDescent="0.25">
      <c r="A34" s="88">
        <f>DATE(2020,10,1)</f>
        <v>44105</v>
      </c>
      <c r="B34" s="89">
        <f>'MONTHLY STATS'!$K$12*0.21</f>
        <v>2714785.8443999998</v>
      </c>
      <c r="C34" s="89">
        <f>'MONTHLY STATS'!$K$21*0.21</f>
        <v>1200866.0769</v>
      </c>
      <c r="D34" s="89">
        <f>'MONTHLY STATS'!$K$30*0.21</f>
        <v>709462.30530000001</v>
      </c>
      <c r="E34" s="89">
        <f>'MONTHLY STATS'!$K$39*0.21</f>
        <v>3335083.5335999997</v>
      </c>
      <c r="F34" s="89">
        <f>'MONTHLY STATS'!$K$48*0.21</f>
        <v>3141400.1598</v>
      </c>
      <c r="G34" s="89">
        <f>'MONTHLY STATS'!$K$57*0.21</f>
        <v>1048776.6218999999</v>
      </c>
      <c r="H34" s="89">
        <f>'MONTHLY STATS'!$K$66*0.21</f>
        <v>1287500.6172</v>
      </c>
      <c r="I34" s="89">
        <f>'MONTHLY STATS'!$K$75*0.21</f>
        <v>2376266.1993</v>
      </c>
      <c r="J34" s="89">
        <f>'MONTHLY STATS'!$K$84*0.21</f>
        <v>3034260.8792999997</v>
      </c>
      <c r="K34" s="89">
        <f>'MONTHLY STATS'!$K$93*0.21</f>
        <v>3440683.6001999998</v>
      </c>
      <c r="L34" s="89">
        <f>'MONTHLY STATS'!$K$102*0.21</f>
        <v>603164.59770000004</v>
      </c>
      <c r="M34" s="89">
        <f>'MONTHLY STATS'!$K$111*0.21</f>
        <v>4603659.3519000001</v>
      </c>
      <c r="N34" s="89">
        <f>'MONTHLY STATS'!$K$120*0.21</f>
        <v>608673.68519999995</v>
      </c>
      <c r="O34" s="90">
        <f t="shared" si="2"/>
        <v>28104583.4727</v>
      </c>
      <c r="P34" s="83"/>
    </row>
    <row r="35" spans="1:16" ht="15.75" x14ac:dyDescent="0.25">
      <c r="A35" s="88">
        <f>DATE(2020,11,1)</f>
        <v>44136</v>
      </c>
      <c r="B35" s="89">
        <f>'MONTHLY STATS'!$K$13*0.21</f>
        <v>2368268.8722000001</v>
      </c>
      <c r="C35" s="89">
        <f>'MONTHLY STATS'!$K$22*0.21</f>
        <v>1123386.5726999999</v>
      </c>
      <c r="D35" s="89">
        <f>'MONTHLY STATS'!$K$31*0.21</f>
        <v>640084.75020000001</v>
      </c>
      <c r="E35" s="89">
        <f>'MONTHLY STATS'!$K$40*0.21</f>
        <v>2849597.9798999997</v>
      </c>
      <c r="F35" s="89">
        <f>'MONTHLY STATS'!$K$49*0.21</f>
        <v>2626045.7244000002</v>
      </c>
      <c r="G35" s="89">
        <f>'MONTHLY STATS'!$K$58*0.21</f>
        <v>944126.72549999994</v>
      </c>
      <c r="H35" s="89">
        <f>'MONTHLY STATS'!$K$67*0.21</f>
        <v>1210198.3550999998</v>
      </c>
      <c r="I35" s="89">
        <f>'MONTHLY STATS'!$K$76*0.21</f>
        <v>2217628.3709999998</v>
      </c>
      <c r="J35" s="89">
        <f>'MONTHLY STATS'!$K$85*0.21</f>
        <v>2642759.2442999999</v>
      </c>
      <c r="K35" s="89">
        <f>'MONTHLY STATS'!$K$94*0.21</f>
        <v>3042247.1498999996</v>
      </c>
      <c r="L35" s="89">
        <f>'MONTHLY STATS'!$K$103*0.21</f>
        <v>556027.24799999991</v>
      </c>
      <c r="M35" s="89">
        <f>'MONTHLY STATS'!$K$112*0.21</f>
        <v>4002673.4600999998</v>
      </c>
      <c r="N35" s="89">
        <f>'MONTHLY STATS'!$K$121*0.21</f>
        <v>537440.32860000001</v>
      </c>
      <c r="O35" s="90">
        <f t="shared" si="2"/>
        <v>24760484.7819</v>
      </c>
      <c r="P35" s="83"/>
    </row>
    <row r="36" spans="1:16" ht="15.75" x14ac:dyDescent="0.25">
      <c r="A36" s="88">
        <f>DATE(2020,12,1)</f>
        <v>44166</v>
      </c>
      <c r="B36" s="89">
        <f>'MONTHLY STATS'!$K$14*0.21</f>
        <v>2627025.0530999997</v>
      </c>
      <c r="C36" s="89">
        <f>'MONTHLY STATS'!$K$23*0.21</f>
        <v>1210539.8529000001</v>
      </c>
      <c r="D36" s="89">
        <f>'MONTHLY STATS'!$K$32*0.21</f>
        <v>705852.34649999999</v>
      </c>
      <c r="E36" s="89">
        <f>'MONTHLY STATS'!$K$41*0.21</f>
        <v>3089789.0141999996</v>
      </c>
      <c r="F36" s="89">
        <f>'MONTHLY STATS'!$K$50*0.21</f>
        <v>2771255.1782999998</v>
      </c>
      <c r="G36" s="89">
        <f>'MONTHLY STATS'!$K$59*0.21</f>
        <v>1288720.1523</v>
      </c>
      <c r="H36" s="89">
        <f>'MONTHLY STATS'!$K$68*0.21</f>
        <v>1340633.1225000001</v>
      </c>
      <c r="I36" s="89">
        <f>'MONTHLY STATS'!$K$77*0.21</f>
        <v>2902140.3725999999</v>
      </c>
      <c r="J36" s="89">
        <f>'MONTHLY STATS'!$K$86*0.21</f>
        <v>2965104.7376999999</v>
      </c>
      <c r="K36" s="89">
        <f>'MONTHLY STATS'!$K$95*0.21</f>
        <v>2959828.2608999996</v>
      </c>
      <c r="L36" s="89">
        <f>'MONTHLY STATS'!$K$104*0.21</f>
        <v>697840.98930000002</v>
      </c>
      <c r="M36" s="89">
        <f>'MONTHLY STATS'!$K$113*0.21</f>
        <v>5015026.0208999999</v>
      </c>
      <c r="N36" s="89">
        <f>'MONTHLY STATS'!$K$122*0.21</f>
        <v>590987.98709999991</v>
      </c>
      <c r="O36" s="90">
        <f t="shared" si="2"/>
        <v>28164743.088300001</v>
      </c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15830447.763899999</v>
      </c>
      <c r="C44" s="90">
        <f t="shared" si="3"/>
        <v>7213281.6357000005</v>
      </c>
      <c r="D44" s="90">
        <f t="shared" si="3"/>
        <v>4126930.8108000001</v>
      </c>
      <c r="E44" s="90">
        <f t="shared" si="3"/>
        <v>18642683.570699997</v>
      </c>
      <c r="F44" s="90">
        <f t="shared" si="3"/>
        <v>18218106.148200002</v>
      </c>
      <c r="G44" s="90">
        <f t="shared" si="3"/>
        <v>6421479.54</v>
      </c>
      <c r="H44" s="90">
        <f t="shared" si="3"/>
        <v>6843759.6107999999</v>
      </c>
      <c r="I44" s="90">
        <f>SUM(I31:I42)</f>
        <v>14854656.608399998</v>
      </c>
      <c r="J44" s="90">
        <f t="shared" si="3"/>
        <v>17412422.378399998</v>
      </c>
      <c r="K44" s="90">
        <f>SUM(K31:K42)</f>
        <v>19376854.839299995</v>
      </c>
      <c r="L44" s="90">
        <f t="shared" si="3"/>
        <v>3718098.2495999993</v>
      </c>
      <c r="M44" s="90">
        <f t="shared" si="3"/>
        <v>27040126.310399998</v>
      </c>
      <c r="N44" s="90">
        <f t="shared" si="3"/>
        <v>3893623.1040000003</v>
      </c>
      <c r="O44" s="90">
        <f t="shared" si="3"/>
        <v>163592470.5702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29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31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75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DATE(2020,7,1)</f>
        <v>44013</v>
      </c>
      <c r="C9" s="204">
        <v>9990468.4100000001</v>
      </c>
      <c r="D9" s="204">
        <v>1959351.91</v>
      </c>
      <c r="E9" s="204">
        <v>2192281.5</v>
      </c>
      <c r="F9" s="132">
        <f t="shared" ref="F9:F14" si="0">(+D9-E9)/E9</f>
        <v>-0.10624985431843496</v>
      </c>
      <c r="G9" s="215">
        <f t="shared" ref="G9:G14" si="1">D9/C9</f>
        <v>0.19612212657003936</v>
      </c>
      <c r="H9" s="123"/>
    </row>
    <row r="10" spans="1:8" ht="15.75" x14ac:dyDescent="0.25">
      <c r="A10" s="130"/>
      <c r="B10" s="131">
        <f>DATE(2020,8,1)</f>
        <v>44044</v>
      </c>
      <c r="C10" s="204">
        <v>8751467</v>
      </c>
      <c r="D10" s="204">
        <v>1567013</v>
      </c>
      <c r="E10" s="204">
        <v>1845303</v>
      </c>
      <c r="F10" s="132">
        <f t="shared" si="0"/>
        <v>-0.1508099211890947</v>
      </c>
      <c r="G10" s="215">
        <f t="shared" si="1"/>
        <v>0.17905717978482921</v>
      </c>
      <c r="H10" s="123"/>
    </row>
    <row r="11" spans="1:8" ht="15.75" x14ac:dyDescent="0.25">
      <c r="A11" s="130"/>
      <c r="B11" s="131">
        <f>DATE(2020,9,1)</f>
        <v>44075</v>
      </c>
      <c r="C11" s="204">
        <v>8691740</v>
      </c>
      <c r="D11" s="204">
        <v>1378249</v>
      </c>
      <c r="E11" s="204">
        <v>1703371</v>
      </c>
      <c r="F11" s="132">
        <f t="shared" si="0"/>
        <v>-0.19086975180392293</v>
      </c>
      <c r="G11" s="215">
        <f t="shared" si="1"/>
        <v>0.15856997563203684</v>
      </c>
      <c r="H11" s="123"/>
    </row>
    <row r="12" spans="1:8" ht="15.75" x14ac:dyDescent="0.25">
      <c r="A12" s="130"/>
      <c r="B12" s="131">
        <f>DATE(2020,10,1)</f>
        <v>44105</v>
      </c>
      <c r="C12" s="204">
        <v>8802128</v>
      </c>
      <c r="D12" s="204">
        <v>1495832.5</v>
      </c>
      <c r="E12" s="204">
        <v>1844628</v>
      </c>
      <c r="F12" s="132">
        <f t="shared" si="0"/>
        <v>-0.18908717638461522</v>
      </c>
      <c r="G12" s="215">
        <f t="shared" si="1"/>
        <v>0.16993987135838062</v>
      </c>
      <c r="H12" s="123"/>
    </row>
    <row r="13" spans="1:8" ht="15.75" x14ac:dyDescent="0.25">
      <c r="A13" s="130"/>
      <c r="B13" s="131">
        <f>DATE(2020,11,1)</f>
        <v>44136</v>
      </c>
      <c r="C13" s="204">
        <v>8465916</v>
      </c>
      <c r="D13" s="204">
        <v>1446618</v>
      </c>
      <c r="E13" s="204">
        <v>1695412.5</v>
      </c>
      <c r="F13" s="132">
        <f t="shared" si="0"/>
        <v>-0.14674570347924179</v>
      </c>
      <c r="G13" s="215">
        <f t="shared" si="1"/>
        <v>0.17087554376868375</v>
      </c>
      <c r="H13" s="123"/>
    </row>
    <row r="14" spans="1:8" ht="15.75" x14ac:dyDescent="0.25">
      <c r="A14" s="130"/>
      <c r="B14" s="131">
        <f>DATE(2020,12,1)</f>
        <v>44166</v>
      </c>
      <c r="C14" s="204">
        <v>9313724</v>
      </c>
      <c r="D14" s="204">
        <v>1661463</v>
      </c>
      <c r="E14" s="204">
        <v>1854155.5</v>
      </c>
      <c r="F14" s="132">
        <f t="shared" si="0"/>
        <v>-0.10392467082723104</v>
      </c>
      <c r="G14" s="215">
        <f t="shared" si="1"/>
        <v>0.17838868748955841</v>
      </c>
      <c r="H14" s="123"/>
    </row>
    <row r="15" spans="1:8" ht="15.75" thickBot="1" x14ac:dyDescent="0.25">
      <c r="A15" s="133"/>
      <c r="B15" s="134"/>
      <c r="C15" s="204"/>
      <c r="D15" s="204"/>
      <c r="E15" s="204"/>
      <c r="F15" s="132"/>
      <c r="G15" s="215"/>
      <c r="H15" s="123"/>
    </row>
    <row r="16" spans="1:8" ht="17.25" thickTop="1" thickBot="1" x14ac:dyDescent="0.3">
      <c r="A16" s="135" t="s">
        <v>14</v>
      </c>
      <c r="B16" s="136"/>
      <c r="C16" s="201">
        <f>SUM(C9:C15)</f>
        <v>54015443.409999996</v>
      </c>
      <c r="D16" s="201">
        <f>SUM(D9:D15)</f>
        <v>9508527.4100000001</v>
      </c>
      <c r="E16" s="201">
        <f>SUM(E9:E15)</f>
        <v>11135151.5</v>
      </c>
      <c r="F16" s="137">
        <f>(+D16-E16)/E16</f>
        <v>-0.14608010407402178</v>
      </c>
      <c r="G16" s="212">
        <f>D16/C16</f>
        <v>0.17603349726903594</v>
      </c>
      <c r="H16" s="123"/>
    </row>
    <row r="17" spans="1:8" ht="15.75" customHeight="1" thickTop="1" x14ac:dyDescent="0.25">
      <c r="A17" s="138"/>
      <c r="B17" s="139"/>
      <c r="C17" s="205"/>
      <c r="D17" s="205"/>
      <c r="E17" s="205"/>
      <c r="F17" s="140"/>
      <c r="G17" s="216"/>
      <c r="H17" s="123"/>
    </row>
    <row r="18" spans="1:8" ht="15.75" x14ac:dyDescent="0.25">
      <c r="A18" s="19" t="s">
        <v>15</v>
      </c>
      <c r="B18" s="131">
        <f>DATE(2020,7,1)</f>
        <v>44013</v>
      </c>
      <c r="C18" s="204">
        <v>1658177</v>
      </c>
      <c r="D18" s="204">
        <v>547209</v>
      </c>
      <c r="E18" s="204">
        <v>728719</v>
      </c>
      <c r="F18" s="132">
        <f t="shared" ref="F18:F23" si="2">(+D18-E18)/E18</f>
        <v>-0.24908092145257638</v>
      </c>
      <c r="G18" s="215">
        <f t="shared" ref="G18:G23" si="3">D18/C18</f>
        <v>0.33000638653171527</v>
      </c>
      <c r="H18" s="123"/>
    </row>
    <row r="19" spans="1:8" ht="15.75" x14ac:dyDescent="0.25">
      <c r="A19" s="19"/>
      <c r="B19" s="131">
        <f>DATE(2020,8,1)</f>
        <v>44044</v>
      </c>
      <c r="C19" s="204">
        <v>1982325</v>
      </c>
      <c r="D19" s="204">
        <v>526001.5</v>
      </c>
      <c r="E19" s="204">
        <v>718107.5</v>
      </c>
      <c r="F19" s="132">
        <f t="shared" si="2"/>
        <v>-0.2675170500238474</v>
      </c>
      <c r="G19" s="215">
        <f t="shared" si="3"/>
        <v>0.26534574300379604</v>
      </c>
      <c r="H19" s="123"/>
    </row>
    <row r="20" spans="1:8" ht="15.75" x14ac:dyDescent="0.25">
      <c r="A20" s="19"/>
      <c r="B20" s="131">
        <f>DATE(2020,9,1)</f>
        <v>44075</v>
      </c>
      <c r="C20" s="204">
        <v>1922059</v>
      </c>
      <c r="D20" s="204">
        <v>401819.5</v>
      </c>
      <c r="E20" s="204">
        <v>573243</v>
      </c>
      <c r="F20" s="132">
        <f t="shared" si="2"/>
        <v>-0.29904159318125123</v>
      </c>
      <c r="G20" s="215">
        <f t="shared" si="3"/>
        <v>0.20905679794428786</v>
      </c>
      <c r="H20" s="123"/>
    </row>
    <row r="21" spans="1:8" ht="15.75" x14ac:dyDescent="0.25">
      <c r="A21" s="19"/>
      <c r="B21" s="131">
        <f>DATE(2020,10,1)</f>
        <v>44105</v>
      </c>
      <c r="C21" s="204">
        <v>2326336</v>
      </c>
      <c r="D21" s="204">
        <v>614154.5</v>
      </c>
      <c r="E21" s="204">
        <v>591260.5</v>
      </c>
      <c r="F21" s="132">
        <f t="shared" si="2"/>
        <v>3.872066542581485E-2</v>
      </c>
      <c r="G21" s="215">
        <f t="shared" si="3"/>
        <v>0.26400077202949185</v>
      </c>
      <c r="H21" s="123"/>
    </row>
    <row r="22" spans="1:8" ht="15.75" x14ac:dyDescent="0.25">
      <c r="A22" s="19"/>
      <c r="B22" s="131">
        <f>DATE(2020,11,1)</f>
        <v>44136</v>
      </c>
      <c r="C22" s="204">
        <v>2058779</v>
      </c>
      <c r="D22" s="204">
        <v>534831.5</v>
      </c>
      <c r="E22" s="204">
        <v>527573</v>
      </c>
      <c r="F22" s="132">
        <f t="shared" si="2"/>
        <v>1.3758285583227345E-2</v>
      </c>
      <c r="G22" s="215">
        <f t="shared" si="3"/>
        <v>0.25978091869015568</v>
      </c>
      <c r="H22" s="123"/>
    </row>
    <row r="23" spans="1:8" ht="15.75" x14ac:dyDescent="0.25">
      <c r="A23" s="19"/>
      <c r="B23" s="131">
        <f>DATE(2020,12,1)</f>
        <v>44166</v>
      </c>
      <c r="C23" s="204">
        <v>1993699</v>
      </c>
      <c r="D23" s="204">
        <v>508771</v>
      </c>
      <c r="E23" s="204">
        <v>731643</v>
      </c>
      <c r="F23" s="132">
        <f t="shared" si="2"/>
        <v>-0.30461850930030082</v>
      </c>
      <c r="G23" s="215">
        <f t="shared" si="3"/>
        <v>0.25518947443922074</v>
      </c>
      <c r="H23" s="123"/>
    </row>
    <row r="24" spans="1:8" ht="15.75" thickBot="1" x14ac:dyDescent="0.25">
      <c r="A24" s="133"/>
      <c r="B24" s="131"/>
      <c r="C24" s="204"/>
      <c r="D24" s="204"/>
      <c r="E24" s="204"/>
      <c r="F24" s="132"/>
      <c r="G24" s="215"/>
      <c r="H24" s="123"/>
    </row>
    <row r="25" spans="1:8" ht="17.25" thickTop="1" thickBot="1" x14ac:dyDescent="0.3">
      <c r="A25" s="135" t="s">
        <v>14</v>
      </c>
      <c r="B25" s="136"/>
      <c r="C25" s="201">
        <f>SUM(C18:C24)</f>
        <v>11941375</v>
      </c>
      <c r="D25" s="201">
        <f>SUM(D18:D24)</f>
        <v>3132787</v>
      </c>
      <c r="E25" s="201">
        <f>SUM(E18:E24)</f>
        <v>3870546</v>
      </c>
      <c r="F25" s="137">
        <f>(+D25-E25)/E25</f>
        <v>-0.19060850846366378</v>
      </c>
      <c r="G25" s="212">
        <f>D25/C25</f>
        <v>0.26234725900493033</v>
      </c>
      <c r="H25" s="123"/>
    </row>
    <row r="26" spans="1:8" ht="15.75" customHeight="1" thickTop="1" x14ac:dyDescent="0.25">
      <c r="A26" s="255"/>
      <c r="B26" s="139"/>
      <c r="C26" s="205"/>
      <c r="D26" s="205"/>
      <c r="E26" s="205"/>
      <c r="F26" s="140"/>
      <c r="G26" s="219"/>
      <c r="H26" s="123"/>
    </row>
    <row r="27" spans="1:8" ht="15.75" x14ac:dyDescent="0.25">
      <c r="A27" s="19" t="s">
        <v>65</v>
      </c>
      <c r="B27" s="131">
        <f>DATE(2020,7,1)</f>
        <v>44013</v>
      </c>
      <c r="C27" s="204">
        <v>1270413</v>
      </c>
      <c r="D27" s="204">
        <v>362069</v>
      </c>
      <c r="E27" s="204">
        <v>293379.5</v>
      </c>
      <c r="F27" s="132">
        <f t="shared" ref="F27:F32" si="4">(+D27-E27)/E27</f>
        <v>0.23413190083151686</v>
      </c>
      <c r="G27" s="215">
        <f t="shared" ref="G27:G32" si="5">D27/C27</f>
        <v>0.28500101935354882</v>
      </c>
      <c r="H27" s="123"/>
    </row>
    <row r="28" spans="1:8" ht="15.75" x14ac:dyDescent="0.25">
      <c r="A28" s="19"/>
      <c r="B28" s="131">
        <f>DATE(2020,8,1)</f>
        <v>44044</v>
      </c>
      <c r="C28" s="204">
        <v>1273813</v>
      </c>
      <c r="D28" s="204">
        <v>264520</v>
      </c>
      <c r="E28" s="204">
        <v>306469</v>
      </c>
      <c r="F28" s="132">
        <f t="shared" si="4"/>
        <v>-0.13687844447562397</v>
      </c>
      <c r="G28" s="215">
        <f t="shared" si="5"/>
        <v>0.20765999404936203</v>
      </c>
      <c r="H28" s="123"/>
    </row>
    <row r="29" spans="1:8" ht="15.75" x14ac:dyDescent="0.25">
      <c r="A29" s="19"/>
      <c r="B29" s="131">
        <f>DATE(2020,9,1)</f>
        <v>44075</v>
      </c>
      <c r="C29" s="204">
        <v>1439276</v>
      </c>
      <c r="D29" s="204">
        <v>282126.5</v>
      </c>
      <c r="E29" s="204">
        <v>301048.5</v>
      </c>
      <c r="F29" s="132">
        <f t="shared" si="4"/>
        <v>-6.2853659792359032E-2</v>
      </c>
      <c r="G29" s="215">
        <f t="shared" si="5"/>
        <v>0.19601973492228036</v>
      </c>
      <c r="H29" s="123"/>
    </row>
    <row r="30" spans="1:8" ht="15.75" x14ac:dyDescent="0.25">
      <c r="A30" s="19"/>
      <c r="B30" s="131">
        <f>DATE(2020,10,1)</f>
        <v>44105</v>
      </c>
      <c r="C30" s="204">
        <v>1274380</v>
      </c>
      <c r="D30" s="204">
        <v>409251</v>
      </c>
      <c r="E30" s="204">
        <v>332474</v>
      </c>
      <c r="F30" s="132">
        <f t="shared" si="4"/>
        <v>0.2309263280737742</v>
      </c>
      <c r="G30" s="215">
        <f t="shared" si="5"/>
        <v>0.32113733737189848</v>
      </c>
      <c r="H30" s="123"/>
    </row>
    <row r="31" spans="1:8" ht="15.75" x14ac:dyDescent="0.25">
      <c r="A31" s="19"/>
      <c r="B31" s="131">
        <f>DATE(2020,11,1)</f>
        <v>44136</v>
      </c>
      <c r="C31" s="204">
        <v>1032984</v>
      </c>
      <c r="D31" s="204">
        <v>302858</v>
      </c>
      <c r="E31" s="204">
        <v>408121.5</v>
      </c>
      <c r="F31" s="132">
        <f t="shared" si="4"/>
        <v>-0.25792196686525948</v>
      </c>
      <c r="G31" s="215">
        <f t="shared" si="5"/>
        <v>0.29318750338824223</v>
      </c>
      <c r="H31" s="123"/>
    </row>
    <row r="32" spans="1:8" ht="15.75" x14ac:dyDescent="0.25">
      <c r="A32" s="19"/>
      <c r="B32" s="131">
        <f>DATE(2020,12,1)</f>
        <v>44166</v>
      </c>
      <c r="C32" s="204">
        <v>1323876</v>
      </c>
      <c r="D32" s="204">
        <v>403813</v>
      </c>
      <c r="E32" s="204">
        <v>350849</v>
      </c>
      <c r="F32" s="132">
        <f t="shared" si="4"/>
        <v>0.15095952959820322</v>
      </c>
      <c r="G32" s="215">
        <f t="shared" si="5"/>
        <v>0.30502328012593327</v>
      </c>
      <c r="H32" s="123"/>
    </row>
    <row r="33" spans="1:8" ht="15.75" thickBot="1" x14ac:dyDescent="0.25">
      <c r="A33" s="133"/>
      <c r="B33" s="131"/>
      <c r="C33" s="204"/>
      <c r="D33" s="204"/>
      <c r="E33" s="204"/>
      <c r="F33" s="132"/>
      <c r="G33" s="215"/>
      <c r="H33" s="123"/>
    </row>
    <row r="34" spans="1:8" ht="17.25" thickTop="1" thickBot="1" x14ac:dyDescent="0.3">
      <c r="A34" s="141" t="s">
        <v>14</v>
      </c>
      <c r="B34" s="142"/>
      <c r="C34" s="206">
        <f>SUM(C27:C33)</f>
        <v>7614742</v>
      </c>
      <c r="D34" s="206">
        <f>SUM(D27:D33)</f>
        <v>2024637.5</v>
      </c>
      <c r="E34" s="206">
        <f>SUM(E27:E33)</f>
        <v>1992341.5</v>
      </c>
      <c r="F34" s="143">
        <f>(+D34-E34)/E34</f>
        <v>1.6210072419813572E-2</v>
      </c>
      <c r="G34" s="217">
        <f>D34/C34</f>
        <v>0.26588392620524764</v>
      </c>
      <c r="H34" s="123"/>
    </row>
    <row r="35" spans="1:8" ht="15.75" thickTop="1" x14ac:dyDescent="0.2">
      <c r="A35" s="133"/>
      <c r="B35" s="134"/>
      <c r="C35" s="204"/>
      <c r="D35" s="204"/>
      <c r="E35" s="204"/>
      <c r="F35" s="132"/>
      <c r="G35" s="218"/>
      <c r="H35" s="123"/>
    </row>
    <row r="36" spans="1:8" ht="15.75" x14ac:dyDescent="0.25">
      <c r="A36" s="177" t="s">
        <v>59</v>
      </c>
      <c r="B36" s="131">
        <f>DATE(2020,7,1)</f>
        <v>44013</v>
      </c>
      <c r="C36" s="204">
        <v>10382905</v>
      </c>
      <c r="D36" s="204">
        <v>1708169.06</v>
      </c>
      <c r="E36" s="204">
        <v>3167330.9</v>
      </c>
      <c r="F36" s="132">
        <f t="shared" ref="F36:F41" si="6">(+D36-E36)/E36</f>
        <v>-0.46069131583315148</v>
      </c>
      <c r="G36" s="215">
        <f t="shared" ref="G36:G41" si="7">D36/C36</f>
        <v>0.16451745055935696</v>
      </c>
      <c r="H36" s="123"/>
    </row>
    <row r="37" spans="1:8" ht="15.75" x14ac:dyDescent="0.25">
      <c r="A37" s="177"/>
      <c r="B37" s="131">
        <f>DATE(2020,8,1)</f>
        <v>44044</v>
      </c>
      <c r="C37" s="204">
        <v>11468634</v>
      </c>
      <c r="D37" s="204">
        <v>2028826.5</v>
      </c>
      <c r="E37" s="204">
        <v>3869820.12</v>
      </c>
      <c r="F37" s="132">
        <f t="shared" si="6"/>
        <v>-0.47573105801103749</v>
      </c>
      <c r="G37" s="215">
        <f t="shared" si="7"/>
        <v>0.17690219253661771</v>
      </c>
      <c r="H37" s="123"/>
    </row>
    <row r="38" spans="1:8" ht="15.75" x14ac:dyDescent="0.25">
      <c r="A38" s="177"/>
      <c r="B38" s="131">
        <f>DATE(2020,9,1)</f>
        <v>44075</v>
      </c>
      <c r="C38" s="204">
        <v>10567803</v>
      </c>
      <c r="D38" s="204">
        <v>2149169</v>
      </c>
      <c r="E38" s="204">
        <v>2776000.96</v>
      </c>
      <c r="F38" s="132">
        <f t="shared" si="6"/>
        <v>-0.22580394208509205</v>
      </c>
      <c r="G38" s="215">
        <f t="shared" si="7"/>
        <v>0.20336951777015524</v>
      </c>
      <c r="H38" s="123"/>
    </row>
    <row r="39" spans="1:8" ht="15.75" x14ac:dyDescent="0.25">
      <c r="A39" s="177"/>
      <c r="B39" s="131">
        <f>DATE(2020,10,1)</f>
        <v>44105</v>
      </c>
      <c r="C39" s="204">
        <v>11375206</v>
      </c>
      <c r="D39" s="204">
        <v>2042559.98</v>
      </c>
      <c r="E39" s="204">
        <v>3235048.5</v>
      </c>
      <c r="F39" s="132">
        <f t="shared" si="6"/>
        <v>-0.3686153453340808</v>
      </c>
      <c r="G39" s="215">
        <f t="shared" si="7"/>
        <v>0.17956246067104192</v>
      </c>
      <c r="H39" s="123"/>
    </row>
    <row r="40" spans="1:8" ht="15.75" x14ac:dyDescent="0.25">
      <c r="A40" s="177"/>
      <c r="B40" s="131">
        <f>DATE(2020,11,1)</f>
        <v>44136</v>
      </c>
      <c r="C40" s="204">
        <v>10584433</v>
      </c>
      <c r="D40" s="204">
        <v>2060677.45</v>
      </c>
      <c r="E40" s="204">
        <v>3242492.5</v>
      </c>
      <c r="F40" s="132">
        <f t="shared" si="6"/>
        <v>-0.36447734266154819</v>
      </c>
      <c r="G40" s="215">
        <f t="shared" si="7"/>
        <v>0.19468945100790944</v>
      </c>
      <c r="H40" s="123"/>
    </row>
    <row r="41" spans="1:8" ht="15.75" x14ac:dyDescent="0.25">
      <c r="A41" s="177"/>
      <c r="B41" s="131">
        <f>DATE(2020,12,1)</f>
        <v>44166</v>
      </c>
      <c r="C41" s="204">
        <v>10535486</v>
      </c>
      <c r="D41" s="204">
        <v>2612129.91</v>
      </c>
      <c r="E41" s="204">
        <v>2919239.74</v>
      </c>
      <c r="F41" s="132">
        <f t="shared" si="6"/>
        <v>-0.10520199002223779</v>
      </c>
      <c r="G41" s="215">
        <f t="shared" si="7"/>
        <v>0.24793634674280809</v>
      </c>
      <c r="H41" s="123"/>
    </row>
    <row r="42" spans="1:8" ht="15.75" customHeight="1" thickBot="1" x14ac:dyDescent="0.25">
      <c r="A42" s="133"/>
      <c r="B42" s="134"/>
      <c r="C42" s="204"/>
      <c r="D42" s="204"/>
      <c r="E42" s="204"/>
      <c r="F42" s="132"/>
      <c r="G42" s="215"/>
      <c r="H42" s="123"/>
    </row>
    <row r="43" spans="1:8" ht="17.25" customHeight="1" thickTop="1" thickBot="1" x14ac:dyDescent="0.3">
      <c r="A43" s="141" t="s">
        <v>14</v>
      </c>
      <c r="B43" s="142"/>
      <c r="C43" s="206">
        <f>SUM(C36:C42)</f>
        <v>64914467</v>
      </c>
      <c r="D43" s="206">
        <f>SUM(D36:D42)</f>
        <v>12601531.9</v>
      </c>
      <c r="E43" s="206">
        <f>SUM(E36:E42)</f>
        <v>19209932.719999999</v>
      </c>
      <c r="F43" s="143">
        <f>(+D43-E43)/E43</f>
        <v>-0.3440095765207864</v>
      </c>
      <c r="G43" s="217">
        <f>D43/C43</f>
        <v>0.19412516935554597</v>
      </c>
      <c r="H43" s="123"/>
    </row>
    <row r="44" spans="1:8" ht="15.75" customHeight="1" thickTop="1" x14ac:dyDescent="0.2">
      <c r="A44" s="133"/>
      <c r="B44" s="134"/>
      <c r="C44" s="204"/>
      <c r="D44" s="204"/>
      <c r="E44" s="204"/>
      <c r="F44" s="132"/>
      <c r="G44" s="218"/>
      <c r="H44" s="123"/>
    </row>
    <row r="45" spans="1:8" ht="15" customHeight="1" x14ac:dyDescent="0.25">
      <c r="A45" s="130" t="s">
        <v>63</v>
      </c>
      <c r="B45" s="131">
        <f>DATE(2020,7,1)</f>
        <v>44013</v>
      </c>
      <c r="C45" s="204">
        <v>12794651</v>
      </c>
      <c r="D45" s="204">
        <v>2410424.5</v>
      </c>
      <c r="E45" s="204">
        <v>2665528.5</v>
      </c>
      <c r="F45" s="132">
        <f t="shared" ref="F45:F50" si="8">(+D45-E45)/E45</f>
        <v>-9.5704848025447861E-2</v>
      </c>
      <c r="G45" s="215">
        <f t="shared" ref="G45:G50" si="9">D45/C45</f>
        <v>0.18839314179026845</v>
      </c>
      <c r="H45" s="123"/>
    </row>
    <row r="46" spans="1:8" ht="15" customHeight="1" x14ac:dyDescent="0.25">
      <c r="A46" s="130"/>
      <c r="B46" s="131">
        <f>DATE(2020,8,1)</f>
        <v>44044</v>
      </c>
      <c r="C46" s="204">
        <v>14515756</v>
      </c>
      <c r="D46" s="204">
        <v>3089216</v>
      </c>
      <c r="E46" s="204">
        <v>3359489.5</v>
      </c>
      <c r="F46" s="132">
        <f t="shared" si="8"/>
        <v>-8.0450764915324186E-2</v>
      </c>
      <c r="G46" s="215">
        <f t="shared" si="9"/>
        <v>0.21281812673070558</v>
      </c>
      <c r="H46" s="123"/>
    </row>
    <row r="47" spans="1:8" ht="15" customHeight="1" x14ac:dyDescent="0.25">
      <c r="A47" s="130"/>
      <c r="B47" s="131">
        <f>DATE(2020,9,1)</f>
        <v>44075</v>
      </c>
      <c r="C47" s="204">
        <v>14427547.390000001</v>
      </c>
      <c r="D47" s="204">
        <v>3482647.89</v>
      </c>
      <c r="E47" s="204">
        <v>3201605.5</v>
      </c>
      <c r="F47" s="132">
        <f t="shared" si="8"/>
        <v>8.7781705147620515E-2</v>
      </c>
      <c r="G47" s="215">
        <f t="shared" si="9"/>
        <v>0.24138876801845666</v>
      </c>
      <c r="H47" s="123"/>
    </row>
    <row r="48" spans="1:8" ht="15" customHeight="1" x14ac:dyDescent="0.25">
      <c r="A48" s="130"/>
      <c r="B48" s="131">
        <f>DATE(2020,10,1)</f>
        <v>44105</v>
      </c>
      <c r="C48" s="204">
        <v>13869107</v>
      </c>
      <c r="D48" s="204">
        <v>3519544</v>
      </c>
      <c r="E48" s="204">
        <v>3223827</v>
      </c>
      <c r="F48" s="132">
        <f t="shared" si="8"/>
        <v>9.1728557394674087E-2</v>
      </c>
      <c r="G48" s="215">
        <f t="shared" si="9"/>
        <v>0.25376860961560105</v>
      </c>
      <c r="H48" s="123"/>
    </row>
    <row r="49" spans="1:8" ht="15" customHeight="1" x14ac:dyDescent="0.25">
      <c r="A49" s="130"/>
      <c r="B49" s="131">
        <f>DATE(2020,11,1)</f>
        <v>44136</v>
      </c>
      <c r="C49" s="204">
        <v>12007892</v>
      </c>
      <c r="D49" s="204">
        <v>2437183.5</v>
      </c>
      <c r="E49" s="204">
        <v>2721670</v>
      </c>
      <c r="F49" s="132">
        <f t="shared" si="8"/>
        <v>-0.1045264488347228</v>
      </c>
      <c r="G49" s="215">
        <f t="shared" si="9"/>
        <v>0.20296514159187973</v>
      </c>
      <c r="H49" s="123"/>
    </row>
    <row r="50" spans="1:8" ht="15" customHeight="1" x14ac:dyDescent="0.25">
      <c r="A50" s="130"/>
      <c r="B50" s="131">
        <f>DATE(2020,12,1)</f>
        <v>44166</v>
      </c>
      <c r="C50" s="204">
        <v>12703424</v>
      </c>
      <c r="D50" s="204">
        <v>2589172</v>
      </c>
      <c r="E50" s="204">
        <v>2841867</v>
      </c>
      <c r="F50" s="132">
        <f t="shared" si="8"/>
        <v>-8.8918658051203664E-2</v>
      </c>
      <c r="G50" s="215">
        <f t="shared" si="9"/>
        <v>0.20381686071408781</v>
      </c>
      <c r="H50" s="123"/>
    </row>
    <row r="51" spans="1:8" ht="15.75" thickBot="1" x14ac:dyDescent="0.25">
      <c r="A51" s="133"/>
      <c r="B51" s="131"/>
      <c r="C51" s="204"/>
      <c r="D51" s="204"/>
      <c r="E51" s="204"/>
      <c r="F51" s="132"/>
      <c r="G51" s="215"/>
      <c r="H51" s="123"/>
    </row>
    <row r="52" spans="1:8" ht="17.25" customHeight="1" thickTop="1" thickBot="1" x14ac:dyDescent="0.3">
      <c r="A52" s="141" t="s">
        <v>14</v>
      </c>
      <c r="B52" s="142"/>
      <c r="C52" s="207">
        <f>SUM(C45:C51)</f>
        <v>80318377.390000001</v>
      </c>
      <c r="D52" s="261">
        <f>SUM(D45:D51)</f>
        <v>17528187.890000001</v>
      </c>
      <c r="E52" s="206">
        <f>SUM(E45:E51)</f>
        <v>18013987.5</v>
      </c>
      <c r="F52" s="268">
        <f>(+D52-E52)/E52</f>
        <v>-2.696791090812067E-2</v>
      </c>
      <c r="G52" s="267">
        <f>D52/C52</f>
        <v>0.21823383962164478</v>
      </c>
      <c r="H52" s="123"/>
    </row>
    <row r="53" spans="1:8" ht="15.75" customHeight="1" thickTop="1" x14ac:dyDescent="0.25">
      <c r="A53" s="130"/>
      <c r="B53" s="134"/>
      <c r="C53" s="204"/>
      <c r="D53" s="204"/>
      <c r="E53" s="204"/>
      <c r="F53" s="132"/>
      <c r="G53" s="218"/>
      <c r="H53" s="123"/>
    </row>
    <row r="54" spans="1:8" ht="15.75" x14ac:dyDescent="0.25">
      <c r="A54" s="130" t="s">
        <v>68</v>
      </c>
      <c r="B54" s="131">
        <f>DATE(2020,7,1)</f>
        <v>44013</v>
      </c>
      <c r="C54" s="204">
        <v>2263375</v>
      </c>
      <c r="D54" s="204">
        <v>572750</v>
      </c>
      <c r="E54" s="204">
        <v>550912.5</v>
      </c>
      <c r="F54" s="132">
        <f t="shared" ref="F54:F59" si="10">(+D54-E54)/E54</f>
        <v>3.9638781113153179E-2</v>
      </c>
      <c r="G54" s="215">
        <f t="shared" ref="G54:G59" si="11">D54/C54</f>
        <v>0.25305130612470317</v>
      </c>
      <c r="H54" s="123"/>
    </row>
    <row r="55" spans="1:8" ht="15.75" x14ac:dyDescent="0.25">
      <c r="A55" s="130"/>
      <c r="B55" s="131">
        <f>DATE(2020,8,1)</f>
        <v>44044</v>
      </c>
      <c r="C55" s="204">
        <v>2272442</v>
      </c>
      <c r="D55" s="204">
        <v>629353.5</v>
      </c>
      <c r="E55" s="204">
        <v>544892.5</v>
      </c>
      <c r="F55" s="132">
        <f t="shared" si="10"/>
        <v>0.15500488628490941</v>
      </c>
      <c r="G55" s="215">
        <f t="shared" si="11"/>
        <v>0.27695030280200772</v>
      </c>
      <c r="H55" s="123"/>
    </row>
    <row r="56" spans="1:8" ht="15.75" x14ac:dyDescent="0.25">
      <c r="A56" s="130"/>
      <c r="B56" s="131">
        <f>DATE(2020,9,1)</f>
        <v>44075</v>
      </c>
      <c r="C56" s="204">
        <v>1993931</v>
      </c>
      <c r="D56" s="204">
        <v>564621.5</v>
      </c>
      <c r="E56" s="204">
        <v>648210.4</v>
      </c>
      <c r="F56" s="132">
        <f t="shared" si="10"/>
        <v>-0.12895334601234418</v>
      </c>
      <c r="G56" s="215">
        <f t="shared" si="11"/>
        <v>0.2831700294543793</v>
      </c>
      <c r="H56" s="123"/>
    </row>
    <row r="57" spans="1:8" ht="15.75" x14ac:dyDescent="0.25">
      <c r="A57" s="130"/>
      <c r="B57" s="131">
        <f>DATE(2020,10,1)</f>
        <v>44105</v>
      </c>
      <c r="C57" s="204">
        <v>1898010</v>
      </c>
      <c r="D57" s="204">
        <v>553335.5</v>
      </c>
      <c r="E57" s="204">
        <v>633881.5</v>
      </c>
      <c r="F57" s="132">
        <f t="shared" si="10"/>
        <v>-0.12706791411328458</v>
      </c>
      <c r="G57" s="215">
        <f t="shared" si="11"/>
        <v>0.29153455461246253</v>
      </c>
      <c r="H57" s="123"/>
    </row>
    <row r="58" spans="1:8" ht="15.75" x14ac:dyDescent="0.25">
      <c r="A58" s="130"/>
      <c r="B58" s="131">
        <f>DATE(2020,11,1)</f>
        <v>44136</v>
      </c>
      <c r="C58" s="204">
        <v>2213531</v>
      </c>
      <c r="D58" s="204">
        <v>402553.5</v>
      </c>
      <c r="E58" s="204">
        <v>745956</v>
      </c>
      <c r="F58" s="132">
        <f t="shared" si="10"/>
        <v>-0.46035221916574171</v>
      </c>
      <c r="G58" s="215">
        <f t="shared" si="11"/>
        <v>0.18186033988229666</v>
      </c>
      <c r="H58" s="123"/>
    </row>
    <row r="59" spans="1:8" ht="15.75" x14ac:dyDescent="0.25">
      <c r="A59" s="130"/>
      <c r="B59" s="131">
        <f>DATE(2020,12,1)</f>
        <v>44166</v>
      </c>
      <c r="C59" s="204">
        <v>2627071</v>
      </c>
      <c r="D59" s="204">
        <v>614666.5</v>
      </c>
      <c r="E59" s="204">
        <v>825802.5</v>
      </c>
      <c r="F59" s="132">
        <f t="shared" si="10"/>
        <v>-0.25567372343871569</v>
      </c>
      <c r="G59" s="215">
        <f t="shared" si="11"/>
        <v>0.23397407226527187</v>
      </c>
      <c r="H59" s="123"/>
    </row>
    <row r="60" spans="1:8" ht="15.75" customHeight="1" thickBot="1" x14ac:dyDescent="0.3">
      <c r="A60" s="130"/>
      <c r="B60" s="131"/>
      <c r="C60" s="204"/>
      <c r="D60" s="204"/>
      <c r="E60" s="204"/>
      <c r="F60" s="132"/>
      <c r="G60" s="215"/>
      <c r="H60" s="123"/>
    </row>
    <row r="61" spans="1:8" ht="17.25" thickTop="1" thickBot="1" x14ac:dyDescent="0.3">
      <c r="A61" s="141" t="s">
        <v>14</v>
      </c>
      <c r="B61" s="142"/>
      <c r="C61" s="207">
        <f>SUM(C54:C60)</f>
        <v>13268360</v>
      </c>
      <c r="D61" s="261">
        <f>SUM(D54:D60)</f>
        <v>3337280.5</v>
      </c>
      <c r="E61" s="207">
        <f>SUM(E54:E60)</f>
        <v>3949655.4</v>
      </c>
      <c r="F61" s="268">
        <f>(+D61-E61)/E61</f>
        <v>-0.15504514647024648</v>
      </c>
      <c r="G61" s="267">
        <f>D61/C61</f>
        <v>0.25152170275753749</v>
      </c>
      <c r="H61" s="123"/>
    </row>
    <row r="62" spans="1:8" ht="15.75" customHeight="1" thickTop="1" x14ac:dyDescent="0.25">
      <c r="A62" s="130"/>
      <c r="B62" s="134"/>
      <c r="C62" s="204"/>
      <c r="D62" s="204"/>
      <c r="E62" s="204"/>
      <c r="F62" s="132"/>
      <c r="G62" s="218"/>
      <c r="H62" s="123"/>
    </row>
    <row r="63" spans="1:8" ht="15.75" x14ac:dyDescent="0.25">
      <c r="A63" s="130" t="s">
        <v>66</v>
      </c>
      <c r="B63" s="131">
        <f>DATE(2020,7,1)</f>
        <v>44013</v>
      </c>
      <c r="C63" s="204">
        <v>1014737</v>
      </c>
      <c r="D63" s="204">
        <v>248731.5</v>
      </c>
      <c r="E63" s="204">
        <v>255421</v>
      </c>
      <c r="F63" s="132">
        <f t="shared" ref="F63:F68" si="12">(+D63-E63)/E63</f>
        <v>-2.6190094001667833E-2</v>
      </c>
      <c r="G63" s="215">
        <f t="shared" ref="G63:G68" si="13">D63/C63</f>
        <v>0.24511917866402821</v>
      </c>
      <c r="H63" s="123"/>
    </row>
    <row r="64" spans="1:8" ht="15.75" x14ac:dyDescent="0.25">
      <c r="A64" s="130"/>
      <c r="B64" s="131">
        <f>DATE(2020,8,1)</f>
        <v>44044</v>
      </c>
      <c r="C64" s="204">
        <v>1314485</v>
      </c>
      <c r="D64" s="204">
        <v>268487</v>
      </c>
      <c r="E64" s="204">
        <v>366605.5</v>
      </c>
      <c r="F64" s="132">
        <f t="shared" si="12"/>
        <v>-0.26764055640190887</v>
      </c>
      <c r="G64" s="215">
        <f t="shared" si="13"/>
        <v>0.20425261604354558</v>
      </c>
      <c r="H64" s="123"/>
    </row>
    <row r="65" spans="1:8" ht="15.75" x14ac:dyDescent="0.25">
      <c r="A65" s="130"/>
      <c r="B65" s="131">
        <f>DATE(2020,9,1)</f>
        <v>44075</v>
      </c>
      <c r="C65" s="204">
        <v>1245407</v>
      </c>
      <c r="D65" s="204">
        <v>277957.5</v>
      </c>
      <c r="E65" s="204">
        <v>323382</v>
      </c>
      <c r="F65" s="132">
        <f t="shared" si="12"/>
        <v>-0.14046700187394476</v>
      </c>
      <c r="G65" s="215">
        <f t="shared" si="13"/>
        <v>0.22318607491366277</v>
      </c>
      <c r="H65" s="123"/>
    </row>
    <row r="66" spans="1:8" ht="15.75" x14ac:dyDescent="0.25">
      <c r="A66" s="130"/>
      <c r="B66" s="131">
        <f>DATE(2020,10,1)</f>
        <v>44105</v>
      </c>
      <c r="C66" s="204">
        <v>1388391</v>
      </c>
      <c r="D66" s="204">
        <v>307011.5</v>
      </c>
      <c r="E66" s="204">
        <v>301934</v>
      </c>
      <c r="F66" s="132">
        <f t="shared" si="12"/>
        <v>1.6816589055886386E-2</v>
      </c>
      <c r="G66" s="215">
        <f t="shared" si="13"/>
        <v>0.22112754980405375</v>
      </c>
      <c r="H66" s="123"/>
    </row>
    <row r="67" spans="1:8" ht="15.75" x14ac:dyDescent="0.25">
      <c r="A67" s="130"/>
      <c r="B67" s="131">
        <f>DATE(2020,11,1)</f>
        <v>44136</v>
      </c>
      <c r="C67" s="204">
        <v>1080444</v>
      </c>
      <c r="D67" s="204">
        <v>264033.5</v>
      </c>
      <c r="E67" s="204">
        <v>378106</v>
      </c>
      <c r="F67" s="132">
        <f t="shared" si="12"/>
        <v>-0.30169449836818246</v>
      </c>
      <c r="G67" s="215">
        <f t="shared" si="13"/>
        <v>0.24437499768613644</v>
      </c>
      <c r="H67" s="123"/>
    </row>
    <row r="68" spans="1:8" ht="15.75" x14ac:dyDescent="0.25">
      <c r="A68" s="130"/>
      <c r="B68" s="131">
        <f>DATE(2020,12,1)</f>
        <v>44166</v>
      </c>
      <c r="C68" s="204">
        <v>1251103</v>
      </c>
      <c r="D68" s="204">
        <v>310571</v>
      </c>
      <c r="E68" s="204">
        <v>350445.5</v>
      </c>
      <c r="F68" s="132">
        <f t="shared" si="12"/>
        <v>-0.11378231422574979</v>
      </c>
      <c r="G68" s="215">
        <f t="shared" si="13"/>
        <v>0.2482377550049836</v>
      </c>
      <c r="H68" s="123"/>
    </row>
    <row r="69" spans="1:8" ht="15.75" customHeight="1" thickBot="1" x14ac:dyDescent="0.3">
      <c r="A69" s="130"/>
      <c r="B69" s="131"/>
      <c r="C69" s="204"/>
      <c r="D69" s="204"/>
      <c r="E69" s="204"/>
      <c r="F69" s="132"/>
      <c r="G69" s="215"/>
      <c r="H69" s="123"/>
    </row>
    <row r="70" spans="1:8" ht="17.25" thickTop="1" thickBot="1" x14ac:dyDescent="0.3">
      <c r="A70" s="141" t="s">
        <v>14</v>
      </c>
      <c r="B70" s="142"/>
      <c r="C70" s="207">
        <f>SUM(C63:C69)</f>
        <v>7294567</v>
      </c>
      <c r="D70" s="261">
        <f>SUM(D63:D69)</f>
        <v>1676792</v>
      </c>
      <c r="E70" s="207">
        <f>SUM(E63:E69)</f>
        <v>1975894</v>
      </c>
      <c r="F70" s="269">
        <f>(+D70-E70)/E70</f>
        <v>-0.15137552925409967</v>
      </c>
      <c r="G70" s="267">
        <f>D70/C70</f>
        <v>0.22986861317470933</v>
      </c>
      <c r="H70" s="123"/>
    </row>
    <row r="71" spans="1:8" ht="15.75" customHeight="1" thickTop="1" x14ac:dyDescent="0.25">
      <c r="A71" s="130"/>
      <c r="B71" s="139"/>
      <c r="C71" s="205"/>
      <c r="D71" s="205"/>
      <c r="E71" s="205"/>
      <c r="F71" s="140"/>
      <c r="G71" s="216"/>
      <c r="H71" s="123"/>
    </row>
    <row r="72" spans="1:8" ht="15.75" x14ac:dyDescent="0.25">
      <c r="A72" s="130" t="s">
        <v>52</v>
      </c>
      <c r="B72" s="131">
        <f>DATE(2020,7,1)</f>
        <v>44013</v>
      </c>
      <c r="C72" s="204">
        <v>3151915</v>
      </c>
      <c r="D72" s="204">
        <v>671384</v>
      </c>
      <c r="E72" s="204">
        <v>1702644.86</v>
      </c>
      <c r="F72" s="132">
        <f t="shared" ref="F72:F77" si="14">(+D72-E72)/E72</f>
        <v>-0.60568171568086138</v>
      </c>
      <c r="G72" s="215">
        <f t="shared" ref="G72:G77" si="15">D72/C72</f>
        <v>0.21300828226649512</v>
      </c>
      <c r="H72" s="123"/>
    </row>
    <row r="73" spans="1:8" ht="15.75" x14ac:dyDescent="0.25">
      <c r="A73" s="130"/>
      <c r="B73" s="131">
        <f>DATE(2020,8,1)</f>
        <v>44044</v>
      </c>
      <c r="C73" s="204">
        <v>3093947</v>
      </c>
      <c r="D73" s="204">
        <v>647438.06000000006</v>
      </c>
      <c r="E73" s="204">
        <v>2308275.88</v>
      </c>
      <c r="F73" s="132">
        <f t="shared" si="14"/>
        <v>-0.71951443689651162</v>
      </c>
      <c r="G73" s="215">
        <f t="shared" si="15"/>
        <v>0.2092595833089578</v>
      </c>
      <c r="H73" s="123"/>
    </row>
    <row r="74" spans="1:8" ht="15.75" x14ac:dyDescent="0.25">
      <c r="A74" s="130"/>
      <c r="B74" s="131">
        <f>DATE(2020,9,1)</f>
        <v>44075</v>
      </c>
      <c r="C74" s="204">
        <v>3761958</v>
      </c>
      <c r="D74" s="204">
        <v>476389</v>
      </c>
      <c r="E74" s="204">
        <v>1996051.56</v>
      </c>
      <c r="F74" s="132">
        <f t="shared" si="14"/>
        <v>-0.76133432144408131</v>
      </c>
      <c r="G74" s="215">
        <f t="shared" si="15"/>
        <v>0.12663325853186028</v>
      </c>
      <c r="H74" s="123"/>
    </row>
    <row r="75" spans="1:8" ht="15.75" x14ac:dyDescent="0.25">
      <c r="A75" s="130"/>
      <c r="B75" s="131">
        <f>DATE(2020,10,1)</f>
        <v>44105</v>
      </c>
      <c r="C75" s="204">
        <v>3789812</v>
      </c>
      <c r="D75" s="204">
        <v>822284.63</v>
      </c>
      <c r="E75" s="204">
        <v>2026195.69</v>
      </c>
      <c r="F75" s="132">
        <f t="shared" si="14"/>
        <v>-0.59417314227926332</v>
      </c>
      <c r="G75" s="215">
        <f t="shared" si="15"/>
        <v>0.21697240654681552</v>
      </c>
      <c r="H75" s="123"/>
    </row>
    <row r="76" spans="1:8" ht="15.75" x14ac:dyDescent="0.25">
      <c r="A76" s="130"/>
      <c r="B76" s="131">
        <f>DATE(2020,11,1)</f>
        <v>44136</v>
      </c>
      <c r="C76" s="204">
        <v>3550127</v>
      </c>
      <c r="D76" s="204">
        <v>587592.5</v>
      </c>
      <c r="E76" s="204">
        <v>1903112.96</v>
      </c>
      <c r="F76" s="132">
        <f t="shared" si="14"/>
        <v>-0.69124665096075011</v>
      </c>
      <c r="G76" s="215">
        <f t="shared" si="15"/>
        <v>0.16551309291188737</v>
      </c>
      <c r="H76" s="123"/>
    </row>
    <row r="77" spans="1:8" ht="15.75" x14ac:dyDescent="0.25">
      <c r="A77" s="130"/>
      <c r="B77" s="131">
        <f>DATE(2020,12,1)</f>
        <v>44166</v>
      </c>
      <c r="C77" s="204">
        <v>4018731</v>
      </c>
      <c r="D77" s="204">
        <v>844069.86</v>
      </c>
      <c r="E77" s="204">
        <v>1980334.65</v>
      </c>
      <c r="F77" s="132">
        <f t="shared" si="14"/>
        <v>-0.57377412953916662</v>
      </c>
      <c r="G77" s="215">
        <f t="shared" si="15"/>
        <v>0.21003392862075118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SUM(C72:C78)</f>
        <v>21366490</v>
      </c>
      <c r="D79" s="206">
        <f>SUM(D72:D78)</f>
        <v>4049158.05</v>
      </c>
      <c r="E79" s="206">
        <f>SUM(E72:E78)</f>
        <v>11916615.6</v>
      </c>
      <c r="F79" s="143">
        <f>(+D79-E79)/E79</f>
        <v>-0.66020905717559608</v>
      </c>
      <c r="G79" s="217">
        <f>D79/C79</f>
        <v>0.1895097439963232</v>
      </c>
      <c r="H79" s="123"/>
    </row>
    <row r="80" spans="1:8" ht="15.75" customHeight="1" thickTop="1" x14ac:dyDescent="0.25">
      <c r="A80" s="138"/>
      <c r="B80" s="139"/>
      <c r="C80" s="205"/>
      <c r="D80" s="205"/>
      <c r="E80" s="205"/>
      <c r="F80" s="140"/>
      <c r="G80" s="216"/>
      <c r="H80" s="123"/>
    </row>
    <row r="81" spans="1:8" ht="15.75" x14ac:dyDescent="0.25">
      <c r="A81" s="130" t="s">
        <v>16</v>
      </c>
      <c r="B81" s="131">
        <f>DATE(2020,7,1)</f>
        <v>44013</v>
      </c>
      <c r="C81" s="204">
        <v>8611169</v>
      </c>
      <c r="D81" s="204">
        <v>1702806.5</v>
      </c>
      <c r="E81" s="204">
        <v>2126431.5</v>
      </c>
      <c r="F81" s="132">
        <f t="shared" ref="F81:F86" si="16">(+D81-E81)/E81</f>
        <v>-0.19921873805951426</v>
      </c>
      <c r="G81" s="215">
        <f t="shared" ref="G81:G86" si="17">D81/C81</f>
        <v>0.19774394161814732</v>
      </c>
      <c r="H81" s="123"/>
    </row>
    <row r="82" spans="1:8" ht="15.75" x14ac:dyDescent="0.25">
      <c r="A82" s="130"/>
      <c r="B82" s="131">
        <f>DATE(2020,8,1)</f>
        <v>44044</v>
      </c>
      <c r="C82" s="204">
        <v>7982010</v>
      </c>
      <c r="D82" s="204">
        <v>1570570.5</v>
      </c>
      <c r="E82" s="204">
        <v>2726871</v>
      </c>
      <c r="F82" s="132">
        <f t="shared" si="16"/>
        <v>-0.4240393109905089</v>
      </c>
      <c r="G82" s="215">
        <f t="shared" si="17"/>
        <v>0.1967637850616574</v>
      </c>
      <c r="H82" s="123"/>
    </row>
    <row r="83" spans="1:8" ht="15.75" x14ac:dyDescent="0.25">
      <c r="A83" s="130"/>
      <c r="B83" s="131">
        <f>DATE(2020,9,1)</f>
        <v>44075</v>
      </c>
      <c r="C83" s="204">
        <v>8162396</v>
      </c>
      <c r="D83" s="204">
        <v>1447626.5</v>
      </c>
      <c r="E83" s="204">
        <v>2679876</v>
      </c>
      <c r="F83" s="132">
        <f t="shared" si="16"/>
        <v>-0.45981586461463142</v>
      </c>
      <c r="G83" s="215">
        <f t="shared" si="17"/>
        <v>0.17735313258508897</v>
      </c>
      <c r="H83" s="123"/>
    </row>
    <row r="84" spans="1:8" ht="15.75" x14ac:dyDescent="0.25">
      <c r="A84" s="130"/>
      <c r="B84" s="131">
        <f>DATE(2020,10,1)</f>
        <v>44105</v>
      </c>
      <c r="C84" s="204">
        <v>8619144</v>
      </c>
      <c r="D84" s="204">
        <v>1659455</v>
      </c>
      <c r="E84" s="204">
        <v>3088329</v>
      </c>
      <c r="F84" s="132">
        <f t="shared" si="16"/>
        <v>-0.46266897082532332</v>
      </c>
      <c r="G84" s="215">
        <f t="shared" si="17"/>
        <v>0.1925313000919813</v>
      </c>
      <c r="H84" s="123"/>
    </row>
    <row r="85" spans="1:8" ht="15.75" x14ac:dyDescent="0.25">
      <c r="A85" s="130"/>
      <c r="B85" s="131">
        <f>DATE(2020,11,1)</f>
        <v>44136</v>
      </c>
      <c r="C85" s="204">
        <v>8144246</v>
      </c>
      <c r="D85" s="204">
        <v>1564224</v>
      </c>
      <c r="E85" s="204">
        <v>2810591.5</v>
      </c>
      <c r="F85" s="132">
        <f t="shared" si="16"/>
        <v>-0.44345380678764595</v>
      </c>
      <c r="G85" s="215">
        <f t="shared" si="17"/>
        <v>0.19206492534729427</v>
      </c>
      <c r="H85" s="123"/>
    </row>
    <row r="86" spans="1:8" ht="15.75" x14ac:dyDescent="0.25">
      <c r="A86" s="130"/>
      <c r="B86" s="131">
        <f>DATE(2020,12,1)</f>
        <v>44166</v>
      </c>
      <c r="C86" s="204">
        <v>8593856</v>
      </c>
      <c r="D86" s="204">
        <v>1930831.5</v>
      </c>
      <c r="E86" s="204">
        <v>1704640.5</v>
      </c>
      <c r="F86" s="132">
        <f t="shared" si="16"/>
        <v>0.13269132113193369</v>
      </c>
      <c r="G86" s="215">
        <f t="shared" si="17"/>
        <v>0.22467580327154654</v>
      </c>
      <c r="H86" s="123"/>
    </row>
    <row r="87" spans="1:8" ht="15.75" customHeight="1" thickBot="1" x14ac:dyDescent="0.3">
      <c r="A87" s="130"/>
      <c r="B87" s="131"/>
      <c r="C87" s="204"/>
      <c r="D87" s="204"/>
      <c r="E87" s="204"/>
      <c r="F87" s="132"/>
      <c r="G87" s="215"/>
      <c r="H87" s="123"/>
    </row>
    <row r="88" spans="1:8" ht="17.25" thickTop="1" thickBot="1" x14ac:dyDescent="0.3">
      <c r="A88" s="141" t="s">
        <v>14</v>
      </c>
      <c r="B88" s="142"/>
      <c r="C88" s="206">
        <f>SUM(C81:C87)</f>
        <v>50112821</v>
      </c>
      <c r="D88" s="206">
        <f>SUM(D81:D87)</f>
        <v>9875514</v>
      </c>
      <c r="E88" s="206">
        <f>SUM(E81:E87)</f>
        <v>15136739.5</v>
      </c>
      <c r="F88" s="143">
        <f>(+D88-E88)/E88</f>
        <v>-0.34757984042732587</v>
      </c>
      <c r="G88" s="217">
        <f>D88/C88</f>
        <v>0.19706561720003749</v>
      </c>
      <c r="H88" s="123"/>
    </row>
    <row r="89" spans="1:8" ht="15.75" customHeight="1" thickTop="1" x14ac:dyDescent="0.25">
      <c r="A89" s="138"/>
      <c r="B89" s="139"/>
      <c r="C89" s="205"/>
      <c r="D89" s="205"/>
      <c r="E89" s="205"/>
      <c r="F89" s="140"/>
      <c r="G89" s="216"/>
      <c r="H89" s="123"/>
    </row>
    <row r="90" spans="1:8" ht="15.75" x14ac:dyDescent="0.25">
      <c r="A90" s="130" t="s">
        <v>54</v>
      </c>
      <c r="B90" s="131">
        <f>DATE(2020,7,1)</f>
        <v>44013</v>
      </c>
      <c r="C90" s="204">
        <v>10453635</v>
      </c>
      <c r="D90" s="204">
        <v>1923906.33</v>
      </c>
      <c r="E90" s="204">
        <v>1977732.9</v>
      </c>
      <c r="F90" s="132">
        <f t="shared" ref="F90:F95" si="18">(+D90-E90)/E90</f>
        <v>-2.7216299026021074E-2</v>
      </c>
      <c r="G90" s="215">
        <f t="shared" ref="G90:G95" si="19">D90/C90</f>
        <v>0.18404185051419913</v>
      </c>
      <c r="H90" s="123"/>
    </row>
    <row r="91" spans="1:8" ht="15.75" x14ac:dyDescent="0.25">
      <c r="A91" s="130"/>
      <c r="B91" s="131">
        <f>DATE(2020,8,1)</f>
        <v>44044</v>
      </c>
      <c r="C91" s="204">
        <v>12051254</v>
      </c>
      <c r="D91" s="204">
        <v>2698345.86</v>
      </c>
      <c r="E91" s="204">
        <v>2646777.5</v>
      </c>
      <c r="F91" s="132">
        <f t="shared" si="18"/>
        <v>1.9483451102330993E-2</v>
      </c>
      <c r="G91" s="215">
        <f t="shared" si="19"/>
        <v>0.22390581594247369</v>
      </c>
      <c r="H91" s="123"/>
    </row>
    <row r="92" spans="1:8" ht="15.75" x14ac:dyDescent="0.25">
      <c r="A92" s="130"/>
      <c r="B92" s="131">
        <f>DATE(2020,9,1)</f>
        <v>44075</v>
      </c>
      <c r="C92" s="204">
        <v>11460638</v>
      </c>
      <c r="D92" s="204">
        <v>2773332.44</v>
      </c>
      <c r="E92" s="204">
        <v>2514781.23</v>
      </c>
      <c r="F92" s="132">
        <f t="shared" si="18"/>
        <v>0.10281260529370181</v>
      </c>
      <c r="G92" s="215">
        <f t="shared" si="19"/>
        <v>0.24198761360405938</v>
      </c>
      <c r="H92" s="123"/>
    </row>
    <row r="93" spans="1:8" ht="15.75" x14ac:dyDescent="0.25">
      <c r="A93" s="130"/>
      <c r="B93" s="131">
        <f>DATE(2020,10,1)</f>
        <v>44105</v>
      </c>
      <c r="C93" s="204">
        <v>11609263</v>
      </c>
      <c r="D93" s="204">
        <v>2099358.0099999998</v>
      </c>
      <c r="E93" s="204">
        <v>2541006.48</v>
      </c>
      <c r="F93" s="132">
        <f t="shared" si="18"/>
        <v>-0.17380847844197556</v>
      </c>
      <c r="G93" s="215">
        <f t="shared" si="19"/>
        <v>0.18083473602071035</v>
      </c>
      <c r="H93" s="123"/>
    </row>
    <row r="94" spans="1:8" ht="15.75" x14ac:dyDescent="0.25">
      <c r="A94" s="130"/>
      <c r="B94" s="131">
        <f>DATE(2020,11,1)</f>
        <v>44136</v>
      </c>
      <c r="C94" s="204">
        <v>11563380</v>
      </c>
      <c r="D94" s="204">
        <v>2138602.36</v>
      </c>
      <c r="E94" s="204">
        <v>2692124.24</v>
      </c>
      <c r="F94" s="132">
        <f t="shared" si="18"/>
        <v>-0.20560785114434404</v>
      </c>
      <c r="G94" s="215">
        <f t="shared" si="19"/>
        <v>0.18494612820818826</v>
      </c>
      <c r="H94" s="123"/>
    </row>
    <row r="95" spans="1:8" ht="15.75" x14ac:dyDescent="0.25">
      <c r="A95" s="130"/>
      <c r="B95" s="131">
        <f>DATE(2020,12,1)</f>
        <v>44166</v>
      </c>
      <c r="C95" s="204">
        <v>10891043</v>
      </c>
      <c r="D95" s="204">
        <v>1971253.86</v>
      </c>
      <c r="E95" s="204">
        <v>2968383.02</v>
      </c>
      <c r="F95" s="132">
        <f t="shared" si="18"/>
        <v>-0.3359166095755392</v>
      </c>
      <c r="G95" s="215">
        <f t="shared" si="19"/>
        <v>0.18099771160576633</v>
      </c>
      <c r="H95" s="123"/>
    </row>
    <row r="96" spans="1:8" ht="15.75" thickBot="1" x14ac:dyDescent="0.25">
      <c r="A96" s="133"/>
      <c r="B96" s="131"/>
      <c r="C96" s="204"/>
      <c r="D96" s="204"/>
      <c r="E96" s="204"/>
      <c r="F96" s="132"/>
      <c r="G96" s="215"/>
      <c r="H96" s="123"/>
    </row>
    <row r="97" spans="1:8" ht="17.25" thickTop="1" thickBot="1" x14ac:dyDescent="0.3">
      <c r="A97" s="141" t="s">
        <v>14</v>
      </c>
      <c r="B97" s="142"/>
      <c r="C97" s="207">
        <f>SUM(C90:C96)</f>
        <v>68029213</v>
      </c>
      <c r="D97" s="207">
        <f>SUM(D90:D96)</f>
        <v>13604798.859999998</v>
      </c>
      <c r="E97" s="207">
        <f>SUM(E90:E96)</f>
        <v>15340805.370000001</v>
      </c>
      <c r="F97" s="143">
        <f>(+D97-E97)/E97</f>
        <v>-0.11316267093739964</v>
      </c>
      <c r="G97" s="267">
        <f>D97/C97</f>
        <v>0.19998465747354741</v>
      </c>
      <c r="H97" s="123"/>
    </row>
    <row r="98" spans="1:8" ht="15.75" customHeight="1" thickTop="1" x14ac:dyDescent="0.25">
      <c r="A98" s="138"/>
      <c r="B98" s="139"/>
      <c r="C98" s="205"/>
      <c r="D98" s="205"/>
      <c r="E98" s="205"/>
      <c r="F98" s="140"/>
      <c r="G98" s="219"/>
      <c r="H98" s="123"/>
    </row>
    <row r="99" spans="1:8" ht="15.75" x14ac:dyDescent="0.25">
      <c r="A99" s="130" t="s">
        <v>55</v>
      </c>
      <c r="B99" s="131">
        <f>DATE(2020,7,1)</f>
        <v>44013</v>
      </c>
      <c r="C99" s="204">
        <v>472126</v>
      </c>
      <c r="D99" s="204">
        <v>188605.5</v>
      </c>
      <c r="E99" s="204">
        <v>135934</v>
      </c>
      <c r="F99" s="132">
        <f t="shared" ref="F99:F104" si="20">(+D99-E99)/E99</f>
        <v>0.38747848220459929</v>
      </c>
      <c r="G99" s="215">
        <f t="shared" ref="G99:G104" si="21">D99/C99</f>
        <v>0.39948128253898324</v>
      </c>
      <c r="H99" s="123"/>
    </row>
    <row r="100" spans="1:8" ht="15.75" x14ac:dyDescent="0.25">
      <c r="A100" s="130"/>
      <c r="B100" s="131">
        <f>DATE(2020,8,1)</f>
        <v>44044</v>
      </c>
      <c r="C100" s="204">
        <v>370157</v>
      </c>
      <c r="D100" s="204">
        <v>111546</v>
      </c>
      <c r="E100" s="204">
        <v>134255.5</v>
      </c>
      <c r="F100" s="132">
        <f t="shared" si="20"/>
        <v>-0.16915135692764915</v>
      </c>
      <c r="G100" s="215">
        <f t="shared" si="21"/>
        <v>0.3013478064713081</v>
      </c>
      <c r="H100" s="123"/>
    </row>
    <row r="101" spans="1:8" ht="15.75" x14ac:dyDescent="0.25">
      <c r="A101" s="130"/>
      <c r="B101" s="131">
        <f>DATE(2020,9,1)</f>
        <v>44075</v>
      </c>
      <c r="C101" s="204">
        <v>425232</v>
      </c>
      <c r="D101" s="204">
        <v>108554</v>
      </c>
      <c r="E101" s="204">
        <v>147952</v>
      </c>
      <c r="F101" s="132">
        <f t="shared" si="20"/>
        <v>-0.26628906672434305</v>
      </c>
      <c r="G101" s="215">
        <f t="shared" si="21"/>
        <v>0.25528182262858862</v>
      </c>
      <c r="H101" s="123"/>
    </row>
    <row r="102" spans="1:8" ht="15.75" x14ac:dyDescent="0.25">
      <c r="A102" s="130"/>
      <c r="B102" s="131">
        <f>DATE(2020,10,1)</f>
        <v>44105</v>
      </c>
      <c r="C102" s="204">
        <v>382275</v>
      </c>
      <c r="D102" s="204">
        <v>95084.5</v>
      </c>
      <c r="E102" s="204">
        <v>160874.5</v>
      </c>
      <c r="F102" s="132">
        <f t="shared" si="20"/>
        <v>-0.40895231997613046</v>
      </c>
      <c r="G102" s="215">
        <f t="shared" si="21"/>
        <v>0.24873324177620823</v>
      </c>
      <c r="H102" s="123"/>
    </row>
    <row r="103" spans="1:8" ht="15.75" x14ac:dyDescent="0.25">
      <c r="A103" s="130"/>
      <c r="B103" s="131">
        <f>DATE(2020,11,1)</f>
        <v>44136</v>
      </c>
      <c r="C103" s="204">
        <v>348011</v>
      </c>
      <c r="D103" s="204">
        <v>102680.5</v>
      </c>
      <c r="E103" s="204">
        <v>171123.5</v>
      </c>
      <c r="F103" s="132">
        <f t="shared" si="20"/>
        <v>-0.39996260011044654</v>
      </c>
      <c r="G103" s="215">
        <f t="shared" si="21"/>
        <v>0.29504958176609358</v>
      </c>
      <c r="H103" s="123"/>
    </row>
    <row r="104" spans="1:8" ht="15.75" x14ac:dyDescent="0.25">
      <c r="A104" s="130"/>
      <c r="B104" s="131">
        <f>DATE(2020,12,1)</f>
        <v>44166</v>
      </c>
      <c r="C104" s="204">
        <v>357011</v>
      </c>
      <c r="D104" s="204">
        <v>47733</v>
      </c>
      <c r="E104" s="204">
        <v>110728</v>
      </c>
      <c r="F104" s="132">
        <f t="shared" si="20"/>
        <v>-0.56891662452134961</v>
      </c>
      <c r="G104" s="215">
        <f t="shared" si="21"/>
        <v>0.13370176269078543</v>
      </c>
      <c r="H104" s="123"/>
    </row>
    <row r="105" spans="1:8" ht="15.75" thickBot="1" x14ac:dyDescent="0.25">
      <c r="A105" s="133"/>
      <c r="B105" s="134"/>
      <c r="C105" s="204"/>
      <c r="D105" s="204"/>
      <c r="E105" s="204"/>
      <c r="F105" s="132"/>
      <c r="G105" s="215"/>
      <c r="H105" s="123"/>
    </row>
    <row r="106" spans="1:8" ht="17.25" thickTop="1" thickBot="1" x14ac:dyDescent="0.3">
      <c r="A106" s="144" t="s">
        <v>14</v>
      </c>
      <c r="B106" s="145"/>
      <c r="C106" s="207">
        <f>SUM(C99:C105)</f>
        <v>2354812</v>
      </c>
      <c r="D106" s="207">
        <f>SUM(D99:D105)</f>
        <v>654203.5</v>
      </c>
      <c r="E106" s="207">
        <f>SUM(E99:E105)</f>
        <v>860867.5</v>
      </c>
      <c r="F106" s="143">
        <f>(+D106-E106)/E106</f>
        <v>-0.24006481833731672</v>
      </c>
      <c r="G106" s="217">
        <f>D106/C106</f>
        <v>0.27781559631936648</v>
      </c>
      <c r="H106" s="123"/>
    </row>
    <row r="107" spans="1:8" ht="15.75" customHeight="1" thickTop="1" x14ac:dyDescent="0.25">
      <c r="A107" s="130"/>
      <c r="B107" s="134"/>
      <c r="C107" s="204"/>
      <c r="D107" s="204"/>
      <c r="E107" s="204"/>
      <c r="F107" s="132"/>
      <c r="G107" s="218"/>
      <c r="H107" s="123"/>
    </row>
    <row r="108" spans="1:8" ht="15.75" x14ac:dyDescent="0.25">
      <c r="A108" s="130" t="s">
        <v>37</v>
      </c>
      <c r="B108" s="131">
        <f>DATE(2020,7,1)</f>
        <v>44013</v>
      </c>
      <c r="C108" s="204">
        <v>18681267</v>
      </c>
      <c r="D108" s="204">
        <v>4944391.55</v>
      </c>
      <c r="E108" s="204">
        <v>3678875.65</v>
      </c>
      <c r="F108" s="132">
        <f t="shared" ref="F108:F113" si="22">(+D108-E108)/E108</f>
        <v>0.34399529106127846</v>
      </c>
      <c r="G108" s="215">
        <f t="shared" ref="G108:G113" si="23">D108/C108</f>
        <v>0.26467110341070549</v>
      </c>
      <c r="H108" s="123"/>
    </row>
    <row r="109" spans="1:8" ht="15.75" x14ac:dyDescent="0.25">
      <c r="A109" s="130"/>
      <c r="B109" s="131">
        <f>DATE(2020,8,1)</f>
        <v>44044</v>
      </c>
      <c r="C109" s="204">
        <v>17505825</v>
      </c>
      <c r="D109" s="204">
        <v>3489579.3</v>
      </c>
      <c r="E109" s="204">
        <v>3806318.41</v>
      </c>
      <c r="F109" s="132">
        <f t="shared" si="22"/>
        <v>-8.3214034109143367E-2</v>
      </c>
      <c r="G109" s="215">
        <f t="shared" si="23"/>
        <v>0.19933818029141728</v>
      </c>
      <c r="H109" s="123"/>
    </row>
    <row r="110" spans="1:8" ht="15.75" x14ac:dyDescent="0.25">
      <c r="A110" s="130"/>
      <c r="B110" s="131">
        <f>DATE(2020,9,1)</f>
        <v>44075</v>
      </c>
      <c r="C110" s="204">
        <v>17711205.5</v>
      </c>
      <c r="D110" s="204">
        <v>3694673.89</v>
      </c>
      <c r="E110" s="204">
        <v>3987675.53</v>
      </c>
      <c r="F110" s="132">
        <f t="shared" si="22"/>
        <v>-7.3476800656346195E-2</v>
      </c>
      <c r="G110" s="215">
        <f t="shared" si="23"/>
        <v>0.20860657339219513</v>
      </c>
      <c r="H110" s="123"/>
    </row>
    <row r="111" spans="1:8" ht="15.75" x14ac:dyDescent="0.25">
      <c r="A111" s="130"/>
      <c r="B111" s="131">
        <f>DATE(2020,10,1)</f>
        <v>44105</v>
      </c>
      <c r="C111" s="204">
        <v>17114468.25</v>
      </c>
      <c r="D111" s="204">
        <v>4167594.55</v>
      </c>
      <c r="E111" s="204">
        <v>3485177.78</v>
      </c>
      <c r="F111" s="132">
        <f t="shared" si="22"/>
        <v>0.19580544037555525</v>
      </c>
      <c r="G111" s="215">
        <f t="shared" si="23"/>
        <v>0.24351294408460514</v>
      </c>
      <c r="H111" s="123"/>
    </row>
    <row r="112" spans="1:8" ht="15.75" x14ac:dyDescent="0.25">
      <c r="A112" s="130"/>
      <c r="B112" s="131">
        <f>DATE(2020,11,1)</f>
        <v>44136</v>
      </c>
      <c r="C112" s="204">
        <v>17014102</v>
      </c>
      <c r="D112" s="204">
        <v>3752761.48</v>
      </c>
      <c r="E112" s="204">
        <v>3099140.29</v>
      </c>
      <c r="F112" s="132">
        <f t="shared" si="22"/>
        <v>0.21090403429268442</v>
      </c>
      <c r="G112" s="215">
        <f t="shared" si="23"/>
        <v>0.22056770789313476</v>
      </c>
      <c r="H112" s="123"/>
    </row>
    <row r="113" spans="1:8" ht="15.75" x14ac:dyDescent="0.25">
      <c r="A113" s="130"/>
      <c r="B113" s="131">
        <f>DATE(2020,12,1)</f>
        <v>44166</v>
      </c>
      <c r="C113" s="204">
        <v>18034169</v>
      </c>
      <c r="D113" s="204">
        <v>4490962</v>
      </c>
      <c r="E113" s="204">
        <v>4022599</v>
      </c>
      <c r="F113" s="132">
        <f t="shared" si="22"/>
        <v>0.11643293303657661</v>
      </c>
      <c r="G113" s="215">
        <f t="shared" si="23"/>
        <v>0.24902516994267937</v>
      </c>
      <c r="H113" s="123"/>
    </row>
    <row r="114" spans="1:8" ht="15.75" thickBot="1" x14ac:dyDescent="0.25">
      <c r="A114" s="133"/>
      <c r="B114" s="134"/>
      <c r="C114" s="204"/>
      <c r="D114" s="204"/>
      <c r="E114" s="204"/>
      <c r="F114" s="132"/>
      <c r="G114" s="215"/>
      <c r="H114" s="123"/>
    </row>
    <row r="115" spans="1:8" ht="17.25" thickTop="1" thickBot="1" x14ac:dyDescent="0.3">
      <c r="A115" s="141" t="s">
        <v>14</v>
      </c>
      <c r="B115" s="142"/>
      <c r="C115" s="206">
        <f>SUM(C108:C114)</f>
        <v>106061036.75</v>
      </c>
      <c r="D115" s="207">
        <f>SUM(D108:D114)</f>
        <v>24539962.77</v>
      </c>
      <c r="E115" s="206">
        <f>SUM(E108:E114)</f>
        <v>22079786.66</v>
      </c>
      <c r="F115" s="143">
        <f>(+D115-E115)/E115</f>
        <v>0.11142209605027041</v>
      </c>
      <c r="G115" s="217">
        <f>D115/C115</f>
        <v>0.23137585226367308</v>
      </c>
      <c r="H115" s="123"/>
    </row>
    <row r="116" spans="1:8" ht="15.75" customHeight="1" thickTop="1" x14ac:dyDescent="0.25">
      <c r="A116" s="130"/>
      <c r="B116" s="134"/>
      <c r="C116" s="204"/>
      <c r="D116" s="204"/>
      <c r="E116" s="204"/>
      <c r="F116" s="132"/>
      <c r="G116" s="218"/>
      <c r="H116" s="123"/>
    </row>
    <row r="117" spans="1:8" ht="15.75" x14ac:dyDescent="0.25">
      <c r="A117" s="130" t="s">
        <v>58</v>
      </c>
      <c r="B117" s="131">
        <f>DATE(2020,7,1)</f>
        <v>44013</v>
      </c>
      <c r="C117" s="204">
        <v>674370</v>
      </c>
      <c r="D117" s="204">
        <v>155770.5</v>
      </c>
      <c r="E117" s="204">
        <v>102948</v>
      </c>
      <c r="F117" s="132">
        <f t="shared" ref="F117:F122" si="24">(+D117-E117)/E117</f>
        <v>0.51309884601934952</v>
      </c>
      <c r="G117" s="215">
        <f t="shared" ref="G117:G122" si="25">D117/C117</f>
        <v>0.23098669869656124</v>
      </c>
      <c r="H117" s="123"/>
    </row>
    <row r="118" spans="1:8" ht="15.75" x14ac:dyDescent="0.25">
      <c r="A118" s="130"/>
      <c r="B118" s="131">
        <f>DATE(2020,8,1)</f>
        <v>44044</v>
      </c>
      <c r="C118" s="204">
        <v>698636</v>
      </c>
      <c r="D118" s="204">
        <v>187855</v>
      </c>
      <c r="E118" s="204">
        <v>208443.5</v>
      </c>
      <c r="F118" s="132">
        <f t="shared" si="24"/>
        <v>-9.8772569065478169E-2</v>
      </c>
      <c r="G118" s="215">
        <f t="shared" si="25"/>
        <v>0.26888823364384312</v>
      </c>
      <c r="H118" s="123"/>
    </row>
    <row r="119" spans="1:8" ht="15.75" x14ac:dyDescent="0.25">
      <c r="A119" s="130"/>
      <c r="B119" s="131">
        <f>DATE(2020,9,1)</f>
        <v>44075</v>
      </c>
      <c r="C119" s="204">
        <v>619816</v>
      </c>
      <c r="D119" s="204">
        <v>175772.5</v>
      </c>
      <c r="E119" s="204">
        <v>206651.5</v>
      </c>
      <c r="F119" s="132">
        <f t="shared" si="24"/>
        <v>-0.14942548203134262</v>
      </c>
      <c r="G119" s="215">
        <f t="shared" si="25"/>
        <v>0.28358819391561368</v>
      </c>
      <c r="H119" s="123"/>
    </row>
    <row r="120" spans="1:8" ht="15.75" x14ac:dyDescent="0.25">
      <c r="A120" s="130"/>
      <c r="B120" s="131">
        <f>DATE(2020,10,1)</f>
        <v>44105</v>
      </c>
      <c r="C120" s="204">
        <v>525356</v>
      </c>
      <c r="D120" s="204">
        <v>128393</v>
      </c>
      <c r="E120" s="204">
        <v>159975</v>
      </c>
      <c r="F120" s="132">
        <f t="shared" si="24"/>
        <v>-0.19741834661665886</v>
      </c>
      <c r="G120" s="215">
        <f t="shared" si="25"/>
        <v>0.2443923739331044</v>
      </c>
      <c r="H120" s="123"/>
    </row>
    <row r="121" spans="1:8" ht="15.75" x14ac:dyDescent="0.25">
      <c r="A121" s="130"/>
      <c r="B121" s="131">
        <f>DATE(2020,11,1)</f>
        <v>44136</v>
      </c>
      <c r="C121" s="204">
        <v>526166</v>
      </c>
      <c r="D121" s="204">
        <v>162751.5</v>
      </c>
      <c r="E121" s="204">
        <v>185433.5</v>
      </c>
      <c r="F121" s="132">
        <f t="shared" si="24"/>
        <v>-0.12231878274421827</v>
      </c>
      <c r="G121" s="215">
        <f t="shared" si="25"/>
        <v>0.30931588129981791</v>
      </c>
      <c r="H121" s="123"/>
    </row>
    <row r="122" spans="1:8" ht="15.75" x14ac:dyDescent="0.25">
      <c r="A122" s="130"/>
      <c r="B122" s="131">
        <f>DATE(2020,12,1)</f>
        <v>44166</v>
      </c>
      <c r="C122" s="204">
        <v>502248</v>
      </c>
      <c r="D122" s="204">
        <v>165476</v>
      </c>
      <c r="E122" s="204">
        <v>198005</v>
      </c>
      <c r="F122" s="132">
        <f t="shared" si="24"/>
        <v>-0.16428373020883311</v>
      </c>
      <c r="G122" s="215">
        <f t="shared" si="25"/>
        <v>0.32947069973399595</v>
      </c>
      <c r="H122" s="123"/>
    </row>
    <row r="123" spans="1:8" ht="15.75" thickBot="1" x14ac:dyDescent="0.25">
      <c r="A123" s="133"/>
      <c r="B123" s="134"/>
      <c r="C123" s="204"/>
      <c r="D123" s="204"/>
      <c r="E123" s="204"/>
      <c r="F123" s="132"/>
      <c r="G123" s="215"/>
      <c r="H123" s="123"/>
    </row>
    <row r="124" spans="1:8" ht="17.25" thickTop="1" thickBot="1" x14ac:dyDescent="0.3">
      <c r="A124" s="135" t="s">
        <v>14</v>
      </c>
      <c r="B124" s="136"/>
      <c r="C124" s="201">
        <f>SUM(C117:C123)</f>
        <v>3546592</v>
      </c>
      <c r="D124" s="207">
        <f>SUM(D117:D123)</f>
        <v>976018.5</v>
      </c>
      <c r="E124" s="207">
        <f>SUM(E117:E123)</f>
        <v>1061456.5</v>
      </c>
      <c r="F124" s="143">
        <f>(+D124-E124)/E124</f>
        <v>-8.0491287207718823E-2</v>
      </c>
      <c r="G124" s="217">
        <f>D124/C124</f>
        <v>0.27519897975295721</v>
      </c>
      <c r="H124" s="123"/>
    </row>
    <row r="125" spans="1:8" ht="16.5" thickTop="1" thickBot="1" x14ac:dyDescent="0.25">
      <c r="A125" s="146"/>
      <c r="B125" s="139"/>
      <c r="C125" s="205"/>
      <c r="D125" s="205"/>
      <c r="E125" s="205"/>
      <c r="F125" s="140"/>
      <c r="G125" s="216"/>
      <c r="H125" s="123"/>
    </row>
    <row r="126" spans="1:8" ht="17.25" thickTop="1" thickBot="1" x14ac:dyDescent="0.3">
      <c r="A126" s="147" t="s">
        <v>38</v>
      </c>
      <c r="B126" s="121"/>
      <c r="C126" s="201">
        <f>C124+C115+C88+C70+C52+C34+C16+C43+C106+C25+C79+C97+C61</f>
        <v>490838296.54999995</v>
      </c>
      <c r="D126" s="201">
        <f>D124+D115+D88+D70+D52+D34+D16+D43+D106+D25+D79+D97+D61</f>
        <v>103509399.88</v>
      </c>
      <c r="E126" s="201">
        <f>E124+E115+E88+E70+E52+E34+E16+E43+E106+E25+E79+E97+E61</f>
        <v>126543779.75</v>
      </c>
      <c r="F126" s="137">
        <f>(+D126-E126)/E126</f>
        <v>-0.18202696264886939</v>
      </c>
      <c r="G126" s="212">
        <f>D126/C126</f>
        <v>0.21088289281326658</v>
      </c>
      <c r="H126" s="123"/>
    </row>
    <row r="127" spans="1:8" ht="17.25" thickTop="1" thickBot="1" x14ac:dyDescent="0.3">
      <c r="A127" s="147"/>
      <c r="B127" s="121"/>
      <c r="C127" s="201"/>
      <c r="D127" s="201"/>
      <c r="E127" s="201"/>
      <c r="F127" s="137"/>
      <c r="G127" s="212"/>
      <c r="H127" s="123"/>
    </row>
    <row r="128" spans="1:8" ht="17.25" thickTop="1" thickBot="1" x14ac:dyDescent="0.3">
      <c r="A128" s="265" t="s">
        <v>39</v>
      </c>
      <c r="B128" s="266"/>
      <c r="C128" s="206">
        <f>SUM(C14+C23+C32+C41+C50+C59+C68+C77+C86+C95+C104+C113+C122)</f>
        <v>82145441</v>
      </c>
      <c r="D128" s="206">
        <f>SUM(D14+D23+D32+D41+D50+D59+D68+D77+D86+D95+D104+D113+D122)</f>
        <v>18150912.629999999</v>
      </c>
      <c r="E128" s="206">
        <f>SUM(E14+E23+E32+E41+E50+E59+E68+E77+E86+E95+E104+E113+E122)</f>
        <v>20858692.41</v>
      </c>
      <c r="F128" s="143">
        <f>(+D128-E128)/E128</f>
        <v>-0.12981541348688985</v>
      </c>
      <c r="G128" s="217">
        <f>D128/C128</f>
        <v>0.22096068155504819</v>
      </c>
      <c r="H128" s="123"/>
    </row>
    <row r="129" spans="1:8" ht="16.5" thickTop="1" x14ac:dyDescent="0.25">
      <c r="A129" s="256"/>
      <c r="B129" s="258"/>
      <c r="C129" s="259"/>
      <c r="D129" s="259"/>
      <c r="E129" s="259"/>
      <c r="F129" s="260"/>
      <c r="G129" s="257"/>
      <c r="H129" s="257"/>
    </row>
    <row r="130" spans="1:8" ht="18.75" x14ac:dyDescent="0.3">
      <c r="A130" s="263" t="s">
        <v>40</v>
      </c>
      <c r="B130" s="117"/>
      <c r="C130" s="208"/>
      <c r="D130" s="208"/>
      <c r="E130" s="208"/>
      <c r="F130" s="148"/>
      <c r="G130" s="220"/>
    </row>
    <row r="131" spans="1:8" ht="15.75" x14ac:dyDescent="0.25">
      <c r="A131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52" max="7" man="1"/>
    <brk id="9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72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69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70</v>
      </c>
      <c r="E8" s="224" t="s">
        <v>70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DATE(20,7,1)</f>
        <v>7488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DATE(20,8,1)</f>
        <v>7519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DATE(20,9,1)</f>
        <v>7550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 x14ac:dyDescent="0.25">
      <c r="A13" s="164"/>
      <c r="B13" s="165">
        <f>DATE(20,10,1)</f>
        <v>7580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 x14ac:dyDescent="0.25">
      <c r="A14" s="164"/>
      <c r="B14" s="165">
        <f>DATE(20,11,1)</f>
        <v>7611</v>
      </c>
      <c r="C14" s="226">
        <v>0</v>
      </c>
      <c r="D14" s="226">
        <v>0</v>
      </c>
      <c r="E14" s="226">
        <v>0</v>
      </c>
      <c r="F14" s="166">
        <v>0</v>
      </c>
      <c r="G14" s="241">
        <v>0</v>
      </c>
      <c r="H14" s="242">
        <v>0</v>
      </c>
    </row>
    <row r="15" spans="1:8" ht="15.75" x14ac:dyDescent="0.25">
      <c r="A15" s="164"/>
      <c r="B15" s="165">
        <f>DATE(20,12,1)</f>
        <v>7641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thickBot="1" x14ac:dyDescent="0.25">
      <c r="A16" s="167"/>
      <c r="B16" s="168"/>
      <c r="C16" s="226"/>
      <c r="D16" s="226"/>
      <c r="E16" s="226"/>
      <c r="F16" s="166"/>
      <c r="G16" s="241"/>
      <c r="H16" s="242"/>
    </row>
    <row r="17" spans="1:8" ht="17.25" thickTop="1" thickBot="1" x14ac:dyDescent="0.3">
      <c r="A17" s="169" t="s">
        <v>14</v>
      </c>
      <c r="B17" s="155"/>
      <c r="C17" s="223">
        <f>SUM(C10:C16)</f>
        <v>0</v>
      </c>
      <c r="D17" s="223">
        <f>SUM(D10:D16)</f>
        <v>0</v>
      </c>
      <c r="E17" s="223">
        <f>SUM(E10:E16)</f>
        <v>0</v>
      </c>
      <c r="F17" s="170">
        <v>0</v>
      </c>
      <c r="G17" s="236">
        <v>0</v>
      </c>
      <c r="H17" s="237">
        <v>0</v>
      </c>
    </row>
    <row r="18" spans="1:8" ht="15.75" thickTop="1" x14ac:dyDescent="0.2">
      <c r="A18" s="171"/>
      <c r="B18" s="172"/>
      <c r="C18" s="227"/>
      <c r="D18" s="227"/>
      <c r="E18" s="227"/>
      <c r="F18" s="173"/>
      <c r="G18" s="243"/>
      <c r="H18" s="244"/>
    </row>
    <row r="19" spans="1:8" ht="15.75" x14ac:dyDescent="0.25">
      <c r="A19" s="19" t="s">
        <v>48</v>
      </c>
      <c r="B19" s="165">
        <f>DATE(20,7,1)</f>
        <v>7488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 x14ac:dyDescent="0.25">
      <c r="A20" s="19"/>
      <c r="B20" s="165">
        <f>DATE(20,8,1)</f>
        <v>7519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x14ac:dyDescent="0.25">
      <c r="A21" s="19"/>
      <c r="B21" s="165">
        <f>DATE(20,9,1)</f>
        <v>7550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x14ac:dyDescent="0.25">
      <c r="A22" s="19"/>
      <c r="B22" s="165">
        <f>DATE(20,10,1)</f>
        <v>7580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DATE(20,11,1)</f>
        <v>7611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DATE(20,12,1)</f>
        <v>7641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/>
    </row>
    <row r="25" spans="1:8" ht="15.75" thickBot="1" x14ac:dyDescent="0.25">
      <c r="A25" s="167"/>
      <c r="B25" s="165"/>
      <c r="C25" s="226"/>
      <c r="D25" s="226"/>
      <c r="E25" s="226"/>
      <c r="F25" s="166"/>
      <c r="G25" s="241"/>
      <c r="H25" s="242"/>
    </row>
    <row r="26" spans="1:8" ht="17.25" thickTop="1" thickBot="1" x14ac:dyDescent="0.3">
      <c r="A26" s="169" t="s">
        <v>14</v>
      </c>
      <c r="B26" s="155"/>
      <c r="C26" s="223">
        <f>SUM(C19:C25)</f>
        <v>0</v>
      </c>
      <c r="D26" s="223">
        <f>SUM(D19:D25)</f>
        <v>0</v>
      </c>
      <c r="E26" s="223">
        <f>SUM(E19:E25)</f>
        <v>0</v>
      </c>
      <c r="F26" s="170">
        <v>0</v>
      </c>
      <c r="G26" s="236">
        <v>0</v>
      </c>
      <c r="H26" s="237">
        <v>0</v>
      </c>
    </row>
    <row r="27" spans="1:8" ht="15.75" thickTop="1" x14ac:dyDescent="0.2">
      <c r="A27" s="171"/>
      <c r="B27" s="172"/>
      <c r="C27" s="227"/>
      <c r="D27" s="227"/>
      <c r="E27" s="227"/>
      <c r="F27" s="173"/>
      <c r="G27" s="243"/>
      <c r="H27" s="244"/>
    </row>
    <row r="28" spans="1:8" ht="15.75" x14ac:dyDescent="0.25">
      <c r="A28" s="19" t="s">
        <v>65</v>
      </c>
      <c r="B28" s="165">
        <f>DATE(20,7,1)</f>
        <v>7488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DATE(20,8,1)</f>
        <v>7519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DATE(20,9,1)</f>
        <v>7550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x14ac:dyDescent="0.25">
      <c r="A31" s="19"/>
      <c r="B31" s="165">
        <f>DATE(20,10,1)</f>
        <v>7580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x14ac:dyDescent="0.25">
      <c r="A32" s="19"/>
      <c r="B32" s="165">
        <f>DATE(20,11,1)</f>
        <v>7611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9"/>
      <c r="B33" s="165">
        <f>DATE(20,12,1)</f>
        <v>7641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thickBot="1" x14ac:dyDescent="0.25">
      <c r="A34" s="167"/>
      <c r="B34" s="165"/>
      <c r="C34" s="226"/>
      <c r="D34" s="226"/>
      <c r="E34" s="226"/>
      <c r="F34" s="166"/>
      <c r="G34" s="241"/>
      <c r="H34" s="242"/>
    </row>
    <row r="35" spans="1:8" ht="17.25" thickTop="1" thickBot="1" x14ac:dyDescent="0.3">
      <c r="A35" s="174" t="s">
        <v>14</v>
      </c>
      <c r="B35" s="175"/>
      <c r="C35" s="228">
        <f>SUM(C28:C34)</f>
        <v>0</v>
      </c>
      <c r="D35" s="228">
        <f>SUM(D28:D34)</f>
        <v>0</v>
      </c>
      <c r="E35" s="228">
        <f>SUM(E28:E34)</f>
        <v>0</v>
      </c>
      <c r="F35" s="176">
        <v>0</v>
      </c>
      <c r="G35" s="245">
        <v>0</v>
      </c>
      <c r="H35" s="246">
        <v>0</v>
      </c>
    </row>
    <row r="36" spans="1:8" ht="15.75" thickTop="1" x14ac:dyDescent="0.2">
      <c r="A36" s="167"/>
      <c r="B36" s="168"/>
      <c r="C36" s="226"/>
      <c r="D36" s="226"/>
      <c r="E36" s="226"/>
      <c r="F36" s="166"/>
      <c r="G36" s="241"/>
      <c r="H36" s="242"/>
    </row>
    <row r="37" spans="1:8" ht="15.75" x14ac:dyDescent="0.25">
      <c r="A37" s="177" t="s">
        <v>59</v>
      </c>
      <c r="B37" s="165">
        <f>DATE(20,7,1)</f>
        <v>7488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.75" x14ac:dyDescent="0.25">
      <c r="A38" s="177"/>
      <c r="B38" s="165">
        <f>DATE(20,8,1)</f>
        <v>7519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77"/>
      <c r="B39" s="165">
        <f>DATE(20,9,1)</f>
        <v>7550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x14ac:dyDescent="0.25">
      <c r="A40" s="177"/>
      <c r="B40" s="165">
        <f>DATE(20,10,1)</f>
        <v>7580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77"/>
      <c r="B41" s="165">
        <f>DATE(20,11,1)</f>
        <v>7611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77"/>
      <c r="B42" s="165">
        <f>DATE(20,12,1)</f>
        <v>7641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thickBot="1" x14ac:dyDescent="0.25">
      <c r="A43" s="167"/>
      <c r="B43" s="168"/>
      <c r="C43" s="226"/>
      <c r="D43" s="226"/>
      <c r="E43" s="226"/>
      <c r="F43" s="166"/>
      <c r="G43" s="241"/>
      <c r="H43" s="242"/>
    </row>
    <row r="44" spans="1:8" ht="17.25" thickTop="1" thickBot="1" x14ac:dyDescent="0.3">
      <c r="A44" s="174" t="s">
        <v>14</v>
      </c>
      <c r="B44" s="178"/>
      <c r="C44" s="228">
        <f>SUM(C37:C43)</f>
        <v>0</v>
      </c>
      <c r="D44" s="228">
        <f>SUM(D37:D43)</f>
        <v>0</v>
      </c>
      <c r="E44" s="228">
        <f>SUM(E37:E43)</f>
        <v>0</v>
      </c>
      <c r="F44" s="176">
        <v>0</v>
      </c>
      <c r="G44" s="245">
        <v>0</v>
      </c>
      <c r="H44" s="246">
        <v>0</v>
      </c>
    </row>
    <row r="45" spans="1:8" ht="15.75" thickTop="1" x14ac:dyDescent="0.2">
      <c r="A45" s="167"/>
      <c r="B45" s="168"/>
      <c r="C45" s="226"/>
      <c r="D45" s="226"/>
      <c r="E45" s="226"/>
      <c r="F45" s="166"/>
      <c r="G45" s="241"/>
      <c r="H45" s="242"/>
    </row>
    <row r="46" spans="1:8" ht="15.75" x14ac:dyDescent="0.25">
      <c r="A46" s="164" t="s">
        <v>63</v>
      </c>
      <c r="B46" s="165">
        <f>DATE(20,7,1)</f>
        <v>7488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64"/>
      <c r="B47" s="165">
        <f>DATE(20,8,1)</f>
        <v>7519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64"/>
      <c r="B48" s="165">
        <f>DATE(20,9,1)</f>
        <v>7550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x14ac:dyDescent="0.25">
      <c r="A49" s="164"/>
      <c r="B49" s="165">
        <f>DATE(20,10,1)</f>
        <v>7580</v>
      </c>
      <c r="C49" s="226">
        <v>0</v>
      </c>
      <c r="D49" s="226">
        <v>0</v>
      </c>
      <c r="E49" s="226">
        <v>0</v>
      </c>
      <c r="F49" s="166">
        <v>0</v>
      </c>
      <c r="G49" s="241">
        <v>0</v>
      </c>
      <c r="H49" s="242">
        <v>0</v>
      </c>
    </row>
    <row r="50" spans="1:8" ht="15.75" x14ac:dyDescent="0.25">
      <c r="A50" s="164"/>
      <c r="B50" s="165">
        <f>DATE(20,11,1)</f>
        <v>7611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x14ac:dyDescent="0.25">
      <c r="A51" s="164"/>
      <c r="B51" s="165">
        <f>DATE(20,12,1)</f>
        <v>7641</v>
      </c>
      <c r="C51" s="226"/>
      <c r="D51" s="226"/>
      <c r="E51" s="226"/>
      <c r="F51" s="166"/>
      <c r="G51" s="241"/>
      <c r="H51" s="242"/>
    </row>
    <row r="52" spans="1:8" ht="15.75" thickBot="1" x14ac:dyDescent="0.25">
      <c r="A52" s="167"/>
      <c r="B52" s="165"/>
      <c r="C52" s="226"/>
      <c r="D52" s="226"/>
      <c r="E52" s="226"/>
      <c r="F52" s="166"/>
      <c r="G52" s="241"/>
      <c r="H52" s="242"/>
    </row>
    <row r="53" spans="1:8" ht="17.25" thickTop="1" thickBot="1" x14ac:dyDescent="0.3">
      <c r="A53" s="174" t="s">
        <v>14</v>
      </c>
      <c r="B53" s="175"/>
      <c r="C53" s="228">
        <f>SUM(C46:C52)</f>
        <v>0</v>
      </c>
      <c r="D53" s="230">
        <f>SUM(D46:D52)</f>
        <v>0</v>
      </c>
      <c r="E53" s="271">
        <f>SUM(E46:E52)</f>
        <v>0</v>
      </c>
      <c r="F53" s="176">
        <v>0</v>
      </c>
      <c r="G53" s="245">
        <v>0</v>
      </c>
      <c r="H53" s="246">
        <v>0</v>
      </c>
    </row>
    <row r="54" spans="1:8" ht="15.75" thickTop="1" x14ac:dyDescent="0.2">
      <c r="A54" s="167"/>
      <c r="B54" s="168"/>
      <c r="C54" s="226"/>
      <c r="D54" s="226"/>
      <c r="E54" s="226"/>
      <c r="F54" s="166"/>
      <c r="G54" s="241"/>
      <c r="H54" s="242"/>
    </row>
    <row r="55" spans="1:8" ht="15.75" x14ac:dyDescent="0.25">
      <c r="A55" s="164" t="s">
        <v>68</v>
      </c>
      <c r="B55" s="165">
        <f>DATE(20,7,1)</f>
        <v>7488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x14ac:dyDescent="0.25">
      <c r="A56" s="164"/>
      <c r="B56" s="165">
        <f>DATE(20,8,1)</f>
        <v>7519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 x14ac:dyDescent="0.25">
      <c r="A57" s="164"/>
      <c r="B57" s="165">
        <f>DATE(20,9,1)</f>
        <v>7550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.75" x14ac:dyDescent="0.25">
      <c r="A58" s="164"/>
      <c r="B58" s="165">
        <f>DATE(20,10,1)</f>
        <v>7580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DATE(20,11,1)</f>
        <v>7611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DATE(20,12,1)</f>
        <v>7641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/>
    </row>
    <row r="61" spans="1:8" ht="15.75" thickBot="1" x14ac:dyDescent="0.25">
      <c r="A61" s="167"/>
      <c r="B61" s="165"/>
      <c r="C61" s="226"/>
      <c r="D61" s="226"/>
      <c r="E61" s="226"/>
      <c r="F61" s="166"/>
      <c r="G61" s="241"/>
      <c r="H61" s="242"/>
    </row>
    <row r="62" spans="1:8" ht="17.25" thickTop="1" thickBot="1" x14ac:dyDescent="0.3">
      <c r="A62" s="174" t="s">
        <v>14</v>
      </c>
      <c r="B62" s="175"/>
      <c r="C62" s="228">
        <f>SUM(C55:C61)</f>
        <v>0</v>
      </c>
      <c r="D62" s="230">
        <f>SUM(D55:D61)</f>
        <v>0</v>
      </c>
      <c r="E62" s="271">
        <f>SUM(E55:E61)</f>
        <v>0</v>
      </c>
      <c r="F62" s="176">
        <v>0</v>
      </c>
      <c r="G62" s="245">
        <v>0</v>
      </c>
      <c r="H62" s="246">
        <v>0</v>
      </c>
    </row>
    <row r="63" spans="1:8" ht="15.75" thickTop="1" x14ac:dyDescent="0.2">
      <c r="A63" s="167"/>
      <c r="B63" s="168"/>
      <c r="C63" s="226"/>
      <c r="D63" s="226"/>
      <c r="E63" s="226"/>
      <c r="F63" s="166"/>
      <c r="G63" s="241"/>
      <c r="H63" s="242"/>
    </row>
    <row r="64" spans="1:8" ht="15.75" x14ac:dyDescent="0.25">
      <c r="A64" s="164" t="s">
        <v>66</v>
      </c>
      <c r="B64" s="165">
        <f>DATE(20,7,1)</f>
        <v>7488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 x14ac:dyDescent="0.25">
      <c r="A65" s="164"/>
      <c r="B65" s="165">
        <f>DATE(20,8,1)</f>
        <v>7519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DATE(20,9,1)</f>
        <v>7550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DATE(20,10,1)</f>
        <v>7580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DATE(20,11,1)</f>
        <v>7611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DATE(20,12,1)</f>
        <v>7641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 thickBot="1" x14ac:dyDescent="0.25">
      <c r="A70" s="167"/>
      <c r="B70" s="165"/>
      <c r="C70" s="226"/>
      <c r="D70" s="226"/>
      <c r="E70" s="226"/>
      <c r="F70" s="166"/>
      <c r="G70" s="241"/>
      <c r="H70" s="242"/>
    </row>
    <row r="71" spans="1:8" ht="17.25" thickTop="1" thickBot="1" x14ac:dyDescent="0.3">
      <c r="A71" s="174" t="s">
        <v>14</v>
      </c>
      <c r="B71" s="175"/>
      <c r="C71" s="228">
        <f>SUM(C64:C70)</f>
        <v>0</v>
      </c>
      <c r="D71" s="230">
        <f>SUM(D64:D70)</f>
        <v>0</v>
      </c>
      <c r="E71" s="271">
        <f>SUM(E64:E70)</f>
        <v>0</v>
      </c>
      <c r="F71" s="176">
        <v>0</v>
      </c>
      <c r="G71" s="245">
        <v>0</v>
      </c>
      <c r="H71" s="246">
        <v>0</v>
      </c>
    </row>
    <row r="72" spans="1:8" ht="15.75" thickTop="1" x14ac:dyDescent="0.2">
      <c r="A72" s="167"/>
      <c r="B72" s="168"/>
      <c r="C72" s="226"/>
      <c r="D72" s="226"/>
      <c r="E72" s="226"/>
      <c r="F72" s="166"/>
      <c r="G72" s="241"/>
      <c r="H72" s="242"/>
    </row>
    <row r="73" spans="1:8" ht="15.75" x14ac:dyDescent="0.25">
      <c r="A73" s="164" t="s">
        <v>60</v>
      </c>
      <c r="B73" s="165">
        <f>DATE(20,7,1)</f>
        <v>7488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DATE(20,8,1)</f>
        <v>7519</v>
      </c>
      <c r="C74" s="226">
        <v>2426243.5</v>
      </c>
      <c r="D74" s="226">
        <v>118455</v>
      </c>
      <c r="E74" s="226">
        <v>0</v>
      </c>
      <c r="F74" s="166">
        <v>1</v>
      </c>
      <c r="G74" s="241">
        <f>D74/C74</f>
        <v>4.8822387365489078E-2</v>
      </c>
      <c r="H74" s="242">
        <f>1-G74</f>
        <v>0.95117761263451095</v>
      </c>
    </row>
    <row r="75" spans="1:8" ht="15.75" x14ac:dyDescent="0.25">
      <c r="A75" s="164"/>
      <c r="B75" s="165">
        <f>DATE(20,9,1)</f>
        <v>7550</v>
      </c>
      <c r="C75" s="226">
        <v>1791988</v>
      </c>
      <c r="D75" s="226">
        <v>106241</v>
      </c>
      <c r="E75" s="226">
        <v>0</v>
      </c>
      <c r="F75" s="166">
        <v>1</v>
      </c>
      <c r="G75" s="241">
        <f>D75/C75</f>
        <v>5.9286669330374978E-2</v>
      </c>
      <c r="H75" s="242">
        <f>1-G75</f>
        <v>0.94071333066962504</v>
      </c>
    </row>
    <row r="76" spans="1:8" ht="15.75" x14ac:dyDescent="0.25">
      <c r="A76" s="164"/>
      <c r="B76" s="165">
        <f>DATE(20,10,1)</f>
        <v>7580</v>
      </c>
      <c r="C76" s="226">
        <v>1843163.5</v>
      </c>
      <c r="D76" s="226">
        <v>82618</v>
      </c>
      <c r="E76" s="226">
        <v>0</v>
      </c>
      <c r="F76" s="166">
        <v>1</v>
      </c>
      <c r="G76" s="241">
        <f>D76/C76</f>
        <v>4.4824021309015721E-2</v>
      </c>
      <c r="H76" s="242">
        <f>1-G76</f>
        <v>0.95517597869098425</v>
      </c>
    </row>
    <row r="77" spans="1:8" ht="15.75" x14ac:dyDescent="0.25">
      <c r="A77" s="164"/>
      <c r="B77" s="165">
        <f>DATE(20,11,1)</f>
        <v>7611</v>
      </c>
      <c r="C77" s="226">
        <v>1486394.5</v>
      </c>
      <c r="D77" s="226">
        <v>81702.080000000002</v>
      </c>
      <c r="E77" s="226">
        <v>0</v>
      </c>
      <c r="F77" s="166">
        <v>1</v>
      </c>
      <c r="G77" s="241">
        <f>D77/C77</f>
        <v>5.4966618888861604E-2</v>
      </c>
      <c r="H77" s="242">
        <f>1-G77</f>
        <v>0.94503338111113844</v>
      </c>
    </row>
    <row r="78" spans="1:8" ht="15.75" x14ac:dyDescent="0.25">
      <c r="A78" s="164"/>
      <c r="B78" s="165">
        <f>DATE(20,12,1)</f>
        <v>7641</v>
      </c>
      <c r="C78" s="226">
        <v>2678467</v>
      </c>
      <c r="D78" s="226">
        <v>84775</v>
      </c>
      <c r="E78" s="226">
        <v>0</v>
      </c>
      <c r="F78" s="166">
        <v>1</v>
      </c>
      <c r="G78" s="241">
        <f>D78/C78</f>
        <v>3.1650567283449824E-2</v>
      </c>
      <c r="H78" s="242">
        <f>1-G78</f>
        <v>0.96834943271655016</v>
      </c>
    </row>
    <row r="79" spans="1:8" ht="15.75" thickBot="1" x14ac:dyDescent="0.25">
      <c r="A79" s="167"/>
      <c r="B79" s="165"/>
      <c r="C79" s="226"/>
      <c r="D79" s="226"/>
      <c r="E79" s="226"/>
      <c r="F79" s="166"/>
      <c r="G79" s="241"/>
      <c r="H79" s="242"/>
    </row>
    <row r="80" spans="1:8" ht="17.25" thickTop="1" thickBot="1" x14ac:dyDescent="0.3">
      <c r="A80" s="174" t="s">
        <v>14</v>
      </c>
      <c r="B80" s="175"/>
      <c r="C80" s="228">
        <f>SUM(C73:C79)</f>
        <v>10226256.5</v>
      </c>
      <c r="D80" s="230">
        <f>SUM(D73:D79)</f>
        <v>473791.08</v>
      </c>
      <c r="E80" s="271">
        <f>SUM(E73:E79)</f>
        <v>0</v>
      </c>
      <c r="F80" s="176">
        <v>1</v>
      </c>
      <c r="G80" s="249">
        <f>D80/C80</f>
        <v>4.6330842571766125E-2</v>
      </c>
      <c r="H80" s="270">
        <f>1-G80</f>
        <v>0.95366915742823388</v>
      </c>
    </row>
    <row r="81" spans="1:8" ht="15.75" thickTop="1" x14ac:dyDescent="0.2">
      <c r="A81" s="167"/>
      <c r="B81" s="179"/>
      <c r="C81" s="229"/>
      <c r="D81" s="229"/>
      <c r="E81" s="229"/>
      <c r="F81" s="180"/>
      <c r="G81" s="247"/>
      <c r="H81" s="248"/>
    </row>
    <row r="82" spans="1:8" ht="15.75" x14ac:dyDescent="0.25">
      <c r="A82" s="164" t="s">
        <v>16</v>
      </c>
      <c r="B82" s="165">
        <f>DATE(20,7,1)</f>
        <v>7488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DATE(20,8,1)</f>
        <v>7519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DATE(20,9,1)</f>
        <v>7550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DATE(20,10,1)</f>
        <v>7580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DATE(20,11,1)</f>
        <v>7611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x14ac:dyDescent="0.25">
      <c r="A87" s="164"/>
      <c r="B87" s="165">
        <f>DATE(20,12,1)</f>
        <v>7641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6.5" thickBot="1" x14ac:dyDescent="0.3">
      <c r="A88" s="164"/>
      <c r="B88" s="165"/>
      <c r="C88" s="226"/>
      <c r="D88" s="226"/>
      <c r="E88" s="226"/>
      <c r="F88" s="166"/>
      <c r="G88" s="241"/>
      <c r="H88" s="242"/>
    </row>
    <row r="89" spans="1:8" ht="17.25" thickTop="1" thickBot="1" x14ac:dyDescent="0.3">
      <c r="A89" s="174" t="s">
        <v>14</v>
      </c>
      <c r="B89" s="181"/>
      <c r="C89" s="228">
        <f>SUM(C82:C88)</f>
        <v>0</v>
      </c>
      <c r="D89" s="228">
        <f>SUM(D82:D88)</f>
        <v>0</v>
      </c>
      <c r="E89" s="228">
        <f>SUM(E82:E88)</f>
        <v>0</v>
      </c>
      <c r="F89" s="176">
        <v>0</v>
      </c>
      <c r="G89" s="245">
        <v>0</v>
      </c>
      <c r="H89" s="246">
        <v>0</v>
      </c>
    </row>
    <row r="90" spans="1:8" ht="15.75" thickTop="1" x14ac:dyDescent="0.2">
      <c r="A90" s="171"/>
      <c r="B90" s="172"/>
      <c r="C90" s="227"/>
      <c r="D90" s="227"/>
      <c r="E90" s="227"/>
      <c r="F90" s="173"/>
      <c r="G90" s="243"/>
      <c r="H90" s="244"/>
    </row>
    <row r="91" spans="1:8" ht="15.75" x14ac:dyDescent="0.25">
      <c r="A91" s="164" t="s">
        <v>54</v>
      </c>
      <c r="B91" s="165">
        <f>DATE(20,7,1)</f>
        <v>7488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.75" x14ac:dyDescent="0.25">
      <c r="A92" s="164"/>
      <c r="B92" s="165">
        <f>DATE(20,8,1)</f>
        <v>7519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.75" x14ac:dyDescent="0.25">
      <c r="A93" s="164"/>
      <c r="B93" s="165">
        <f>DATE(20,9,1)</f>
        <v>7550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.75" x14ac:dyDescent="0.25">
      <c r="A94" s="164"/>
      <c r="B94" s="165">
        <f>DATE(20,10,1)</f>
        <v>7580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DATE(20,11,1)</f>
        <v>7611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DATE(20,12,1)</f>
        <v>7641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thickBot="1" x14ac:dyDescent="0.25">
      <c r="A97" s="167"/>
      <c r="B97" s="168"/>
      <c r="C97" s="226"/>
      <c r="D97" s="226"/>
      <c r="E97" s="226"/>
      <c r="F97" s="166"/>
      <c r="G97" s="241"/>
      <c r="H97" s="242"/>
    </row>
    <row r="98" spans="1:8" ht="17.25" thickTop="1" thickBot="1" x14ac:dyDescent="0.3">
      <c r="A98" s="174" t="s">
        <v>14</v>
      </c>
      <c r="B98" s="175"/>
      <c r="C98" s="228">
        <f>SUM(C91:C97)</f>
        <v>0</v>
      </c>
      <c r="D98" s="228">
        <f>SUM(D91:D97)</f>
        <v>0</v>
      </c>
      <c r="E98" s="228">
        <f>SUM(E91:E97)</f>
        <v>0</v>
      </c>
      <c r="F98" s="176">
        <v>0</v>
      </c>
      <c r="G98" s="245">
        <v>0</v>
      </c>
      <c r="H98" s="246">
        <v>0</v>
      </c>
    </row>
    <row r="99" spans="1:8" ht="15.75" thickTop="1" x14ac:dyDescent="0.2">
      <c r="A99" s="167"/>
      <c r="B99" s="168"/>
      <c r="C99" s="226"/>
      <c r="D99" s="226"/>
      <c r="E99" s="226"/>
      <c r="F99" s="166"/>
      <c r="G99" s="241"/>
      <c r="H99" s="242"/>
    </row>
    <row r="100" spans="1:8" ht="15.75" x14ac:dyDescent="0.25">
      <c r="A100" s="164" t="s">
        <v>55</v>
      </c>
      <c r="B100" s="165">
        <f>DATE(20,7,1)</f>
        <v>7488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DATE(20,8,1)</f>
        <v>7519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DATE(20,9,1)</f>
        <v>7550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x14ac:dyDescent="0.25">
      <c r="A103" s="164"/>
      <c r="B103" s="165">
        <f>DATE(20,10,1)</f>
        <v>7580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 x14ac:dyDescent="0.25">
      <c r="A104" s="164"/>
      <c r="B104" s="165">
        <f>DATE(20,11,1)</f>
        <v>7611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 x14ac:dyDescent="0.25">
      <c r="A105" s="164"/>
      <c r="B105" s="165">
        <f>DATE(20,12,1)</f>
        <v>7641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5.75" thickBot="1" x14ac:dyDescent="0.25">
      <c r="A106" s="167"/>
      <c r="B106" s="168"/>
      <c r="C106" s="226"/>
      <c r="D106" s="226"/>
      <c r="E106" s="226"/>
      <c r="F106" s="166"/>
      <c r="G106" s="241"/>
      <c r="H106" s="242"/>
    </row>
    <row r="107" spans="1:8" ht="17.25" thickTop="1" thickBot="1" x14ac:dyDescent="0.3">
      <c r="A107" s="182" t="s">
        <v>14</v>
      </c>
      <c r="B107" s="183"/>
      <c r="C107" s="230">
        <f>SUM(C100:C106)</f>
        <v>0</v>
      </c>
      <c r="D107" s="230">
        <f>SUM(D100:D106)</f>
        <v>0</v>
      </c>
      <c r="E107" s="230">
        <f>SUM(E100:E106)</f>
        <v>0</v>
      </c>
      <c r="F107" s="176">
        <v>0</v>
      </c>
      <c r="G107" s="245">
        <v>0</v>
      </c>
      <c r="H107" s="246">
        <v>0</v>
      </c>
    </row>
    <row r="108" spans="1:8" ht="15.75" thickTop="1" x14ac:dyDescent="0.2">
      <c r="A108" s="167"/>
      <c r="B108" s="168"/>
      <c r="C108" s="226"/>
      <c r="D108" s="226"/>
      <c r="E108" s="226"/>
      <c r="F108" s="166"/>
      <c r="G108" s="241"/>
      <c r="H108" s="242"/>
    </row>
    <row r="109" spans="1:8" ht="15.75" x14ac:dyDescent="0.25">
      <c r="A109" s="164" t="s">
        <v>37</v>
      </c>
      <c r="B109" s="165">
        <f>DATE(20,7,1)</f>
        <v>7488</v>
      </c>
      <c r="C109" s="226">
        <v>0</v>
      </c>
      <c r="D109" s="226">
        <v>0</v>
      </c>
      <c r="E109" s="226">
        <v>0</v>
      </c>
      <c r="F109" s="166">
        <v>0</v>
      </c>
      <c r="G109" s="241">
        <v>0</v>
      </c>
      <c r="H109" s="242">
        <v>0</v>
      </c>
    </row>
    <row r="110" spans="1:8" ht="15.75" x14ac:dyDescent="0.25">
      <c r="A110" s="164"/>
      <c r="B110" s="165">
        <f>DATE(20,8,1)</f>
        <v>7519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x14ac:dyDescent="0.25">
      <c r="A111" s="164"/>
      <c r="B111" s="165">
        <f>DATE(20,9,1)</f>
        <v>7550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.75" x14ac:dyDescent="0.25">
      <c r="A112" s="164"/>
      <c r="B112" s="165">
        <f>DATE(20,10,1)</f>
        <v>7580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.75" x14ac:dyDescent="0.25">
      <c r="A113" s="164"/>
      <c r="B113" s="165">
        <f>DATE(20,11,1)</f>
        <v>7611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.75" x14ac:dyDescent="0.25">
      <c r="A114" s="164"/>
      <c r="B114" s="165">
        <f>DATE(20,12,1)</f>
        <v>7641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.75" thickBot="1" x14ac:dyDescent="0.25">
      <c r="A115" s="167"/>
      <c r="B115" s="168"/>
      <c r="C115" s="226"/>
      <c r="D115" s="226"/>
      <c r="E115" s="226"/>
      <c r="F115" s="166"/>
      <c r="G115" s="241"/>
      <c r="H115" s="242"/>
    </row>
    <row r="116" spans="1:8" ht="17.25" thickTop="1" thickBot="1" x14ac:dyDescent="0.3">
      <c r="A116" s="174" t="s">
        <v>14</v>
      </c>
      <c r="B116" s="175"/>
      <c r="C116" s="228">
        <f>SUM(C109:C115)</f>
        <v>0</v>
      </c>
      <c r="D116" s="228">
        <f>SUM(D109:D115)</f>
        <v>0</v>
      </c>
      <c r="E116" s="228">
        <f>SUM(E109:E115)</f>
        <v>0</v>
      </c>
      <c r="F116" s="176">
        <v>0</v>
      </c>
      <c r="G116" s="245">
        <v>0</v>
      </c>
      <c r="H116" s="246">
        <v>0</v>
      </c>
    </row>
    <row r="117" spans="1:8" ht="15.75" thickTop="1" x14ac:dyDescent="0.2">
      <c r="A117" s="167"/>
      <c r="B117" s="168"/>
      <c r="C117" s="226"/>
      <c r="D117" s="226"/>
      <c r="E117" s="226"/>
      <c r="F117" s="166"/>
      <c r="G117" s="241"/>
      <c r="H117" s="242"/>
    </row>
    <row r="118" spans="1:8" ht="15.75" x14ac:dyDescent="0.25">
      <c r="A118" s="164" t="s">
        <v>58</v>
      </c>
      <c r="B118" s="165">
        <f>DATE(20,7,1)</f>
        <v>7488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 x14ac:dyDescent="0.25">
      <c r="A119" s="164"/>
      <c r="B119" s="165">
        <f>DATE(20,8,1)</f>
        <v>7519</v>
      </c>
      <c r="C119" s="226">
        <v>0</v>
      </c>
      <c r="D119" s="226">
        <v>0</v>
      </c>
      <c r="E119" s="226">
        <v>0</v>
      </c>
      <c r="F119" s="166">
        <v>0</v>
      </c>
      <c r="G119" s="241">
        <v>0</v>
      </c>
      <c r="H119" s="242">
        <v>0</v>
      </c>
    </row>
    <row r="120" spans="1:8" ht="15.75" x14ac:dyDescent="0.25">
      <c r="A120" s="164"/>
      <c r="B120" s="165">
        <f>DATE(20,9,1)</f>
        <v>7550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 x14ac:dyDescent="0.25">
      <c r="A121" s="164"/>
      <c r="B121" s="165">
        <f>DATE(20,10,1)</f>
        <v>7580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 x14ac:dyDescent="0.25">
      <c r="A122" s="164"/>
      <c r="B122" s="165">
        <f>DATE(20,11,1)</f>
        <v>7611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DATE(20,12,1)</f>
        <v>7641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thickBot="1" x14ac:dyDescent="0.25">
      <c r="A124" s="167"/>
      <c r="B124" s="168"/>
      <c r="C124" s="226"/>
      <c r="D124" s="226"/>
      <c r="E124" s="226"/>
      <c r="F124" s="166"/>
      <c r="G124" s="241"/>
      <c r="H124" s="242"/>
    </row>
    <row r="125" spans="1:8" ht="17.25" thickTop="1" thickBot="1" x14ac:dyDescent="0.3">
      <c r="A125" s="169" t="s">
        <v>14</v>
      </c>
      <c r="B125" s="155"/>
      <c r="C125" s="223">
        <f>SUM(C118:C124)</f>
        <v>0</v>
      </c>
      <c r="D125" s="223">
        <f>SUM(D118:D124)</f>
        <v>0</v>
      </c>
      <c r="E125" s="223">
        <f>SUM(E118:E124)</f>
        <v>0</v>
      </c>
      <c r="F125" s="176">
        <v>0</v>
      </c>
      <c r="G125" s="245">
        <v>0</v>
      </c>
      <c r="H125" s="246">
        <v>0</v>
      </c>
    </row>
    <row r="126" spans="1:8" ht="16.5" thickTop="1" thickBot="1" x14ac:dyDescent="0.25">
      <c r="A126" s="171"/>
      <c r="B126" s="172"/>
      <c r="C126" s="227"/>
      <c r="D126" s="227"/>
      <c r="E126" s="227"/>
      <c r="F126" s="173"/>
      <c r="G126" s="243"/>
      <c r="H126" s="244"/>
    </row>
    <row r="127" spans="1:8" ht="17.25" thickTop="1" thickBot="1" x14ac:dyDescent="0.3">
      <c r="A127" s="184" t="s">
        <v>38</v>
      </c>
      <c r="B127" s="155"/>
      <c r="C127" s="223">
        <f>C125+C116+C89+C71+C53+C35+C17+C44+C107+C26+C80+C98+C62</f>
        <v>10226256.5</v>
      </c>
      <c r="D127" s="223">
        <f>D125+D116+D89+D71+D53+D35+D17+D44+D107+D26+D80+D98+D62</f>
        <v>473791.08</v>
      </c>
      <c r="E127" s="223">
        <f>E125+E116+E89+E71+E53+E35+E17+E44+E107+E26+E80+E98+E62</f>
        <v>0</v>
      </c>
      <c r="F127" s="170">
        <v>1</v>
      </c>
      <c r="G127" s="236">
        <f>D127/C127</f>
        <v>4.6330842571766125E-2</v>
      </c>
      <c r="H127" s="237">
        <f>1-G127</f>
        <v>0.95366915742823388</v>
      </c>
    </row>
    <row r="128" spans="1:8" ht="17.25" thickTop="1" thickBot="1" x14ac:dyDescent="0.3">
      <c r="A128" s="184"/>
      <c r="B128" s="155"/>
      <c r="C128" s="223"/>
      <c r="D128" s="223"/>
      <c r="E128" s="223"/>
      <c r="F128" s="170"/>
      <c r="G128" s="236"/>
      <c r="H128" s="237"/>
    </row>
    <row r="129" spans="1:8" ht="17.25" thickTop="1" thickBot="1" x14ac:dyDescent="0.3">
      <c r="A129" s="184" t="s">
        <v>39</v>
      </c>
      <c r="B129" s="155"/>
      <c r="C129" s="223">
        <f>SUM(C15+C24+C33+C42+C51+C60+C69+C78+C87+C96+C105+C114+C123)</f>
        <v>2678467</v>
      </c>
      <c r="D129" s="223">
        <f>SUM(D15+D24+D33+D42+D51+D60+D69+D78+D87+D96+D105+D114+D123)</f>
        <v>84775</v>
      </c>
      <c r="E129" s="223">
        <f>SUM(E15+E24+E33+E42+E51+E60+E69+E78+E87+E96+E105+E114+E123)</f>
        <v>0</v>
      </c>
      <c r="F129" s="170">
        <v>1</v>
      </c>
      <c r="G129" s="236">
        <f>D129/C129</f>
        <v>3.1650567283449824E-2</v>
      </c>
      <c r="H129" s="246">
        <f>1-G129</f>
        <v>0.96834943271655016</v>
      </c>
    </row>
    <row r="130" spans="1:8" ht="16.5" thickTop="1" x14ac:dyDescent="0.25">
      <c r="A130" s="185"/>
      <c r="B130" s="186"/>
      <c r="C130" s="231"/>
      <c r="D130" s="231"/>
      <c r="E130" s="231"/>
      <c r="F130" s="187"/>
      <c r="G130" s="250"/>
      <c r="H130" s="250"/>
    </row>
    <row r="131" spans="1:8" ht="18.75" x14ac:dyDescent="0.3">
      <c r="A131" s="188" t="s">
        <v>49</v>
      </c>
      <c r="B131" s="189"/>
      <c r="C131" s="232"/>
      <c r="D131" s="232"/>
      <c r="E131" s="232"/>
      <c r="F131" s="190"/>
      <c r="G131" s="251"/>
      <c r="H131" s="251"/>
    </row>
    <row r="132" spans="1:8" ht="15.75" x14ac:dyDescent="0.25">
      <c r="A132" s="191"/>
      <c r="B132" s="189"/>
      <c r="C132" s="232"/>
      <c r="D132" s="232"/>
      <c r="E132" s="232"/>
      <c r="F132" s="190"/>
      <c r="G132" s="257"/>
      <c r="H132" s="257"/>
    </row>
  </sheetData>
  <printOptions horizontalCentered="1"/>
  <pageMargins left="0.7" right="0.45" top="0.25" bottom="0.25" header="0.3" footer="0.3"/>
  <pageSetup scale="65" orientation="landscape" r:id="rId1"/>
  <rowBreaks count="2" manualBreakCount="2">
    <brk id="53" max="16383" man="1"/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33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DATE(20,7,1)</f>
        <v>7488</v>
      </c>
      <c r="C10" s="226">
        <v>117848324.83</v>
      </c>
      <c r="D10" s="226">
        <v>11655862.98</v>
      </c>
      <c r="E10" s="226">
        <v>12400602.17</v>
      </c>
      <c r="F10" s="166">
        <f t="shared" ref="F10:F15" si="0">(+D10-E10)/E10</f>
        <v>-6.0056695617709627E-2</v>
      </c>
      <c r="G10" s="241">
        <f t="shared" ref="G10:G15" si="1">D10/C10</f>
        <v>9.8905631427633423E-2</v>
      </c>
      <c r="H10" s="242">
        <f t="shared" ref="H10:H15" si="2">1-G10</f>
        <v>0.90109436857236658</v>
      </c>
      <c r="I10" s="157"/>
    </row>
    <row r="11" spans="1:9" ht="15.75" x14ac:dyDescent="0.25">
      <c r="A11" s="164"/>
      <c r="B11" s="165">
        <f>DATE(20,8,1)</f>
        <v>7519</v>
      </c>
      <c r="C11" s="226">
        <v>114424791.59</v>
      </c>
      <c r="D11" s="226">
        <v>11056944.539999999</v>
      </c>
      <c r="E11" s="226">
        <v>12656746.98</v>
      </c>
      <c r="F11" s="166">
        <f t="shared" si="0"/>
        <v>-0.12639918002058387</v>
      </c>
      <c r="G11" s="241">
        <f t="shared" si="1"/>
        <v>9.6630672307611229E-2</v>
      </c>
      <c r="H11" s="242">
        <f t="shared" si="2"/>
        <v>0.90336932769238876</v>
      </c>
      <c r="I11" s="157"/>
    </row>
    <row r="12" spans="1:9" ht="15.75" x14ac:dyDescent="0.25">
      <c r="A12" s="164"/>
      <c r="B12" s="165">
        <f>DATE(20,9,1)</f>
        <v>7550</v>
      </c>
      <c r="C12" s="226">
        <v>114212855.16</v>
      </c>
      <c r="D12" s="226">
        <v>11050997.59</v>
      </c>
      <c r="E12" s="226">
        <v>11070519.380000001</v>
      </c>
      <c r="F12" s="166">
        <f t="shared" si="0"/>
        <v>-1.7634032631991081E-3</v>
      </c>
      <c r="G12" s="241">
        <f t="shared" si="1"/>
        <v>9.6757913761272615E-2</v>
      </c>
      <c r="H12" s="242">
        <f t="shared" si="2"/>
        <v>0.90324208623872737</v>
      </c>
      <c r="I12" s="157"/>
    </row>
    <row r="13" spans="1:9" ht="15.75" x14ac:dyDescent="0.25">
      <c r="A13" s="164"/>
      <c r="B13" s="165">
        <f>DATE(20,10,1)</f>
        <v>7580</v>
      </c>
      <c r="C13" s="226">
        <v>116152341.93000001</v>
      </c>
      <c r="D13" s="226">
        <v>11431719.140000001</v>
      </c>
      <c r="E13" s="226">
        <v>11529928.41</v>
      </c>
      <c r="F13" s="166">
        <f t="shared" si="0"/>
        <v>-8.5177692790201417E-3</v>
      </c>
      <c r="G13" s="241">
        <f t="shared" si="1"/>
        <v>9.8420048619333081E-2</v>
      </c>
      <c r="H13" s="242">
        <f t="shared" si="2"/>
        <v>0.90157995138066693</v>
      </c>
      <c r="I13" s="157"/>
    </row>
    <row r="14" spans="1:9" ht="15.75" x14ac:dyDescent="0.25">
      <c r="A14" s="164"/>
      <c r="B14" s="165">
        <f>DATE(20,11,1)</f>
        <v>7611</v>
      </c>
      <c r="C14" s="226">
        <v>102308816.98999999</v>
      </c>
      <c r="D14" s="226">
        <v>9830852.8200000003</v>
      </c>
      <c r="E14" s="226">
        <v>12272643.01</v>
      </c>
      <c r="F14" s="166">
        <f t="shared" si="0"/>
        <v>-0.19896204819209515</v>
      </c>
      <c r="G14" s="241">
        <f t="shared" si="1"/>
        <v>9.6089986271280028E-2</v>
      </c>
      <c r="H14" s="242">
        <f t="shared" si="2"/>
        <v>0.90391001372871993</v>
      </c>
      <c r="I14" s="157"/>
    </row>
    <row r="15" spans="1:9" ht="15.75" x14ac:dyDescent="0.25">
      <c r="A15" s="164"/>
      <c r="B15" s="165">
        <f>DATE(20,12,1)</f>
        <v>7641</v>
      </c>
      <c r="C15" s="226">
        <v>105823491.84</v>
      </c>
      <c r="D15" s="226">
        <v>10848180.109999999</v>
      </c>
      <c r="E15" s="226">
        <v>12792439.390000001</v>
      </c>
      <c r="F15" s="166">
        <f t="shared" si="0"/>
        <v>-0.15198502965117439</v>
      </c>
      <c r="G15" s="241">
        <f t="shared" si="1"/>
        <v>0.10251202187130549</v>
      </c>
      <c r="H15" s="242">
        <f t="shared" si="2"/>
        <v>0.89748797812869452</v>
      </c>
      <c r="I15" s="157"/>
    </row>
    <row r="16" spans="1:9" ht="15.75" thickBot="1" x14ac:dyDescent="0.25">
      <c r="A16" s="167"/>
      <c r="B16" s="168"/>
      <c r="C16" s="226"/>
      <c r="D16" s="226"/>
      <c r="E16" s="226"/>
      <c r="F16" s="166"/>
      <c r="G16" s="241"/>
      <c r="H16" s="242"/>
      <c r="I16" s="157"/>
    </row>
    <row r="17" spans="1:9" ht="17.25" thickTop="1" thickBot="1" x14ac:dyDescent="0.3">
      <c r="A17" s="169" t="s">
        <v>14</v>
      </c>
      <c r="B17" s="155"/>
      <c r="C17" s="223">
        <f>SUM(C10:C16)</f>
        <v>670770622.34000003</v>
      </c>
      <c r="D17" s="223">
        <f>SUM(D10:D16)</f>
        <v>65874557.18</v>
      </c>
      <c r="E17" s="223">
        <f>SUM(E10:E16)</f>
        <v>72722879.340000004</v>
      </c>
      <c r="F17" s="170">
        <f>(+D17-E17)/E17</f>
        <v>-9.4170118429747027E-2</v>
      </c>
      <c r="G17" s="236">
        <f>D17/C17</f>
        <v>9.820727829462024E-2</v>
      </c>
      <c r="H17" s="237">
        <f>1-G17</f>
        <v>0.90179272170537972</v>
      </c>
      <c r="I17" s="157"/>
    </row>
    <row r="18" spans="1:9" ht="15.75" thickTop="1" x14ac:dyDescent="0.2">
      <c r="A18" s="171"/>
      <c r="B18" s="172"/>
      <c r="C18" s="227"/>
      <c r="D18" s="227"/>
      <c r="E18" s="227"/>
      <c r="F18" s="173"/>
      <c r="G18" s="243"/>
      <c r="H18" s="244"/>
      <c r="I18" s="157"/>
    </row>
    <row r="19" spans="1:9" ht="15.75" x14ac:dyDescent="0.25">
      <c r="A19" s="19" t="s">
        <v>48</v>
      </c>
      <c r="B19" s="165">
        <f>DATE(20,7,1)</f>
        <v>7488</v>
      </c>
      <c r="C19" s="226">
        <v>50404182.520000003</v>
      </c>
      <c r="D19" s="226">
        <v>5066109.03</v>
      </c>
      <c r="E19" s="226">
        <v>6237251.8300000001</v>
      </c>
      <c r="F19" s="166">
        <f t="shared" ref="F19:F24" si="3">(+D19-E19)/E19</f>
        <v>-0.1877658353262289</v>
      </c>
      <c r="G19" s="241">
        <f t="shared" ref="G19:G24" si="4">D19/C19</f>
        <v>0.10050969536089205</v>
      </c>
      <c r="H19" s="242">
        <f t="shared" ref="H19:H24" si="5">1-G19</f>
        <v>0.89949030463910795</v>
      </c>
      <c r="I19" s="157"/>
    </row>
    <row r="20" spans="1:9" ht="15.75" x14ac:dyDescent="0.25">
      <c r="A20" s="19"/>
      <c r="B20" s="165">
        <f>DATE(20,8,1)</f>
        <v>7519</v>
      </c>
      <c r="C20" s="226">
        <v>55094697.780000001</v>
      </c>
      <c r="D20" s="226">
        <v>5468550.7300000004</v>
      </c>
      <c r="E20" s="226">
        <v>6248302.3499999996</v>
      </c>
      <c r="F20" s="166">
        <f t="shared" si="3"/>
        <v>-0.12479415628790742</v>
      </c>
      <c r="G20" s="241">
        <f t="shared" si="4"/>
        <v>9.925729608022546E-2</v>
      </c>
      <c r="H20" s="242">
        <f t="shared" si="5"/>
        <v>0.90074270391977451</v>
      </c>
      <c r="I20" s="157"/>
    </row>
    <row r="21" spans="1:9" ht="15.75" x14ac:dyDescent="0.25">
      <c r="A21" s="19"/>
      <c r="B21" s="165">
        <f>DATE(20,9,1)</f>
        <v>7550</v>
      </c>
      <c r="C21" s="226">
        <v>55214801.950000003</v>
      </c>
      <c r="D21" s="226">
        <v>5506925.1600000001</v>
      </c>
      <c r="E21" s="226">
        <v>5841517.5999999996</v>
      </c>
      <c r="F21" s="166">
        <f t="shared" si="3"/>
        <v>-5.727834150495404E-2</v>
      </c>
      <c r="G21" s="241">
        <f t="shared" si="4"/>
        <v>9.9736392516391159E-2</v>
      </c>
      <c r="H21" s="242">
        <f t="shared" si="5"/>
        <v>0.90026360748360879</v>
      </c>
      <c r="I21" s="157"/>
    </row>
    <row r="22" spans="1:9" ht="15.75" x14ac:dyDescent="0.25">
      <c r="A22" s="19"/>
      <c r="B22" s="165">
        <f>DATE(20,10,1)</f>
        <v>7580</v>
      </c>
      <c r="C22" s="226">
        <v>53988473.469999999</v>
      </c>
      <c r="D22" s="226">
        <v>5104255.3899999997</v>
      </c>
      <c r="E22" s="226">
        <v>5457854.2400000002</v>
      </c>
      <c r="F22" s="166">
        <f t="shared" si="3"/>
        <v>-6.4787155253893433E-2</v>
      </c>
      <c r="G22" s="241">
        <f t="shared" si="4"/>
        <v>9.4543428660495518E-2</v>
      </c>
      <c r="H22" s="242">
        <f t="shared" si="5"/>
        <v>0.90545657133950452</v>
      </c>
      <c r="I22" s="157"/>
    </row>
    <row r="23" spans="1:9" ht="15.75" x14ac:dyDescent="0.25">
      <c r="A23" s="19"/>
      <c r="B23" s="165">
        <f>DATE(20,11,1)</f>
        <v>7611</v>
      </c>
      <c r="C23" s="226">
        <v>49119685.869999997</v>
      </c>
      <c r="D23" s="226">
        <v>4814628.37</v>
      </c>
      <c r="E23" s="226">
        <v>5836194.6699999999</v>
      </c>
      <c r="F23" s="166">
        <f t="shared" si="3"/>
        <v>-0.17503979181009735</v>
      </c>
      <c r="G23" s="241">
        <f t="shared" si="4"/>
        <v>9.8018305384573914E-2</v>
      </c>
      <c r="H23" s="242">
        <f t="shared" si="5"/>
        <v>0.9019816946154261</v>
      </c>
      <c r="I23" s="157"/>
    </row>
    <row r="24" spans="1:9" ht="15.75" x14ac:dyDescent="0.25">
      <c r="A24" s="19"/>
      <c r="B24" s="165">
        <f>DATE(20,12,1)</f>
        <v>7641</v>
      </c>
      <c r="C24" s="226">
        <v>52195306.520000003</v>
      </c>
      <c r="D24" s="226">
        <v>5255704.49</v>
      </c>
      <c r="E24" s="226">
        <v>5543658.9900000002</v>
      </c>
      <c r="F24" s="166">
        <f t="shared" si="3"/>
        <v>-5.1943039880236207E-2</v>
      </c>
      <c r="G24" s="241">
        <f t="shared" si="4"/>
        <v>0.10069304771658232</v>
      </c>
      <c r="H24" s="242">
        <f t="shared" si="5"/>
        <v>0.89930695228341773</v>
      </c>
      <c r="I24" s="157"/>
    </row>
    <row r="25" spans="1:9" ht="15.75" thickBot="1" x14ac:dyDescent="0.25">
      <c r="A25" s="167"/>
      <c r="B25" s="165"/>
      <c r="C25" s="226"/>
      <c r="D25" s="226"/>
      <c r="E25" s="226"/>
      <c r="F25" s="166"/>
      <c r="G25" s="241"/>
      <c r="H25" s="242"/>
      <c r="I25" s="157"/>
    </row>
    <row r="26" spans="1:9" ht="17.25" thickTop="1" thickBot="1" x14ac:dyDescent="0.3">
      <c r="A26" s="169" t="s">
        <v>14</v>
      </c>
      <c r="B26" s="155"/>
      <c r="C26" s="223">
        <f>SUM(C19:C25)</f>
        <v>316017148.11000001</v>
      </c>
      <c r="D26" s="223">
        <f>SUM(D19:D25)</f>
        <v>31216173.170000002</v>
      </c>
      <c r="E26" s="223">
        <f>SUM(E19:E25)</f>
        <v>35164779.680000007</v>
      </c>
      <c r="F26" s="170">
        <f>(+D26-E26)/E26</f>
        <v>-0.11228867480281067</v>
      </c>
      <c r="G26" s="236">
        <f>D26/C26</f>
        <v>9.8779997720674959E-2</v>
      </c>
      <c r="H26" s="237">
        <f>1-G26</f>
        <v>0.90122000227932508</v>
      </c>
      <c r="I26" s="157"/>
    </row>
    <row r="27" spans="1:9" ht="15.75" thickTop="1" x14ac:dyDescent="0.2">
      <c r="A27" s="171"/>
      <c r="B27" s="172"/>
      <c r="C27" s="227"/>
      <c r="D27" s="227"/>
      <c r="E27" s="227"/>
      <c r="F27" s="173"/>
      <c r="G27" s="243"/>
      <c r="H27" s="244"/>
      <c r="I27" s="157"/>
    </row>
    <row r="28" spans="1:9" ht="15.75" x14ac:dyDescent="0.25">
      <c r="A28" s="19" t="s">
        <v>65</v>
      </c>
      <c r="B28" s="165">
        <f>DATE(20,7,1)</f>
        <v>7488</v>
      </c>
      <c r="C28" s="226">
        <v>28855708.969999999</v>
      </c>
      <c r="D28" s="226">
        <v>3105687.6</v>
      </c>
      <c r="E28" s="226">
        <v>2967073.27</v>
      </c>
      <c r="F28" s="166">
        <f t="shared" ref="F28:F33" si="6">(+D28-E28)/E28</f>
        <v>4.6717528482200267E-2</v>
      </c>
      <c r="G28" s="241">
        <f t="shared" ref="G28:G33" si="7">D28/C28</f>
        <v>0.10762818557772556</v>
      </c>
      <c r="H28" s="242">
        <f t="shared" ref="H28:H33" si="8">1-G28</f>
        <v>0.89237181442227442</v>
      </c>
      <c r="I28" s="157"/>
    </row>
    <row r="29" spans="1:9" ht="15.75" x14ac:dyDescent="0.25">
      <c r="A29" s="19"/>
      <c r="B29" s="165">
        <f>DATE(20,8,1)</f>
        <v>7519</v>
      </c>
      <c r="C29" s="226">
        <v>29064729.829999998</v>
      </c>
      <c r="D29" s="226">
        <v>3031801</v>
      </c>
      <c r="E29" s="226">
        <v>2916117.84</v>
      </c>
      <c r="F29" s="166">
        <f t="shared" si="6"/>
        <v>3.9670262433564807E-2</v>
      </c>
      <c r="G29" s="241">
        <f t="shared" si="7"/>
        <v>0.10431203103325046</v>
      </c>
      <c r="H29" s="242">
        <f t="shared" si="8"/>
        <v>0.89568796896674951</v>
      </c>
      <c r="I29" s="157"/>
    </row>
    <row r="30" spans="1:9" ht="15.75" x14ac:dyDescent="0.25">
      <c r="A30" s="19"/>
      <c r="B30" s="165">
        <f>DATE(20,9,1)</f>
        <v>7550</v>
      </c>
      <c r="C30" s="226">
        <v>27838192.809999999</v>
      </c>
      <c r="D30" s="226">
        <v>2818231.18</v>
      </c>
      <c r="E30" s="226">
        <v>2810959.49</v>
      </c>
      <c r="F30" s="166">
        <f t="shared" si="6"/>
        <v>2.5869067220175212E-3</v>
      </c>
      <c r="G30" s="241">
        <f t="shared" si="7"/>
        <v>0.10123613983259858</v>
      </c>
      <c r="H30" s="242">
        <f t="shared" si="8"/>
        <v>0.8987638601674014</v>
      </c>
      <c r="I30" s="157"/>
    </row>
    <row r="31" spans="1:9" ht="15.75" x14ac:dyDescent="0.25">
      <c r="A31" s="19"/>
      <c r="B31" s="165">
        <f>DATE(20,10,1)</f>
        <v>7580</v>
      </c>
      <c r="C31" s="226">
        <v>28682754.149999999</v>
      </c>
      <c r="D31" s="226">
        <v>2969140.93</v>
      </c>
      <c r="E31" s="226">
        <v>2793135.18</v>
      </c>
      <c r="F31" s="166">
        <f t="shared" si="6"/>
        <v>6.3013688438810181E-2</v>
      </c>
      <c r="G31" s="241">
        <f t="shared" si="7"/>
        <v>0.10351659099654488</v>
      </c>
      <c r="H31" s="242">
        <f t="shared" si="8"/>
        <v>0.89648340900345513</v>
      </c>
      <c r="I31" s="157"/>
    </row>
    <row r="32" spans="1:9" ht="15.75" x14ac:dyDescent="0.25">
      <c r="A32" s="19"/>
      <c r="B32" s="165">
        <f>DATE(20,11,1)</f>
        <v>7611</v>
      </c>
      <c r="C32" s="226">
        <v>25814394.190000001</v>
      </c>
      <c r="D32" s="226">
        <v>2745164.62</v>
      </c>
      <c r="E32" s="226">
        <v>2801393.45</v>
      </c>
      <c r="F32" s="166">
        <f t="shared" si="6"/>
        <v>-2.007173608548277E-2</v>
      </c>
      <c r="G32" s="241">
        <f t="shared" si="7"/>
        <v>0.10634239950761362</v>
      </c>
      <c r="H32" s="242">
        <f t="shared" si="8"/>
        <v>0.89365760049238641</v>
      </c>
      <c r="I32" s="157"/>
    </row>
    <row r="33" spans="1:9" ht="15.75" x14ac:dyDescent="0.25">
      <c r="A33" s="19"/>
      <c r="B33" s="165">
        <f>DATE(20,12,1)</f>
        <v>7641</v>
      </c>
      <c r="C33" s="226">
        <v>28285885.030000001</v>
      </c>
      <c r="D33" s="226">
        <v>2957388.65</v>
      </c>
      <c r="E33" s="226">
        <v>3071223.19</v>
      </c>
      <c r="F33" s="166">
        <f t="shared" si="6"/>
        <v>-3.7064886840737887E-2</v>
      </c>
      <c r="G33" s="241">
        <f t="shared" si="7"/>
        <v>0.10455351306361439</v>
      </c>
      <c r="H33" s="242">
        <f t="shared" si="8"/>
        <v>0.89544648693638562</v>
      </c>
      <c r="I33" s="157"/>
    </row>
    <row r="34" spans="1:9" ht="15.75" thickBot="1" x14ac:dyDescent="0.25">
      <c r="A34" s="167"/>
      <c r="B34" s="165"/>
      <c r="C34" s="226"/>
      <c r="D34" s="226"/>
      <c r="E34" s="226"/>
      <c r="F34" s="166"/>
      <c r="G34" s="241"/>
      <c r="H34" s="242"/>
      <c r="I34" s="157"/>
    </row>
    <row r="35" spans="1:9" ht="17.25" thickTop="1" thickBot="1" x14ac:dyDescent="0.3">
      <c r="A35" s="174" t="s">
        <v>14</v>
      </c>
      <c r="B35" s="175"/>
      <c r="C35" s="228">
        <f>SUM(C28:C34)</f>
        <v>168541664.97999999</v>
      </c>
      <c r="D35" s="228">
        <f>SUM(D28:D34)</f>
        <v>17627413.979999997</v>
      </c>
      <c r="E35" s="228">
        <f>SUM(E28:E34)</f>
        <v>17359902.420000002</v>
      </c>
      <c r="F35" s="176">
        <f>(+D35-E35)/E35</f>
        <v>1.5409738691376521E-2</v>
      </c>
      <c r="G35" s="245">
        <f>D35/C35</f>
        <v>0.10458787138534413</v>
      </c>
      <c r="H35" s="246">
        <f>1-G35</f>
        <v>0.89541212861465591</v>
      </c>
      <c r="I35" s="157"/>
    </row>
    <row r="36" spans="1:9" ht="15.75" thickTop="1" x14ac:dyDescent="0.2">
      <c r="A36" s="167"/>
      <c r="B36" s="168"/>
      <c r="C36" s="226"/>
      <c r="D36" s="226"/>
      <c r="E36" s="226"/>
      <c r="F36" s="166"/>
      <c r="G36" s="241"/>
      <c r="H36" s="242"/>
      <c r="I36" s="157"/>
    </row>
    <row r="37" spans="1:9" ht="15.75" x14ac:dyDescent="0.25">
      <c r="A37" s="177" t="s">
        <v>59</v>
      </c>
      <c r="B37" s="165">
        <f>DATE(20,7,1)</f>
        <v>7488</v>
      </c>
      <c r="C37" s="226">
        <v>143439230.22</v>
      </c>
      <c r="D37" s="226">
        <v>12870761.890000001</v>
      </c>
      <c r="E37" s="226">
        <v>17279710.350000001</v>
      </c>
      <c r="F37" s="166">
        <f t="shared" ref="F37:F42" si="9">(+D37-E37)/E37</f>
        <v>-0.2551517572168101</v>
      </c>
      <c r="G37" s="241">
        <f t="shared" ref="G37:G42" si="10">D37/C37</f>
        <v>8.9729719479527764E-2</v>
      </c>
      <c r="H37" s="242">
        <f t="shared" ref="H37:H42" si="11">1-G37</f>
        <v>0.91027028052047221</v>
      </c>
      <c r="I37" s="157"/>
    </row>
    <row r="38" spans="1:9" ht="15.75" x14ac:dyDescent="0.25">
      <c r="A38" s="177"/>
      <c r="B38" s="165">
        <f>DATE(20,8,1)</f>
        <v>7519</v>
      </c>
      <c r="C38" s="226">
        <v>144700809.44999999</v>
      </c>
      <c r="D38" s="226">
        <v>13070251.67</v>
      </c>
      <c r="E38" s="226">
        <v>17467037.460000001</v>
      </c>
      <c r="F38" s="166">
        <f t="shared" si="9"/>
        <v>-0.25171903364086567</v>
      </c>
      <c r="G38" s="241">
        <f t="shared" si="10"/>
        <v>9.0326043922486166E-2</v>
      </c>
      <c r="H38" s="242">
        <f t="shared" si="11"/>
        <v>0.90967395607751378</v>
      </c>
      <c r="I38" s="157"/>
    </row>
    <row r="39" spans="1:9" ht="15.75" x14ac:dyDescent="0.25">
      <c r="A39" s="177"/>
      <c r="B39" s="165">
        <f>DATE(20,9,1)</f>
        <v>7550</v>
      </c>
      <c r="C39" s="226">
        <v>139818303.37</v>
      </c>
      <c r="D39" s="226">
        <v>12783360.18</v>
      </c>
      <c r="E39" s="226">
        <v>16156127.949999999</v>
      </c>
      <c r="F39" s="166">
        <f t="shared" si="9"/>
        <v>-0.20876089744015675</v>
      </c>
      <c r="G39" s="241">
        <f t="shared" si="10"/>
        <v>9.1428374339313084E-2</v>
      </c>
      <c r="H39" s="242">
        <f t="shared" si="11"/>
        <v>0.90857162566068694</v>
      </c>
      <c r="I39" s="157"/>
    </row>
    <row r="40" spans="1:9" ht="15.75" x14ac:dyDescent="0.25">
      <c r="A40" s="177"/>
      <c r="B40" s="165">
        <f>DATE(20,10,1)</f>
        <v>7580</v>
      </c>
      <c r="C40" s="226">
        <v>145940508.44</v>
      </c>
      <c r="D40" s="226">
        <v>13838790.18</v>
      </c>
      <c r="E40" s="226">
        <v>15798088.050000001</v>
      </c>
      <c r="F40" s="166">
        <f t="shared" si="9"/>
        <v>-0.12402120204666164</v>
      </c>
      <c r="G40" s="241">
        <f t="shared" si="10"/>
        <v>9.4824873011111185E-2</v>
      </c>
      <c r="H40" s="242">
        <f t="shared" si="11"/>
        <v>0.9051751269888888</v>
      </c>
      <c r="I40" s="157"/>
    </row>
    <row r="41" spans="1:9" ht="15.75" x14ac:dyDescent="0.25">
      <c r="A41" s="177"/>
      <c r="B41" s="165">
        <f>DATE(20,11,1)</f>
        <v>7611</v>
      </c>
      <c r="C41" s="226">
        <v>125885717.19</v>
      </c>
      <c r="D41" s="226">
        <v>11508836.74</v>
      </c>
      <c r="E41" s="226">
        <v>16997575.629999999</v>
      </c>
      <c r="F41" s="166">
        <f t="shared" si="9"/>
        <v>-0.3229130441586392</v>
      </c>
      <c r="G41" s="241">
        <f t="shared" si="10"/>
        <v>9.1422895280722352E-2</v>
      </c>
      <c r="H41" s="242">
        <f t="shared" si="11"/>
        <v>0.90857710471927766</v>
      </c>
      <c r="I41" s="157"/>
    </row>
    <row r="42" spans="1:9" ht="15.75" x14ac:dyDescent="0.25">
      <c r="A42" s="177"/>
      <c r="B42" s="165">
        <f>DATE(20,12,1)</f>
        <v>7641</v>
      </c>
      <c r="C42" s="226">
        <v>127434010.31</v>
      </c>
      <c r="D42" s="226">
        <v>12101151.109999999</v>
      </c>
      <c r="E42" s="226">
        <v>16683119.9</v>
      </c>
      <c r="F42" s="166">
        <f t="shared" si="9"/>
        <v>-0.27464699753191851</v>
      </c>
      <c r="G42" s="241">
        <f t="shared" si="10"/>
        <v>9.4960137255057392E-2</v>
      </c>
      <c r="H42" s="242">
        <f t="shared" si="11"/>
        <v>0.90503986274494264</v>
      </c>
      <c r="I42" s="157"/>
    </row>
    <row r="43" spans="1:9" ht="15.75" thickBot="1" x14ac:dyDescent="0.25">
      <c r="A43" s="167"/>
      <c r="B43" s="168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8"/>
      <c r="C44" s="228">
        <f>SUM(C37:C43)</f>
        <v>827218578.98000002</v>
      </c>
      <c r="D44" s="228">
        <f>SUM(D37:D43)</f>
        <v>76173151.770000011</v>
      </c>
      <c r="E44" s="228">
        <f>SUM(E37:E43)</f>
        <v>100381659.34</v>
      </c>
      <c r="F44" s="176">
        <f>(+D44-E44)/E44</f>
        <v>-0.24116464829500389</v>
      </c>
      <c r="G44" s="245">
        <f>D44/C44</f>
        <v>9.2083463434688734E-2</v>
      </c>
      <c r="H44" s="246">
        <f>1-G44</f>
        <v>0.90791653656531124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164" t="s">
        <v>63</v>
      </c>
      <c r="B46" s="165">
        <f>DATE(20,7,1)</f>
        <v>7488</v>
      </c>
      <c r="C46" s="226">
        <v>129097611.84999999</v>
      </c>
      <c r="D46" s="226">
        <v>13388447.99</v>
      </c>
      <c r="E46" s="226">
        <v>11411946.24</v>
      </c>
      <c r="F46" s="166">
        <f t="shared" ref="F46:F51" si="12">(+D46-E46)/E46</f>
        <v>0.17319585182343095</v>
      </c>
      <c r="G46" s="241">
        <f t="shared" ref="G46:G51" si="13">D46/C46</f>
        <v>0.10370794469502807</v>
      </c>
      <c r="H46" s="242">
        <f t="shared" ref="H46:H51" si="14">1-G46</f>
        <v>0.89629205530497191</v>
      </c>
      <c r="I46" s="157"/>
    </row>
    <row r="47" spans="1:9" ht="15.75" x14ac:dyDescent="0.25">
      <c r="A47" s="164"/>
      <c r="B47" s="165">
        <f>DATE(20,8,1)</f>
        <v>7519</v>
      </c>
      <c r="C47" s="226">
        <v>126740821.34999999</v>
      </c>
      <c r="D47" s="226">
        <v>12503132.880000001</v>
      </c>
      <c r="E47" s="226">
        <v>12220877.76</v>
      </c>
      <c r="F47" s="166">
        <f t="shared" si="12"/>
        <v>2.3096141336414206E-2</v>
      </c>
      <c r="G47" s="241">
        <f t="shared" si="13"/>
        <v>9.8651190254417598E-2</v>
      </c>
      <c r="H47" s="242">
        <f t="shared" si="14"/>
        <v>0.9013488097455824</v>
      </c>
      <c r="I47" s="157"/>
    </row>
    <row r="48" spans="1:9" ht="15.75" x14ac:dyDescent="0.25">
      <c r="A48" s="164"/>
      <c r="B48" s="165">
        <f>DATE(20,9,1)</f>
        <v>7550</v>
      </c>
      <c r="C48" s="226">
        <v>113747305.23</v>
      </c>
      <c r="D48" s="226">
        <v>11218535.91</v>
      </c>
      <c r="E48" s="226">
        <v>11441576.98</v>
      </c>
      <c r="F48" s="166">
        <f t="shared" si="12"/>
        <v>-1.9493909833397834E-2</v>
      </c>
      <c r="G48" s="241">
        <f t="shared" si="13"/>
        <v>9.8626828014218265E-2</v>
      </c>
      <c r="H48" s="242">
        <f t="shared" si="14"/>
        <v>0.90137317198578171</v>
      </c>
      <c r="I48" s="157"/>
    </row>
    <row r="49" spans="1:9" ht="15.75" x14ac:dyDescent="0.25">
      <c r="A49" s="164"/>
      <c r="B49" s="165">
        <f>DATE(20,10,1)</f>
        <v>7580</v>
      </c>
      <c r="C49" s="226">
        <v>112893213.81</v>
      </c>
      <c r="D49" s="226">
        <v>11439504.380000001</v>
      </c>
      <c r="E49" s="226">
        <v>11451574.32</v>
      </c>
      <c r="F49" s="166">
        <f t="shared" si="12"/>
        <v>-1.0539983117360127E-3</v>
      </c>
      <c r="G49" s="241">
        <f t="shared" si="13"/>
        <v>0.10133031024568721</v>
      </c>
      <c r="H49" s="242">
        <f t="shared" si="14"/>
        <v>0.89866968975431283</v>
      </c>
      <c r="I49" s="157"/>
    </row>
    <row r="50" spans="1:9" ht="15.75" x14ac:dyDescent="0.25">
      <c r="A50" s="164"/>
      <c r="B50" s="165">
        <f>DATE(20,11,1)</f>
        <v>7611</v>
      </c>
      <c r="C50" s="226">
        <v>102860879.98999999</v>
      </c>
      <c r="D50" s="226">
        <v>10067796.140000001</v>
      </c>
      <c r="E50" s="226">
        <v>11824386.49</v>
      </c>
      <c r="F50" s="166">
        <f t="shared" si="12"/>
        <v>-0.14855657428700977</v>
      </c>
      <c r="G50" s="241">
        <f t="shared" si="13"/>
        <v>9.787779514407012E-2</v>
      </c>
      <c r="H50" s="242">
        <f t="shared" si="14"/>
        <v>0.90212220485592987</v>
      </c>
      <c r="I50" s="157"/>
    </row>
    <row r="51" spans="1:9" ht="15.75" x14ac:dyDescent="0.25">
      <c r="A51" s="164"/>
      <c r="B51" s="165">
        <f>DATE(20,12,1)</f>
        <v>7641</v>
      </c>
      <c r="C51" s="226">
        <v>108722235.14</v>
      </c>
      <c r="D51" s="226">
        <v>10607281.23</v>
      </c>
      <c r="E51" s="226">
        <v>12045926.43</v>
      </c>
      <c r="F51" s="166">
        <f t="shared" si="12"/>
        <v>-0.11943001713982736</v>
      </c>
      <c r="G51" s="241">
        <f t="shared" si="13"/>
        <v>9.7563126956883864E-2</v>
      </c>
      <c r="H51" s="242">
        <f t="shared" si="14"/>
        <v>0.90243687304311615</v>
      </c>
      <c r="I51" s="157"/>
    </row>
    <row r="52" spans="1:9" ht="15.75" thickBot="1" x14ac:dyDescent="0.25">
      <c r="A52" s="167"/>
      <c r="B52" s="165"/>
      <c r="C52" s="226"/>
      <c r="D52" s="226"/>
      <c r="E52" s="226"/>
      <c r="F52" s="166"/>
      <c r="G52" s="241"/>
      <c r="H52" s="242"/>
      <c r="I52" s="157"/>
    </row>
    <row r="53" spans="1:9" ht="17.25" thickTop="1" thickBot="1" x14ac:dyDescent="0.3">
      <c r="A53" s="174" t="s">
        <v>14</v>
      </c>
      <c r="B53" s="175"/>
      <c r="C53" s="228">
        <f>SUM(C46:C52)</f>
        <v>694062067.37</v>
      </c>
      <c r="D53" s="230">
        <f>SUM(D46:D52)</f>
        <v>69224698.530000001</v>
      </c>
      <c r="E53" s="271">
        <f>SUM(E46:E52)</f>
        <v>70396288.219999999</v>
      </c>
      <c r="F53" s="272">
        <f>(+D53-E53)/E53</f>
        <v>-1.6642776481887608E-2</v>
      </c>
      <c r="G53" s="249">
        <f>D53/C53</f>
        <v>9.9738484185300916E-2</v>
      </c>
      <c r="H53" s="270">
        <f>1-G53</f>
        <v>0.90026151581469904</v>
      </c>
      <c r="I53" s="157"/>
    </row>
    <row r="54" spans="1:9" ht="15.75" thickTop="1" x14ac:dyDescent="0.2">
      <c r="A54" s="167"/>
      <c r="B54" s="168"/>
      <c r="C54" s="226"/>
      <c r="D54" s="226"/>
      <c r="E54" s="226"/>
      <c r="F54" s="166"/>
      <c r="G54" s="241"/>
      <c r="H54" s="242"/>
      <c r="I54" s="157"/>
    </row>
    <row r="55" spans="1:9" ht="15.75" x14ac:dyDescent="0.25">
      <c r="A55" s="164" t="s">
        <v>68</v>
      </c>
      <c r="B55" s="165">
        <f>DATE(20,7,1)</f>
        <v>7488</v>
      </c>
      <c r="C55" s="226">
        <v>42751040.829999998</v>
      </c>
      <c r="D55" s="226">
        <v>4434379.57</v>
      </c>
      <c r="E55" s="226">
        <v>3906046.69</v>
      </c>
      <c r="F55" s="166">
        <f t="shared" ref="F55:F60" si="15">(+D55-E55)/E55</f>
        <v>0.13526025721930127</v>
      </c>
      <c r="G55" s="241">
        <f t="shared" ref="G55:G60" si="16">D55/C55</f>
        <v>0.10372565167789391</v>
      </c>
      <c r="H55" s="242">
        <f t="shared" ref="H55:H60" si="17">1-G55</f>
        <v>0.89627434832210606</v>
      </c>
      <c r="I55" s="157"/>
    </row>
    <row r="56" spans="1:9" ht="15.75" x14ac:dyDescent="0.25">
      <c r="A56" s="164"/>
      <c r="B56" s="165">
        <f>DATE(20,8,1)</f>
        <v>7519</v>
      </c>
      <c r="C56" s="226">
        <v>42673866.380000003</v>
      </c>
      <c r="D56" s="226">
        <v>4333573.3</v>
      </c>
      <c r="E56" s="226">
        <v>4670857.45</v>
      </c>
      <c r="F56" s="166">
        <f t="shared" si="15"/>
        <v>-7.2210328319910588E-2</v>
      </c>
      <c r="G56" s="241">
        <f t="shared" si="16"/>
        <v>0.1015509881717917</v>
      </c>
      <c r="H56" s="242">
        <f t="shared" si="17"/>
        <v>0.89844901182820824</v>
      </c>
      <c r="I56" s="157"/>
    </row>
    <row r="57" spans="1:9" ht="15.75" x14ac:dyDescent="0.25">
      <c r="A57" s="164"/>
      <c r="B57" s="165">
        <f>DATE(20,9,1)</f>
        <v>7550</v>
      </c>
      <c r="C57" s="226">
        <v>41605422.850000001</v>
      </c>
      <c r="D57" s="226">
        <v>4417017.5599999996</v>
      </c>
      <c r="E57" s="226">
        <v>4421418.32</v>
      </c>
      <c r="F57" s="166">
        <f t="shared" si="15"/>
        <v>-9.9532767123485097E-4</v>
      </c>
      <c r="G57" s="241">
        <f t="shared" si="16"/>
        <v>0.10616446745234796</v>
      </c>
      <c r="H57" s="242">
        <f t="shared" si="17"/>
        <v>0.89383553254765202</v>
      </c>
      <c r="I57" s="157"/>
    </row>
    <row r="58" spans="1:9" ht="15.75" x14ac:dyDescent="0.25">
      <c r="A58" s="164"/>
      <c r="B58" s="165">
        <f>DATE(20,10,1)</f>
        <v>7580</v>
      </c>
      <c r="C58" s="226">
        <v>43714895.32</v>
      </c>
      <c r="D58" s="226">
        <v>4440838.8899999997</v>
      </c>
      <c r="E58" s="226">
        <v>4469558.96</v>
      </c>
      <c r="F58" s="166">
        <f t="shared" si="15"/>
        <v>-6.4257055913186341E-3</v>
      </c>
      <c r="G58" s="241">
        <f t="shared" si="16"/>
        <v>0.10158640109949597</v>
      </c>
      <c r="H58" s="242">
        <f t="shared" si="17"/>
        <v>0.89841359890050398</v>
      </c>
      <c r="I58" s="157"/>
    </row>
    <row r="59" spans="1:9" ht="15.75" x14ac:dyDescent="0.25">
      <c r="A59" s="164"/>
      <c r="B59" s="165">
        <f>DATE(20,11,1)</f>
        <v>7611</v>
      </c>
      <c r="C59" s="226">
        <v>40694510.390000001</v>
      </c>
      <c r="D59" s="226">
        <v>4093288.05</v>
      </c>
      <c r="E59" s="226">
        <v>4362721.83</v>
      </c>
      <c r="F59" s="166">
        <f t="shared" si="15"/>
        <v>-6.1758184568920876E-2</v>
      </c>
      <c r="G59" s="241">
        <f t="shared" si="16"/>
        <v>0.10058575495248757</v>
      </c>
      <c r="H59" s="242">
        <f t="shared" si="17"/>
        <v>0.89941424504751244</v>
      </c>
      <c r="I59" s="157"/>
    </row>
    <row r="60" spans="1:9" ht="15.75" x14ac:dyDescent="0.25">
      <c r="A60" s="164"/>
      <c r="B60" s="165">
        <f>DATE(20,12,1)</f>
        <v>7641</v>
      </c>
      <c r="C60" s="226">
        <v>52442183.469999999</v>
      </c>
      <c r="D60" s="226">
        <v>5522096.1299999999</v>
      </c>
      <c r="E60" s="226">
        <v>4542091.8099999996</v>
      </c>
      <c r="F60" s="166">
        <f t="shared" si="15"/>
        <v>0.21576057045839422</v>
      </c>
      <c r="G60" s="241">
        <f t="shared" si="16"/>
        <v>0.105298745487189</v>
      </c>
      <c r="H60" s="242">
        <f t="shared" si="17"/>
        <v>0.89470125451281102</v>
      </c>
      <c r="I60" s="157"/>
    </row>
    <row r="61" spans="1:9" ht="15.75" thickBot="1" x14ac:dyDescent="0.25">
      <c r="A61" s="167"/>
      <c r="B61" s="165"/>
      <c r="C61" s="226"/>
      <c r="D61" s="226"/>
      <c r="E61" s="226"/>
      <c r="F61" s="166"/>
      <c r="G61" s="241"/>
      <c r="H61" s="242"/>
      <c r="I61" s="157"/>
    </row>
    <row r="62" spans="1:9" ht="17.25" thickTop="1" thickBot="1" x14ac:dyDescent="0.3">
      <c r="A62" s="174" t="s">
        <v>14</v>
      </c>
      <c r="B62" s="175"/>
      <c r="C62" s="228">
        <f>SUM(C55:C61)</f>
        <v>263881919.23999998</v>
      </c>
      <c r="D62" s="230">
        <f>SUM(D55:D61)</f>
        <v>27241193.5</v>
      </c>
      <c r="E62" s="271">
        <f>SUM(E55:E61)</f>
        <v>26372695.059999999</v>
      </c>
      <c r="F62" s="272">
        <f>(+D62-E62)/E62</f>
        <v>3.2931728745359455E-2</v>
      </c>
      <c r="G62" s="249">
        <f>D62/C62</f>
        <v>0.10323251239970026</v>
      </c>
      <c r="H62" s="270">
        <f>1-G62</f>
        <v>0.89676748760029978</v>
      </c>
      <c r="I62" s="157"/>
    </row>
    <row r="63" spans="1:9" ht="15.75" thickTop="1" x14ac:dyDescent="0.2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5.75" x14ac:dyDescent="0.25">
      <c r="A64" s="164" t="s">
        <v>66</v>
      </c>
      <c r="B64" s="165">
        <f>DATE(20,7,1)</f>
        <v>7488</v>
      </c>
      <c r="C64" s="226">
        <v>39014288.030000001</v>
      </c>
      <c r="D64" s="226">
        <v>4303428.05</v>
      </c>
      <c r="E64" s="226">
        <v>4987956.2</v>
      </c>
      <c r="F64" s="166">
        <f t="shared" ref="F64:F69" si="18">(+D64-E64)/E64</f>
        <v>-0.13723619906686438</v>
      </c>
      <c r="G64" s="241">
        <f t="shared" ref="G64:G69" si="19">D64/C64</f>
        <v>0.11030389806654636</v>
      </c>
      <c r="H64" s="242">
        <f t="shared" ref="H64:H69" si="20">1-G64</f>
        <v>0.88969610193345361</v>
      </c>
      <c r="I64" s="157"/>
    </row>
    <row r="65" spans="1:9" ht="15.75" x14ac:dyDescent="0.25">
      <c r="A65" s="164"/>
      <c r="B65" s="165">
        <f>DATE(20,8,1)</f>
        <v>7519</v>
      </c>
      <c r="C65" s="226">
        <v>37294361.380000003</v>
      </c>
      <c r="D65" s="226">
        <v>4134795.6</v>
      </c>
      <c r="E65" s="226">
        <v>5297182</v>
      </c>
      <c r="F65" s="166">
        <f t="shared" si="18"/>
        <v>-0.21943486178122631</v>
      </c>
      <c r="G65" s="241">
        <f t="shared" si="19"/>
        <v>0.11086918898730315</v>
      </c>
      <c r="H65" s="242">
        <f t="shared" si="20"/>
        <v>0.88913081101269686</v>
      </c>
      <c r="I65" s="157"/>
    </row>
    <row r="66" spans="1:9" ht="15.75" x14ac:dyDescent="0.25">
      <c r="A66" s="164"/>
      <c r="B66" s="165">
        <f>DATE(20,9,1)</f>
        <v>7550</v>
      </c>
      <c r="C66" s="226">
        <v>46478172.090000004</v>
      </c>
      <c r="D66" s="226">
        <v>5078159.95</v>
      </c>
      <c r="E66" s="226">
        <v>4757922.75</v>
      </c>
      <c r="F66" s="166">
        <f t="shared" si="18"/>
        <v>6.7306094870918237E-2</v>
      </c>
      <c r="G66" s="241">
        <f t="shared" si="19"/>
        <v>0.10925902895162674</v>
      </c>
      <c r="H66" s="242">
        <f t="shared" si="20"/>
        <v>0.89074097104837324</v>
      </c>
      <c r="I66" s="157"/>
    </row>
    <row r="67" spans="1:9" ht="15.75" x14ac:dyDescent="0.25">
      <c r="A67" s="164"/>
      <c r="B67" s="165">
        <f>DATE(20,10,1)</f>
        <v>7580</v>
      </c>
      <c r="C67" s="226">
        <v>52985429.619999997</v>
      </c>
      <c r="D67" s="226">
        <v>5823943.8200000003</v>
      </c>
      <c r="E67" s="226">
        <v>5100767.21</v>
      </c>
      <c r="F67" s="166">
        <f t="shared" si="18"/>
        <v>0.14177800715590788</v>
      </c>
      <c r="G67" s="241">
        <f t="shared" si="19"/>
        <v>0.10991594975766096</v>
      </c>
      <c r="H67" s="242">
        <f t="shared" si="20"/>
        <v>0.89008405024233905</v>
      </c>
      <c r="I67" s="157"/>
    </row>
    <row r="68" spans="1:9" ht="15.75" x14ac:dyDescent="0.25">
      <c r="A68" s="164"/>
      <c r="B68" s="165">
        <f>DATE(20,11,1)</f>
        <v>7611</v>
      </c>
      <c r="C68" s="226">
        <v>49334744.450000003</v>
      </c>
      <c r="D68" s="226">
        <v>5498815.8099999996</v>
      </c>
      <c r="E68" s="226">
        <v>5049815.8600000003</v>
      </c>
      <c r="F68" s="166">
        <f t="shared" si="18"/>
        <v>8.8914123296368913E-2</v>
      </c>
      <c r="G68" s="241">
        <f t="shared" si="19"/>
        <v>0.11145929448510601</v>
      </c>
      <c r="H68" s="242">
        <f t="shared" si="20"/>
        <v>0.88854070551489395</v>
      </c>
      <c r="I68" s="157"/>
    </row>
    <row r="69" spans="1:9" ht="15.75" x14ac:dyDescent="0.25">
      <c r="A69" s="164"/>
      <c r="B69" s="165">
        <f>DATE(20,12,1)</f>
        <v>7641</v>
      </c>
      <c r="C69" s="226">
        <v>53542414.659999996</v>
      </c>
      <c r="D69" s="226">
        <v>6073396.25</v>
      </c>
      <c r="E69" s="226">
        <v>5055651.33</v>
      </c>
      <c r="F69" s="166">
        <f t="shared" si="18"/>
        <v>0.20130836831265417</v>
      </c>
      <c r="G69" s="241">
        <f t="shared" si="19"/>
        <v>0.11343149703962194</v>
      </c>
      <c r="H69" s="242">
        <f t="shared" si="20"/>
        <v>0.88656850296037804</v>
      </c>
      <c r="I69" s="157"/>
    </row>
    <row r="70" spans="1:9" ht="15.75" thickBot="1" x14ac:dyDescent="0.25">
      <c r="A70" s="167"/>
      <c r="B70" s="165"/>
      <c r="C70" s="226"/>
      <c r="D70" s="226"/>
      <c r="E70" s="226"/>
      <c r="F70" s="166"/>
      <c r="G70" s="241"/>
      <c r="H70" s="242"/>
      <c r="I70" s="157"/>
    </row>
    <row r="71" spans="1:9" ht="17.25" thickTop="1" thickBot="1" x14ac:dyDescent="0.3">
      <c r="A71" s="174" t="s">
        <v>14</v>
      </c>
      <c r="B71" s="175"/>
      <c r="C71" s="228">
        <f>SUM(C64:C70)</f>
        <v>278649410.23000002</v>
      </c>
      <c r="D71" s="230">
        <f>SUM(D64:D70)</f>
        <v>30912539.48</v>
      </c>
      <c r="E71" s="271">
        <f>SUM(E64:E70)</f>
        <v>30249295.350000001</v>
      </c>
      <c r="F71" s="272">
        <f>(+D71-E71)/E71</f>
        <v>2.192593653260088E-2</v>
      </c>
      <c r="G71" s="249">
        <f>D71/C71</f>
        <v>0.11093703537532873</v>
      </c>
      <c r="H71" s="270">
        <f>1-G71</f>
        <v>0.88906296462467127</v>
      </c>
      <c r="I71" s="157"/>
    </row>
    <row r="72" spans="1:9" ht="15.75" thickTop="1" x14ac:dyDescent="0.2">
      <c r="A72" s="167"/>
      <c r="B72" s="168"/>
      <c r="C72" s="226"/>
      <c r="D72" s="226"/>
      <c r="E72" s="226"/>
      <c r="F72" s="166"/>
      <c r="G72" s="241"/>
      <c r="H72" s="242"/>
      <c r="I72" s="157"/>
    </row>
    <row r="73" spans="1:9" ht="15.75" x14ac:dyDescent="0.25">
      <c r="A73" s="164" t="s">
        <v>60</v>
      </c>
      <c r="B73" s="165">
        <f>DATE(20,7,1)</f>
        <v>7488</v>
      </c>
      <c r="C73" s="226">
        <v>111521100.17</v>
      </c>
      <c r="D73" s="226">
        <v>10751795.77</v>
      </c>
      <c r="E73" s="226">
        <v>10859844.9</v>
      </c>
      <c r="F73" s="166">
        <f t="shared" ref="F73:F78" si="21">(+D73-E73)/E73</f>
        <v>-9.9494174175545382E-3</v>
      </c>
      <c r="G73" s="241">
        <f t="shared" ref="G73:G78" si="22">D73/C73</f>
        <v>9.6410416984859623E-2</v>
      </c>
      <c r="H73" s="242">
        <f t="shared" ref="H73:H78" si="23">1-G73</f>
        <v>0.90358958301514036</v>
      </c>
      <c r="I73" s="157"/>
    </row>
    <row r="74" spans="1:9" ht="15.75" x14ac:dyDescent="0.25">
      <c r="A74" s="164"/>
      <c r="B74" s="165">
        <f>DATE(20,8,1)</f>
        <v>7519</v>
      </c>
      <c r="C74" s="226">
        <v>112369794.01000001</v>
      </c>
      <c r="D74" s="226">
        <v>11312353.68</v>
      </c>
      <c r="E74" s="226">
        <v>10606265.73</v>
      </c>
      <c r="F74" s="166">
        <f t="shared" si="21"/>
        <v>6.6572719180777992E-2</v>
      </c>
      <c r="G74" s="241">
        <f t="shared" si="22"/>
        <v>0.10067076993122628</v>
      </c>
      <c r="H74" s="242">
        <f t="shared" si="23"/>
        <v>0.89932923006877374</v>
      </c>
      <c r="I74" s="157"/>
    </row>
    <row r="75" spans="1:9" ht="15.75" x14ac:dyDescent="0.25">
      <c r="A75" s="164"/>
      <c r="B75" s="165">
        <f>DATE(20,9,1)</f>
        <v>7550</v>
      </c>
      <c r="C75" s="226">
        <v>112239380.63</v>
      </c>
      <c r="D75" s="226">
        <v>10956999.039999999</v>
      </c>
      <c r="E75" s="226">
        <v>10294221.539999999</v>
      </c>
      <c r="F75" s="166">
        <f t="shared" si="21"/>
        <v>6.4383450212788018E-2</v>
      </c>
      <c r="G75" s="241">
        <f t="shared" si="22"/>
        <v>9.7621699072984264E-2</v>
      </c>
      <c r="H75" s="242">
        <f t="shared" si="23"/>
        <v>0.90237830092701576</v>
      </c>
      <c r="I75" s="157"/>
    </row>
    <row r="76" spans="1:9" ht="15.75" x14ac:dyDescent="0.25">
      <c r="A76" s="164"/>
      <c r="B76" s="165">
        <f>DATE(20,10,1)</f>
        <v>7580</v>
      </c>
      <c r="C76" s="226">
        <v>107780626.91</v>
      </c>
      <c r="D76" s="226">
        <v>10410650.699999999</v>
      </c>
      <c r="E76" s="226">
        <v>9880729.3699999992</v>
      </c>
      <c r="F76" s="166">
        <f t="shared" si="21"/>
        <v>5.3631802891895231E-2</v>
      </c>
      <c r="G76" s="241">
        <f t="shared" si="22"/>
        <v>9.6591112878692015E-2</v>
      </c>
      <c r="H76" s="242">
        <f t="shared" si="23"/>
        <v>0.90340888712130796</v>
      </c>
      <c r="I76" s="157"/>
    </row>
    <row r="77" spans="1:9" ht="15.75" x14ac:dyDescent="0.25">
      <c r="A77" s="164"/>
      <c r="B77" s="165">
        <f>DATE(20,11,1)</f>
        <v>7611</v>
      </c>
      <c r="C77" s="226">
        <v>99400505.129999995</v>
      </c>
      <c r="D77" s="226">
        <v>9890840.5199999996</v>
      </c>
      <c r="E77" s="226">
        <v>10205648.99</v>
      </c>
      <c r="F77" s="166">
        <f t="shared" si="21"/>
        <v>-3.0846492007364314E-2</v>
      </c>
      <c r="G77" s="241">
        <f t="shared" si="22"/>
        <v>9.9504932163718474E-2</v>
      </c>
      <c r="H77" s="242">
        <f t="shared" si="23"/>
        <v>0.90049506783628153</v>
      </c>
      <c r="I77" s="157"/>
    </row>
    <row r="78" spans="1:9" ht="15.75" x14ac:dyDescent="0.25">
      <c r="A78" s="164"/>
      <c r="B78" s="165">
        <f>DATE(20,12,1)</f>
        <v>7641</v>
      </c>
      <c r="C78" s="226">
        <v>128044113.2</v>
      </c>
      <c r="D78" s="226">
        <v>12890871.199999999</v>
      </c>
      <c r="E78" s="226">
        <v>10750579.369999999</v>
      </c>
      <c r="F78" s="166">
        <f t="shared" si="21"/>
        <v>0.19908618469183026</v>
      </c>
      <c r="G78" s="241">
        <f t="shared" si="22"/>
        <v>0.1006752351032722</v>
      </c>
      <c r="H78" s="242">
        <f t="shared" si="23"/>
        <v>0.89932476489672775</v>
      </c>
      <c r="I78" s="157"/>
    </row>
    <row r="79" spans="1:9" ht="15.75" thickBot="1" x14ac:dyDescent="0.25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SUM(C73:C79)</f>
        <v>671355520.05000007</v>
      </c>
      <c r="D80" s="230">
        <f>SUM(D73:D79)</f>
        <v>66213510.909999996</v>
      </c>
      <c r="E80" s="271">
        <f>SUM(E73:E79)</f>
        <v>62597289.899999999</v>
      </c>
      <c r="F80" s="176">
        <f>(+D80-E80)/E80</f>
        <v>5.7769609767083507E-2</v>
      </c>
      <c r="G80" s="249">
        <f>D80/C80</f>
        <v>9.8626597879270667E-2</v>
      </c>
      <c r="H80" s="270">
        <f>1-G80</f>
        <v>0.90137340212072936</v>
      </c>
      <c r="I80" s="157"/>
    </row>
    <row r="81" spans="1:9" ht="15.75" thickTop="1" x14ac:dyDescent="0.2">
      <c r="A81" s="167"/>
      <c r="B81" s="179"/>
      <c r="C81" s="229"/>
      <c r="D81" s="229"/>
      <c r="E81" s="229"/>
      <c r="F81" s="180"/>
      <c r="G81" s="247"/>
      <c r="H81" s="248"/>
      <c r="I81" s="157"/>
    </row>
    <row r="82" spans="1:9" ht="15.75" x14ac:dyDescent="0.25">
      <c r="A82" s="164" t="s">
        <v>16</v>
      </c>
      <c r="B82" s="165">
        <f>DATE(20,7,1)</f>
        <v>7488</v>
      </c>
      <c r="C82" s="226">
        <v>122917916.14</v>
      </c>
      <c r="D82" s="226">
        <v>12124639.109999999</v>
      </c>
      <c r="E82" s="226">
        <v>13562944.539999999</v>
      </c>
      <c r="F82" s="166">
        <f t="shared" ref="F82:F87" si="24">(+D82-E82)/E82</f>
        <v>-0.10604669404627676</v>
      </c>
      <c r="G82" s="241">
        <f t="shared" ref="G82:G87" si="25">D82/C82</f>
        <v>9.8640129045064362E-2</v>
      </c>
      <c r="H82" s="242">
        <f t="shared" ref="H82:H87" si="26">1-G82</f>
        <v>0.90135987095493564</v>
      </c>
      <c r="I82" s="157"/>
    </row>
    <row r="83" spans="1:9" ht="15.75" x14ac:dyDescent="0.25">
      <c r="A83" s="164"/>
      <c r="B83" s="165">
        <f>DATE(20,8,1)</f>
        <v>7519</v>
      </c>
      <c r="C83" s="226">
        <v>129077535.78</v>
      </c>
      <c r="D83" s="226">
        <v>12772714.18</v>
      </c>
      <c r="E83" s="226">
        <v>13870661.279999999</v>
      </c>
      <c r="F83" s="166">
        <f t="shared" si="24"/>
        <v>-7.9156074669858828E-2</v>
      </c>
      <c r="G83" s="241">
        <f t="shared" si="25"/>
        <v>9.8953811775349024E-2</v>
      </c>
      <c r="H83" s="242">
        <f t="shared" si="26"/>
        <v>0.90104618822465099</v>
      </c>
      <c r="I83" s="157"/>
    </row>
    <row r="84" spans="1:9" ht="15.75" x14ac:dyDescent="0.25">
      <c r="A84" s="164"/>
      <c r="B84" s="165">
        <f>DATE(20,9,1)</f>
        <v>7550</v>
      </c>
      <c r="C84" s="226">
        <v>120244266.26000001</v>
      </c>
      <c r="D84" s="226">
        <v>12144964.720000001</v>
      </c>
      <c r="E84" s="226">
        <v>12786419.43</v>
      </c>
      <c r="F84" s="166">
        <f t="shared" si="24"/>
        <v>-5.0166875372083662E-2</v>
      </c>
      <c r="G84" s="241">
        <f t="shared" si="25"/>
        <v>0.10100244359044418</v>
      </c>
      <c r="H84" s="242">
        <f t="shared" si="26"/>
        <v>0.89899755640955581</v>
      </c>
      <c r="I84" s="157"/>
    </row>
    <row r="85" spans="1:9" ht="15.75" x14ac:dyDescent="0.25">
      <c r="A85" s="164"/>
      <c r="B85" s="165">
        <f>DATE(20,10,1)</f>
        <v>7580</v>
      </c>
      <c r="C85" s="226">
        <v>126651805.83</v>
      </c>
      <c r="D85" s="226">
        <v>12789406.33</v>
      </c>
      <c r="E85" s="226">
        <v>13251508.66</v>
      </c>
      <c r="F85" s="166">
        <f t="shared" si="24"/>
        <v>-3.4871677018547112E-2</v>
      </c>
      <c r="G85" s="241">
        <f t="shared" si="25"/>
        <v>0.10098084465662292</v>
      </c>
      <c r="H85" s="242">
        <f t="shared" si="26"/>
        <v>0.89901915534337706</v>
      </c>
      <c r="I85" s="157"/>
    </row>
    <row r="86" spans="1:9" ht="15.75" x14ac:dyDescent="0.25">
      <c r="A86" s="164"/>
      <c r="B86" s="165">
        <f>DATE(20,11,1)</f>
        <v>7611</v>
      </c>
      <c r="C86" s="226">
        <v>115007879.84</v>
      </c>
      <c r="D86" s="226">
        <v>11020343.83</v>
      </c>
      <c r="E86" s="226">
        <v>13769145.800000001</v>
      </c>
      <c r="F86" s="166">
        <f t="shared" si="24"/>
        <v>-0.1996348945625952</v>
      </c>
      <c r="G86" s="241">
        <f t="shared" si="25"/>
        <v>9.5822510990826032E-2</v>
      </c>
      <c r="H86" s="242">
        <f t="shared" si="26"/>
        <v>0.90417748900917394</v>
      </c>
      <c r="I86" s="157"/>
    </row>
    <row r="87" spans="1:9" ht="15.75" x14ac:dyDescent="0.25">
      <c r="A87" s="164"/>
      <c r="B87" s="165">
        <f>DATE(20,12,1)</f>
        <v>7641</v>
      </c>
      <c r="C87" s="226">
        <v>127981163.42</v>
      </c>
      <c r="D87" s="226">
        <v>12188714.869999999</v>
      </c>
      <c r="E87" s="226">
        <v>13980639.65</v>
      </c>
      <c r="F87" s="166">
        <f t="shared" si="24"/>
        <v>-0.12817187373826641</v>
      </c>
      <c r="G87" s="241">
        <f t="shared" si="25"/>
        <v>9.5238350271905969E-2</v>
      </c>
      <c r="H87" s="242">
        <f t="shared" si="26"/>
        <v>0.90476164972809403</v>
      </c>
      <c r="I87" s="157"/>
    </row>
    <row r="88" spans="1:9" ht="15.75" customHeight="1" thickBot="1" x14ac:dyDescent="0.3">
      <c r="A88" s="164"/>
      <c r="B88" s="165"/>
      <c r="C88" s="226"/>
      <c r="D88" s="226"/>
      <c r="E88" s="226"/>
      <c r="F88" s="166"/>
      <c r="G88" s="241"/>
      <c r="H88" s="242"/>
      <c r="I88" s="157"/>
    </row>
    <row r="89" spans="1:9" ht="17.25" thickTop="1" thickBot="1" x14ac:dyDescent="0.3">
      <c r="A89" s="174" t="s">
        <v>14</v>
      </c>
      <c r="B89" s="181"/>
      <c r="C89" s="228">
        <f>SUM(C82:C88)</f>
        <v>741880567.26999998</v>
      </c>
      <c r="D89" s="228">
        <f>SUM(D82:D88)</f>
        <v>73040783.039999992</v>
      </c>
      <c r="E89" s="228">
        <f>SUM(E82:E88)</f>
        <v>81221319.359999999</v>
      </c>
      <c r="F89" s="176">
        <f>(+D89-E89)/E89</f>
        <v>-0.10071907701648061</v>
      </c>
      <c r="G89" s="245">
        <f>D89/C89</f>
        <v>9.8453560131354048E-2</v>
      </c>
      <c r="H89" s="246">
        <f>1-G89</f>
        <v>0.90154643986864591</v>
      </c>
      <c r="I89" s="157"/>
    </row>
    <row r="90" spans="1:9" ht="15.75" thickTop="1" x14ac:dyDescent="0.2">
      <c r="A90" s="171"/>
      <c r="B90" s="172"/>
      <c r="C90" s="227"/>
      <c r="D90" s="227"/>
      <c r="E90" s="227"/>
      <c r="F90" s="173"/>
      <c r="G90" s="243"/>
      <c r="H90" s="244"/>
      <c r="I90" s="157"/>
    </row>
    <row r="91" spans="1:9" ht="15.75" x14ac:dyDescent="0.25">
      <c r="A91" s="164" t="s">
        <v>54</v>
      </c>
      <c r="B91" s="165">
        <f>DATE(20,7,1)</f>
        <v>7488</v>
      </c>
      <c r="C91" s="226">
        <v>139778413.28999999</v>
      </c>
      <c r="D91" s="226">
        <v>13113665.15</v>
      </c>
      <c r="E91" s="226">
        <v>16247033.9</v>
      </c>
      <c r="F91" s="166">
        <f t="shared" ref="F91:F96" si="27">(+D91-E91)/E91</f>
        <v>-0.19285789451082513</v>
      </c>
      <c r="G91" s="241">
        <f t="shared" ref="G91:G96" si="28">D91/C91</f>
        <v>9.3817527623474437E-2</v>
      </c>
      <c r="H91" s="242">
        <f t="shared" ref="H91:H96" si="29">1-G91</f>
        <v>0.90618247237652561</v>
      </c>
      <c r="I91" s="157"/>
    </row>
    <row r="92" spans="1:9" ht="15.75" x14ac:dyDescent="0.25">
      <c r="A92" s="164"/>
      <c r="B92" s="165">
        <f>DATE(20,8,1)</f>
        <v>7519</v>
      </c>
      <c r="C92" s="226">
        <v>139190485.06</v>
      </c>
      <c r="D92" s="226">
        <v>13163225.939999999</v>
      </c>
      <c r="E92" s="226">
        <v>16871517.800000001</v>
      </c>
      <c r="F92" s="166">
        <f t="shared" si="27"/>
        <v>-0.21979598421192437</v>
      </c>
      <c r="G92" s="241">
        <f t="shared" si="28"/>
        <v>9.4569869013142724E-2</v>
      </c>
      <c r="H92" s="242">
        <f t="shared" si="29"/>
        <v>0.90543013098685732</v>
      </c>
      <c r="I92" s="157"/>
    </row>
    <row r="93" spans="1:9" ht="15.75" x14ac:dyDescent="0.25">
      <c r="A93" s="164"/>
      <c r="B93" s="165">
        <f>DATE(20,9,1)</f>
        <v>7550</v>
      </c>
      <c r="C93" s="226">
        <v>144179628.53</v>
      </c>
      <c r="D93" s="226">
        <v>13632742.51</v>
      </c>
      <c r="E93" s="226">
        <v>15944541.300000001</v>
      </c>
      <c r="F93" s="166">
        <f t="shared" si="27"/>
        <v>-0.1449899841270442</v>
      </c>
      <c r="G93" s="241">
        <f t="shared" si="28"/>
        <v>9.4553874559077419E-2</v>
      </c>
      <c r="H93" s="242">
        <f t="shared" si="29"/>
        <v>0.90544612544092262</v>
      </c>
      <c r="I93" s="157"/>
    </row>
    <row r="94" spans="1:9" ht="15.75" x14ac:dyDescent="0.25">
      <c r="A94" s="164"/>
      <c r="B94" s="165">
        <f>DATE(20,10,1)</f>
        <v>7580</v>
      </c>
      <c r="C94" s="226">
        <v>153697637.43000001</v>
      </c>
      <c r="D94" s="226">
        <v>14284849.609999999</v>
      </c>
      <c r="E94" s="226">
        <v>16080736.01</v>
      </c>
      <c r="F94" s="166">
        <f t="shared" si="27"/>
        <v>-0.11167936585012071</v>
      </c>
      <c r="G94" s="241">
        <f t="shared" si="28"/>
        <v>9.2941243917987262E-2</v>
      </c>
      <c r="H94" s="242">
        <f t="shared" si="29"/>
        <v>0.9070587560820127</v>
      </c>
      <c r="I94" s="157"/>
    </row>
    <row r="95" spans="1:9" ht="15.75" x14ac:dyDescent="0.25">
      <c r="A95" s="164"/>
      <c r="B95" s="165">
        <f>DATE(20,11,1)</f>
        <v>7611</v>
      </c>
      <c r="C95" s="226">
        <v>132944210.06999999</v>
      </c>
      <c r="D95" s="226">
        <v>12348288.83</v>
      </c>
      <c r="E95" s="226">
        <v>17058182.91</v>
      </c>
      <c r="F95" s="166">
        <f t="shared" si="27"/>
        <v>-0.276107607993752</v>
      </c>
      <c r="G95" s="241">
        <f t="shared" si="28"/>
        <v>9.2883238942848084E-2</v>
      </c>
      <c r="H95" s="242">
        <f t="shared" si="29"/>
        <v>0.90711676105715189</v>
      </c>
      <c r="I95" s="157"/>
    </row>
    <row r="96" spans="1:9" ht="15.75" x14ac:dyDescent="0.25">
      <c r="A96" s="164"/>
      <c r="B96" s="165">
        <f>DATE(20,12,1)</f>
        <v>7641</v>
      </c>
      <c r="C96" s="226">
        <v>134457499.72999999</v>
      </c>
      <c r="D96" s="226">
        <v>12123166.43</v>
      </c>
      <c r="E96" s="226">
        <v>16970606.43</v>
      </c>
      <c r="F96" s="166">
        <f t="shared" si="27"/>
        <v>-0.28563740606410376</v>
      </c>
      <c r="G96" s="241">
        <f t="shared" si="28"/>
        <v>9.0163556918313681E-2</v>
      </c>
      <c r="H96" s="242">
        <f t="shared" si="29"/>
        <v>0.90983644308168632</v>
      </c>
      <c r="I96" s="157"/>
    </row>
    <row r="97" spans="1:9" ht="15.75" thickBot="1" x14ac:dyDescent="0.25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7.25" thickTop="1" thickBot="1" x14ac:dyDescent="0.3">
      <c r="A98" s="174" t="s">
        <v>14</v>
      </c>
      <c r="B98" s="175"/>
      <c r="C98" s="228">
        <f>SUM(C91:C97)</f>
        <v>844247874.1099999</v>
      </c>
      <c r="D98" s="228">
        <f>SUM(D91:D97)</f>
        <v>78665938.469999999</v>
      </c>
      <c r="E98" s="228">
        <f>SUM(E91:E97)</f>
        <v>99172618.349999994</v>
      </c>
      <c r="F98" s="176">
        <f>(+D98-E98)/E98</f>
        <v>-0.20677763904173452</v>
      </c>
      <c r="G98" s="249">
        <f>D98/C98</f>
        <v>9.3178722603156183E-2</v>
      </c>
      <c r="H98" s="270">
        <f>1-G98</f>
        <v>0.90682127739684382</v>
      </c>
      <c r="I98" s="157"/>
    </row>
    <row r="99" spans="1:9" ht="15.75" thickTop="1" x14ac:dyDescent="0.2">
      <c r="A99" s="167"/>
      <c r="B99" s="168"/>
      <c r="C99" s="226"/>
      <c r="D99" s="226"/>
      <c r="E99" s="226"/>
      <c r="F99" s="166"/>
      <c r="G99" s="241"/>
      <c r="H99" s="242"/>
      <c r="I99" s="157"/>
    </row>
    <row r="100" spans="1:9" ht="15.75" x14ac:dyDescent="0.25">
      <c r="A100" s="164" t="s">
        <v>55</v>
      </c>
      <c r="B100" s="165">
        <f>DATE(20,7,1)</f>
        <v>7488</v>
      </c>
      <c r="C100" s="226">
        <v>25124152.59</v>
      </c>
      <c r="D100" s="226">
        <v>2784731.95</v>
      </c>
      <c r="E100" s="226">
        <v>2612988.94</v>
      </c>
      <c r="F100" s="166">
        <f t="shared" ref="F100:F105" si="30">(+D100-E100)/E100</f>
        <v>6.5726650186280641E-2</v>
      </c>
      <c r="G100" s="241">
        <f t="shared" ref="G100:G105" si="31">D100/C100</f>
        <v>0.11083884083351685</v>
      </c>
      <c r="H100" s="242">
        <f t="shared" ref="H100:H105" si="32">1-G100</f>
        <v>0.88916115916648319</v>
      </c>
      <c r="I100" s="157"/>
    </row>
    <row r="101" spans="1:9" ht="15.75" x14ac:dyDescent="0.25">
      <c r="A101" s="164"/>
      <c r="B101" s="165">
        <f>DATE(20,8,1)</f>
        <v>7519</v>
      </c>
      <c r="C101" s="226">
        <v>26128366.460000001</v>
      </c>
      <c r="D101" s="226">
        <v>2961173.82</v>
      </c>
      <c r="E101" s="226">
        <v>2826240.12</v>
      </c>
      <c r="F101" s="166">
        <f t="shared" si="30"/>
        <v>4.7743183264980227E-2</v>
      </c>
      <c r="G101" s="241">
        <f t="shared" si="31"/>
        <v>0.1133317624174198</v>
      </c>
      <c r="H101" s="242">
        <f t="shared" si="32"/>
        <v>0.88666823758258018</v>
      </c>
      <c r="I101" s="157"/>
    </row>
    <row r="102" spans="1:9" ht="15.75" x14ac:dyDescent="0.25">
      <c r="A102" s="164"/>
      <c r="B102" s="165">
        <f>DATE(20,9,1)</f>
        <v>7550</v>
      </c>
      <c r="C102" s="226">
        <v>25242024.670000002</v>
      </c>
      <c r="D102" s="226">
        <v>2707604.99</v>
      </c>
      <c r="E102" s="226">
        <v>2549839.52</v>
      </c>
      <c r="F102" s="166">
        <f t="shared" si="30"/>
        <v>6.1872705620313002E-2</v>
      </c>
      <c r="G102" s="241">
        <f t="shared" si="31"/>
        <v>0.10726576118190602</v>
      </c>
      <c r="H102" s="242">
        <f t="shared" si="32"/>
        <v>0.89273423881809399</v>
      </c>
      <c r="I102" s="157"/>
    </row>
    <row r="103" spans="1:9" ht="15.75" x14ac:dyDescent="0.25">
      <c r="A103" s="164"/>
      <c r="B103" s="165">
        <f>DATE(20,10,1)</f>
        <v>7580</v>
      </c>
      <c r="C103" s="226">
        <v>24651178.559999999</v>
      </c>
      <c r="D103" s="226">
        <v>2777127.87</v>
      </c>
      <c r="E103" s="226">
        <v>2654170.6800000002</v>
      </c>
      <c r="F103" s="166">
        <f t="shared" si="30"/>
        <v>4.6326029793984438E-2</v>
      </c>
      <c r="G103" s="241">
        <f t="shared" si="31"/>
        <v>0.11265700190522657</v>
      </c>
      <c r="H103" s="242">
        <f t="shared" si="32"/>
        <v>0.88734299809477346</v>
      </c>
      <c r="I103" s="157"/>
    </row>
    <row r="104" spans="1:9" ht="15.75" x14ac:dyDescent="0.25">
      <c r="A104" s="164"/>
      <c r="B104" s="165">
        <f>DATE(20,11,1)</f>
        <v>7611</v>
      </c>
      <c r="C104" s="226">
        <v>22778053.699999999</v>
      </c>
      <c r="D104" s="226">
        <v>2545068.2999999998</v>
      </c>
      <c r="E104" s="226">
        <v>2750246.46</v>
      </c>
      <c r="F104" s="166">
        <f t="shared" si="30"/>
        <v>-7.4603553893857269E-2</v>
      </c>
      <c r="G104" s="241">
        <f t="shared" si="31"/>
        <v>0.11173335235398096</v>
      </c>
      <c r="H104" s="242">
        <f t="shared" si="32"/>
        <v>0.88826664764601904</v>
      </c>
      <c r="I104" s="157"/>
    </row>
    <row r="105" spans="1:9" ht="15.75" x14ac:dyDescent="0.25">
      <c r="A105" s="164"/>
      <c r="B105" s="165">
        <f>DATE(20,12,1)</f>
        <v>7641</v>
      </c>
      <c r="C105" s="226">
        <v>28927212.960000001</v>
      </c>
      <c r="D105" s="226">
        <v>3275319.33</v>
      </c>
      <c r="E105" s="226">
        <v>2678793.62</v>
      </c>
      <c r="F105" s="166">
        <f t="shared" si="30"/>
        <v>0.22268445973079476</v>
      </c>
      <c r="G105" s="241">
        <f t="shared" si="31"/>
        <v>0.11322623214787575</v>
      </c>
      <c r="H105" s="242">
        <f t="shared" si="32"/>
        <v>0.88677376785212425</v>
      </c>
      <c r="I105" s="157"/>
    </row>
    <row r="106" spans="1:9" ht="15.75" thickBot="1" x14ac:dyDescent="0.25">
      <c r="A106" s="167"/>
      <c r="B106" s="168"/>
      <c r="C106" s="226"/>
      <c r="D106" s="226"/>
      <c r="E106" s="226"/>
      <c r="F106" s="166"/>
      <c r="G106" s="241"/>
      <c r="H106" s="242"/>
      <c r="I106" s="157"/>
    </row>
    <row r="107" spans="1:9" ht="17.25" thickTop="1" thickBot="1" x14ac:dyDescent="0.3">
      <c r="A107" s="182" t="s">
        <v>14</v>
      </c>
      <c r="B107" s="183"/>
      <c r="C107" s="230">
        <f>SUM(C100:C106)</f>
        <v>152850988.94</v>
      </c>
      <c r="D107" s="230">
        <f>SUM(D100:D106)</f>
        <v>17051026.259999998</v>
      </c>
      <c r="E107" s="230">
        <f>SUM(E100:E106)</f>
        <v>16072279.34</v>
      </c>
      <c r="F107" s="176">
        <f>(+D107-E107)/E107</f>
        <v>6.0896584690644011E-2</v>
      </c>
      <c r="G107" s="249">
        <f>D107/C107</f>
        <v>0.11155326097820141</v>
      </c>
      <c r="H107" s="246">
        <f>1-G107</f>
        <v>0.8884467390217986</v>
      </c>
      <c r="I107" s="157"/>
    </row>
    <row r="108" spans="1:9" ht="15.75" thickTop="1" x14ac:dyDescent="0.2">
      <c r="A108" s="167"/>
      <c r="B108" s="168"/>
      <c r="C108" s="226"/>
      <c r="D108" s="226"/>
      <c r="E108" s="226"/>
      <c r="F108" s="166"/>
      <c r="G108" s="241"/>
      <c r="H108" s="242"/>
      <c r="I108" s="157"/>
    </row>
    <row r="109" spans="1:9" ht="15.75" x14ac:dyDescent="0.25">
      <c r="A109" s="164" t="s">
        <v>37</v>
      </c>
      <c r="B109" s="165">
        <f>DATE(20,7,1)</f>
        <v>7488</v>
      </c>
      <c r="C109" s="226">
        <v>193788423.05000001</v>
      </c>
      <c r="D109" s="226">
        <v>17781520.260000002</v>
      </c>
      <c r="E109" s="226">
        <v>19119192.239999998</v>
      </c>
      <c r="F109" s="166">
        <f t="shared" ref="F109:F114" si="33">(+D109-E109)/E109</f>
        <v>-6.9964879436768337E-2</v>
      </c>
      <c r="G109" s="241">
        <f t="shared" ref="G109:G114" si="34">D109/C109</f>
        <v>9.1757391799468485E-2</v>
      </c>
      <c r="H109" s="242">
        <f t="shared" ref="H109:H114" si="35">1-G109</f>
        <v>0.90824260820053149</v>
      </c>
      <c r="I109" s="157"/>
    </row>
    <row r="110" spans="1:9" ht="15.75" x14ac:dyDescent="0.25">
      <c r="A110" s="164"/>
      <c r="B110" s="165">
        <f>DATE(20,8,1)</f>
        <v>7519</v>
      </c>
      <c r="C110" s="226">
        <v>187407837.13</v>
      </c>
      <c r="D110" s="226">
        <v>17286123.989999998</v>
      </c>
      <c r="E110" s="226">
        <v>19394509.940000001</v>
      </c>
      <c r="F110" s="166">
        <f t="shared" si="33"/>
        <v>-0.10871045241785587</v>
      </c>
      <c r="G110" s="241">
        <f t="shared" si="34"/>
        <v>9.223799951337712E-2</v>
      </c>
      <c r="H110" s="242">
        <f t="shared" si="35"/>
        <v>0.90776200048662292</v>
      </c>
      <c r="I110" s="157"/>
    </row>
    <row r="111" spans="1:9" ht="15.75" x14ac:dyDescent="0.25">
      <c r="A111" s="164"/>
      <c r="B111" s="165">
        <f>DATE(20,9,1)</f>
        <v>7550</v>
      </c>
      <c r="C111" s="226">
        <v>182127854.37</v>
      </c>
      <c r="D111" s="226">
        <v>16702603.76</v>
      </c>
      <c r="E111" s="226">
        <v>17543226.640000001</v>
      </c>
      <c r="F111" s="166">
        <f t="shared" si="33"/>
        <v>-4.7917233086604005E-2</v>
      </c>
      <c r="G111" s="241">
        <f t="shared" si="34"/>
        <v>9.1708123492565796E-2</v>
      </c>
      <c r="H111" s="242">
        <f t="shared" si="35"/>
        <v>0.90829187650743415</v>
      </c>
      <c r="I111" s="157"/>
    </row>
    <row r="112" spans="1:9" ht="15.75" x14ac:dyDescent="0.25">
      <c r="A112" s="164"/>
      <c r="B112" s="165">
        <f>DATE(20,10,1)</f>
        <v>7580</v>
      </c>
      <c r="C112" s="226">
        <v>186473597.18000001</v>
      </c>
      <c r="D112" s="226">
        <v>17754592.84</v>
      </c>
      <c r="E112" s="226">
        <v>18312994.41</v>
      </c>
      <c r="F112" s="166">
        <f t="shared" si="33"/>
        <v>-3.0492095257511755E-2</v>
      </c>
      <c r="G112" s="241">
        <f t="shared" si="34"/>
        <v>9.5212368445178719E-2</v>
      </c>
      <c r="H112" s="242">
        <f t="shared" si="35"/>
        <v>0.90478763155482134</v>
      </c>
      <c r="I112" s="157"/>
    </row>
    <row r="113" spans="1:9" ht="15.75" x14ac:dyDescent="0.25">
      <c r="A113" s="164"/>
      <c r="B113" s="165">
        <f>DATE(20,11,1)</f>
        <v>7611</v>
      </c>
      <c r="C113" s="226">
        <v>166737487.81</v>
      </c>
      <c r="D113" s="226">
        <v>15307588.33</v>
      </c>
      <c r="E113" s="226">
        <v>17726569.68</v>
      </c>
      <c r="F113" s="166">
        <f t="shared" si="33"/>
        <v>-0.13646077011330709</v>
      </c>
      <c r="G113" s="241">
        <f t="shared" si="34"/>
        <v>9.1806518924186009E-2</v>
      </c>
      <c r="H113" s="242">
        <f t="shared" si="35"/>
        <v>0.90819348107581399</v>
      </c>
      <c r="I113" s="157"/>
    </row>
    <row r="114" spans="1:9" ht="15.75" x14ac:dyDescent="0.25">
      <c r="A114" s="164"/>
      <c r="B114" s="165">
        <f>DATE(20,12,1)</f>
        <v>7641</v>
      </c>
      <c r="C114" s="226">
        <v>206068326.33000001</v>
      </c>
      <c r="D114" s="226">
        <v>19390114.289999999</v>
      </c>
      <c r="E114" s="226">
        <v>17987460.18</v>
      </c>
      <c r="F114" s="166">
        <f t="shared" si="33"/>
        <v>7.7979553309009714E-2</v>
      </c>
      <c r="G114" s="241">
        <f t="shared" si="34"/>
        <v>9.4095558668965282E-2</v>
      </c>
      <c r="H114" s="242">
        <f t="shared" si="35"/>
        <v>0.90590444133103476</v>
      </c>
      <c r="I114" s="157"/>
    </row>
    <row r="115" spans="1:9" ht="15.75" thickBot="1" x14ac:dyDescent="0.25">
      <c r="A115" s="167"/>
      <c r="B115" s="168"/>
      <c r="C115" s="226"/>
      <c r="D115" s="226"/>
      <c r="E115" s="226"/>
      <c r="F115" s="166"/>
      <c r="G115" s="241"/>
      <c r="H115" s="242"/>
      <c r="I115" s="157"/>
    </row>
    <row r="116" spans="1:9" ht="17.25" thickTop="1" thickBot="1" x14ac:dyDescent="0.3">
      <c r="A116" s="174" t="s">
        <v>14</v>
      </c>
      <c r="B116" s="175"/>
      <c r="C116" s="228">
        <f>SUM(C109:C115)</f>
        <v>1122603525.8699999</v>
      </c>
      <c r="D116" s="228">
        <f>SUM(D109:D115)</f>
        <v>104222543.47</v>
      </c>
      <c r="E116" s="228">
        <f>SUM(E109:E115)</f>
        <v>110083953.09</v>
      </c>
      <c r="F116" s="176">
        <f>(+D116-E116)/E116</f>
        <v>-5.3244904960925259E-2</v>
      </c>
      <c r="G116" s="245">
        <f>D116/C116</f>
        <v>9.2840028619390974E-2</v>
      </c>
      <c r="H116" s="246">
        <f>1-G116</f>
        <v>0.907159971380609</v>
      </c>
      <c r="I116" s="157"/>
    </row>
    <row r="117" spans="1:9" ht="15.75" thickTop="1" x14ac:dyDescent="0.2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5.75" x14ac:dyDescent="0.25">
      <c r="A118" s="164" t="s">
        <v>58</v>
      </c>
      <c r="B118" s="165">
        <f>DATE(20,7,1)</f>
        <v>7488</v>
      </c>
      <c r="C118" s="226">
        <v>30630065.859999999</v>
      </c>
      <c r="D118" s="226">
        <v>3357321.79</v>
      </c>
      <c r="E118" s="226">
        <v>3293709.88</v>
      </c>
      <c r="F118" s="166">
        <f t="shared" ref="F118:F123" si="36">(+D118-E118)/E118</f>
        <v>1.9313149098608574E-2</v>
      </c>
      <c r="G118" s="241">
        <f t="shared" ref="G118:G123" si="37">D118/C118</f>
        <v>0.10960870294387282</v>
      </c>
      <c r="H118" s="242">
        <f t="shared" ref="H118:H123" si="38">1-G118</f>
        <v>0.89039129705612718</v>
      </c>
      <c r="I118" s="157"/>
    </row>
    <row r="119" spans="1:9" ht="15.75" x14ac:dyDescent="0.25">
      <c r="A119" s="164"/>
      <c r="B119" s="165">
        <f>DATE(20,8,1)</f>
        <v>7519</v>
      </c>
      <c r="C119" s="226">
        <v>29521795.920000002</v>
      </c>
      <c r="D119" s="226">
        <v>3360444.04</v>
      </c>
      <c r="E119" s="226">
        <v>3283356.99</v>
      </c>
      <c r="F119" s="166">
        <f t="shared" si="36"/>
        <v>2.3478120178457906E-2</v>
      </c>
      <c r="G119" s="241">
        <f t="shared" si="37"/>
        <v>0.11382925514106053</v>
      </c>
      <c r="H119" s="242">
        <f t="shared" si="38"/>
        <v>0.88617074485893943</v>
      </c>
      <c r="I119" s="157"/>
    </row>
    <row r="120" spans="1:9" ht="15.75" x14ac:dyDescent="0.25">
      <c r="A120" s="164"/>
      <c r="B120" s="165">
        <f>DATE(20,9,1)</f>
        <v>7550</v>
      </c>
      <c r="C120" s="226">
        <v>27722632.809999999</v>
      </c>
      <c r="D120" s="226">
        <v>3031984.28</v>
      </c>
      <c r="E120" s="226">
        <v>3164787.25</v>
      </c>
      <c r="F120" s="166">
        <f t="shared" si="36"/>
        <v>-4.1962684853460594E-2</v>
      </c>
      <c r="G120" s="241">
        <f t="shared" si="37"/>
        <v>0.10936855459508574</v>
      </c>
      <c r="H120" s="242">
        <f t="shared" si="38"/>
        <v>0.89063144540491423</v>
      </c>
      <c r="I120" s="157"/>
    </row>
    <row r="121" spans="1:9" ht="15.75" x14ac:dyDescent="0.25">
      <c r="A121" s="164"/>
      <c r="B121" s="165">
        <f>DATE(20,10,1)</f>
        <v>7580</v>
      </c>
      <c r="C121" s="226">
        <v>24051972.260000002</v>
      </c>
      <c r="D121" s="226">
        <v>2770053.1200000001</v>
      </c>
      <c r="E121" s="226">
        <v>3114034.79</v>
      </c>
      <c r="F121" s="166">
        <f t="shared" si="36"/>
        <v>-0.11046172994104536</v>
      </c>
      <c r="G121" s="241">
        <f t="shared" si="37"/>
        <v>0.11516947924502553</v>
      </c>
      <c r="H121" s="242">
        <f t="shared" si="38"/>
        <v>0.88483052075497448</v>
      </c>
      <c r="I121" s="157"/>
    </row>
    <row r="122" spans="1:9" ht="15.75" x14ac:dyDescent="0.25">
      <c r="A122" s="164"/>
      <c r="B122" s="165">
        <f>DATE(20,11,1)</f>
        <v>7611</v>
      </c>
      <c r="C122" s="226">
        <v>21330939.300000001</v>
      </c>
      <c r="D122" s="226">
        <v>2396488.16</v>
      </c>
      <c r="E122" s="226">
        <v>3192066.7</v>
      </c>
      <c r="F122" s="166">
        <f t="shared" si="36"/>
        <v>-0.24923618920619672</v>
      </c>
      <c r="G122" s="241">
        <f t="shared" si="37"/>
        <v>0.11234799022657198</v>
      </c>
      <c r="H122" s="242">
        <f t="shared" si="38"/>
        <v>0.88765200977342806</v>
      </c>
      <c r="I122" s="157"/>
    </row>
    <row r="123" spans="1:9" ht="15.75" x14ac:dyDescent="0.25">
      <c r="A123" s="164"/>
      <c r="B123" s="165">
        <f>DATE(20,12,1)</f>
        <v>7641</v>
      </c>
      <c r="C123" s="226">
        <v>23281170.02</v>
      </c>
      <c r="D123" s="226">
        <v>2648752.5099999998</v>
      </c>
      <c r="E123" s="226">
        <v>3336598.49</v>
      </c>
      <c r="F123" s="166">
        <f t="shared" si="36"/>
        <v>-0.20615185856539797</v>
      </c>
      <c r="G123" s="241">
        <f t="shared" si="37"/>
        <v>0.11377231074402848</v>
      </c>
      <c r="H123" s="242">
        <f t="shared" si="38"/>
        <v>0.88622768925597151</v>
      </c>
      <c r="I123" s="157"/>
    </row>
    <row r="124" spans="1:9" ht="15.75" thickBot="1" x14ac:dyDescent="0.25">
      <c r="A124" s="167"/>
      <c r="B124" s="168"/>
      <c r="C124" s="226"/>
      <c r="D124" s="226"/>
      <c r="E124" s="226"/>
      <c r="F124" s="166"/>
      <c r="G124" s="241"/>
      <c r="H124" s="242"/>
      <c r="I124" s="157"/>
    </row>
    <row r="125" spans="1:9" ht="17.25" thickTop="1" thickBot="1" x14ac:dyDescent="0.3">
      <c r="A125" s="169" t="s">
        <v>14</v>
      </c>
      <c r="B125" s="155"/>
      <c r="C125" s="223">
        <f>SUM(C118:C124)</f>
        <v>156538576.17000002</v>
      </c>
      <c r="D125" s="223">
        <f>SUM(D118:D124)</f>
        <v>17565043.899999999</v>
      </c>
      <c r="E125" s="223">
        <f>SUM(E118:E124)</f>
        <v>19384554.100000001</v>
      </c>
      <c r="F125" s="176">
        <f>(+D125-E125)/E125</f>
        <v>-9.3863918180093847E-2</v>
      </c>
      <c r="G125" s="245">
        <f>D125/C125</f>
        <v>0.11220904348155344</v>
      </c>
      <c r="H125" s="246">
        <f>1-G125</f>
        <v>0.88779095651844653</v>
      </c>
      <c r="I125" s="157"/>
    </row>
    <row r="126" spans="1:9" ht="16.5" thickTop="1" thickBot="1" x14ac:dyDescent="0.25">
      <c r="A126" s="171"/>
      <c r="B126" s="172"/>
      <c r="C126" s="227"/>
      <c r="D126" s="227"/>
      <c r="E126" s="227"/>
      <c r="F126" s="173"/>
      <c r="G126" s="243"/>
      <c r="H126" s="244"/>
      <c r="I126" s="157"/>
    </row>
    <row r="127" spans="1:9" ht="17.25" thickTop="1" thickBot="1" x14ac:dyDescent="0.3">
      <c r="A127" s="184" t="s">
        <v>38</v>
      </c>
      <c r="B127" s="155"/>
      <c r="C127" s="223">
        <f>C125+C116+C89+C71+C53+C35+C17+C44+C107+C26+C80+C98+C62</f>
        <v>6908618463.6599989</v>
      </c>
      <c r="D127" s="223">
        <f>D125+D116+D89+D71+D53+D35+D17+D44+D107+D26+D80+D98+D62</f>
        <v>675028573.66000009</v>
      </c>
      <c r="E127" s="223">
        <f>E125+E116+E89+E71+E53+E35+E17+E44+E107+E26+E80+E98+E62</f>
        <v>741179513.54999995</v>
      </c>
      <c r="F127" s="170">
        <f>(+D127-E127)/E127</f>
        <v>-8.9250901678540967E-2</v>
      </c>
      <c r="G127" s="236">
        <f>D127/C127</f>
        <v>9.770818539346407E-2</v>
      </c>
      <c r="H127" s="237">
        <f>1-G127</f>
        <v>0.90229181460653596</v>
      </c>
      <c r="I127" s="157"/>
    </row>
    <row r="128" spans="1:9" ht="17.25" thickTop="1" thickBot="1" x14ac:dyDescent="0.3">
      <c r="A128" s="184"/>
      <c r="B128" s="155"/>
      <c r="C128" s="223"/>
      <c r="D128" s="223"/>
      <c r="E128" s="223"/>
      <c r="F128" s="170"/>
      <c r="G128" s="236"/>
      <c r="H128" s="237"/>
      <c r="I128" s="157"/>
    </row>
    <row r="129" spans="1:9" ht="17.25" thickTop="1" thickBot="1" x14ac:dyDescent="0.3">
      <c r="A129" s="184" t="s">
        <v>39</v>
      </c>
      <c r="B129" s="155"/>
      <c r="C129" s="223">
        <f>SUM(C15+C24+C33+C42+C51+C60+C69+C78+C87+C96+C105+C114+C123)</f>
        <v>1177205012.6300001</v>
      </c>
      <c r="D129" s="223">
        <f>SUM(D15+D24+D33+D42+D51+D60+D69+D78+D87+D96+D105+D114+D123)</f>
        <v>115882136.60000001</v>
      </c>
      <c r="E129" s="223">
        <f>SUM(E15+E24+E33+E42+E51+E60+E69+E78+E87+E96+E105+E114+E123)</f>
        <v>125438788.78000002</v>
      </c>
      <c r="F129" s="170">
        <f>(+D129-E129)/E129</f>
        <v>-7.6185781710319908E-2</v>
      </c>
      <c r="G129" s="236">
        <f>D129/C129</f>
        <v>9.8438364903923659E-2</v>
      </c>
      <c r="H129" s="246">
        <f>1-G129</f>
        <v>0.90156163509607634</v>
      </c>
      <c r="I129" s="157"/>
    </row>
    <row r="130" spans="1:9" ht="16.5" thickTop="1" x14ac:dyDescent="0.25">
      <c r="A130" s="185"/>
      <c r="B130" s="186"/>
      <c r="C130" s="231"/>
      <c r="D130" s="231"/>
      <c r="E130" s="231"/>
      <c r="F130" s="187"/>
      <c r="G130" s="250"/>
      <c r="H130" s="250"/>
      <c r="I130" s="151"/>
    </row>
    <row r="131" spans="1:9" ht="16.5" customHeight="1" x14ac:dyDescent="0.3">
      <c r="A131" s="188" t="s">
        <v>49</v>
      </c>
      <c r="B131" s="189"/>
      <c r="C131" s="232"/>
      <c r="D131" s="232"/>
      <c r="E131" s="232"/>
      <c r="F131" s="190"/>
      <c r="G131" s="251"/>
      <c r="H131" s="251"/>
      <c r="I131" s="151"/>
    </row>
    <row r="132" spans="1:9" ht="15.75" x14ac:dyDescent="0.25">
      <c r="A132" s="191"/>
      <c r="B132" s="189"/>
      <c r="C132" s="232"/>
      <c r="D132" s="232"/>
      <c r="E132" s="232"/>
      <c r="F132" s="190"/>
      <c r="G132" s="257"/>
      <c r="H132" s="257"/>
      <c r="I132" s="151"/>
    </row>
    <row r="133" spans="1:9" ht="15.75" x14ac:dyDescent="0.25">
      <c r="A133" s="72"/>
      <c r="I133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2" manualBreakCount="2">
    <brk id="53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2021-01-07T15:14:55Z</cp:lastPrinted>
  <dcterms:created xsi:type="dcterms:W3CDTF">2003-09-09T14:41:43Z</dcterms:created>
  <dcterms:modified xsi:type="dcterms:W3CDTF">2021-01-07T21:08:59Z</dcterms:modified>
</cp:coreProperties>
</file>