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11_Nov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STATS'!$A$1:$M$117</definedName>
    <definedName name="_xlnm.Print_Area" localSheetId="4">'SLOT STATS'!$A$1:$I$118</definedName>
    <definedName name="_xlnm.Print_Area" localSheetId="2">'TABLE STATS'!$A$1:$H$117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16" i="4" l="1"/>
  <c r="D116" i="4"/>
  <c r="C116" i="4"/>
  <c r="F110" i="4"/>
  <c r="G110" i="4"/>
  <c r="H110" i="4" s="1"/>
  <c r="F102" i="4"/>
  <c r="G102" i="4"/>
  <c r="H102" i="4" s="1"/>
  <c r="F94" i="4"/>
  <c r="G94" i="4"/>
  <c r="H94" i="4" s="1"/>
  <c r="F86" i="4"/>
  <c r="G86" i="4"/>
  <c r="H86" i="4" s="1"/>
  <c r="F78" i="4"/>
  <c r="G78" i="4"/>
  <c r="H78" i="4" s="1"/>
  <c r="F70" i="4"/>
  <c r="G70" i="4"/>
  <c r="H70" i="4" s="1"/>
  <c r="F62" i="4"/>
  <c r="G62" i="4"/>
  <c r="H62" i="4" s="1"/>
  <c r="F54" i="4"/>
  <c r="G54" i="4"/>
  <c r="H54" i="4" s="1"/>
  <c r="F46" i="4"/>
  <c r="G46" i="4"/>
  <c r="H46" i="4" s="1"/>
  <c r="F38" i="4"/>
  <c r="G38" i="4"/>
  <c r="H38" i="4" s="1"/>
  <c r="F30" i="4"/>
  <c r="G30" i="4"/>
  <c r="H30" i="4" s="1"/>
  <c r="F22" i="4"/>
  <c r="G22" i="4"/>
  <c r="H22" i="4" s="1"/>
  <c r="F14" i="4"/>
  <c r="G14" i="4"/>
  <c r="H14" i="4" s="1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D116" i="5"/>
  <c r="C116" i="5"/>
  <c r="G70" i="5"/>
  <c r="H70" i="5" s="1"/>
  <c r="B110" i="5"/>
  <c r="B102" i="5"/>
  <c r="B94" i="5"/>
  <c r="B86" i="5"/>
  <c r="B78" i="5"/>
  <c r="B70" i="5"/>
  <c r="B62" i="5"/>
  <c r="B54" i="5"/>
  <c r="B46" i="5"/>
  <c r="B38" i="5"/>
  <c r="B30" i="5"/>
  <c r="B22" i="5"/>
  <c r="B14" i="5"/>
  <c r="E115" i="3"/>
  <c r="D115" i="3"/>
  <c r="F115" i="3" s="1"/>
  <c r="C115" i="3"/>
  <c r="F109" i="3"/>
  <c r="G109" i="3"/>
  <c r="F101" i="3"/>
  <c r="G101" i="3"/>
  <c r="F93" i="3"/>
  <c r="G93" i="3"/>
  <c r="F85" i="3"/>
  <c r="G85" i="3"/>
  <c r="F77" i="3"/>
  <c r="G77" i="3"/>
  <c r="F69" i="3"/>
  <c r="G69" i="3"/>
  <c r="F61" i="3"/>
  <c r="G61" i="3"/>
  <c r="F53" i="3"/>
  <c r="G53" i="3"/>
  <c r="F45" i="3"/>
  <c r="G45" i="3"/>
  <c r="F37" i="3"/>
  <c r="G37" i="3"/>
  <c r="F29" i="3"/>
  <c r="G29" i="3"/>
  <c r="F21" i="3"/>
  <c r="G21" i="3"/>
  <c r="F13" i="3"/>
  <c r="G13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N35" i="2"/>
  <c r="M35" i="2"/>
  <c r="L35" i="2"/>
  <c r="K35" i="2"/>
  <c r="J35" i="2"/>
  <c r="I35" i="2"/>
  <c r="H35" i="2"/>
  <c r="G35" i="2"/>
  <c r="O35" i="2" s="1"/>
  <c r="F35" i="2"/>
  <c r="E35" i="2"/>
  <c r="D35" i="2"/>
  <c r="C35" i="2"/>
  <c r="B35" i="2"/>
  <c r="N14" i="2"/>
  <c r="M14" i="2"/>
  <c r="L14" i="2"/>
  <c r="K14" i="2"/>
  <c r="J14" i="2"/>
  <c r="I14" i="2"/>
  <c r="H14" i="2"/>
  <c r="H23" i="2" s="1"/>
  <c r="G14" i="2"/>
  <c r="F14" i="2"/>
  <c r="E14" i="2"/>
  <c r="D14" i="2"/>
  <c r="C14" i="2"/>
  <c r="B14" i="2"/>
  <c r="A35" i="2"/>
  <c r="A14" i="2"/>
  <c r="G58" i="1"/>
  <c r="F52" i="1"/>
  <c r="J52" i="1" s="1"/>
  <c r="F59" i="1"/>
  <c r="F108" i="1"/>
  <c r="F111" i="1" s="1"/>
  <c r="L115" i="1"/>
  <c r="K115" i="1"/>
  <c r="D115" i="1"/>
  <c r="C115" i="1"/>
  <c r="M109" i="1"/>
  <c r="I109" i="1"/>
  <c r="J109" i="1"/>
  <c r="G109" i="1"/>
  <c r="F109" i="1"/>
  <c r="H109" i="1" s="1"/>
  <c r="E109" i="1"/>
  <c r="M101" i="1"/>
  <c r="I101" i="1"/>
  <c r="J101" i="1"/>
  <c r="G101" i="1"/>
  <c r="F101" i="1"/>
  <c r="H101" i="1" s="1"/>
  <c r="E101" i="1"/>
  <c r="H93" i="1"/>
  <c r="M93" i="1"/>
  <c r="I93" i="1"/>
  <c r="J93" i="1"/>
  <c r="G93" i="1"/>
  <c r="F93" i="1"/>
  <c r="E93" i="1"/>
  <c r="M85" i="1"/>
  <c r="I85" i="1"/>
  <c r="G85" i="1"/>
  <c r="F85" i="1"/>
  <c r="H85" i="1" s="1"/>
  <c r="E85" i="1"/>
  <c r="H77" i="1"/>
  <c r="M77" i="1"/>
  <c r="I77" i="1"/>
  <c r="G77" i="1"/>
  <c r="F77" i="1"/>
  <c r="J77" i="1" s="1"/>
  <c r="E77" i="1"/>
  <c r="M69" i="1"/>
  <c r="I69" i="1"/>
  <c r="G69" i="1"/>
  <c r="F69" i="1"/>
  <c r="J69" i="1" s="1"/>
  <c r="E69" i="1"/>
  <c r="M61" i="1"/>
  <c r="I61" i="1"/>
  <c r="J61" i="1"/>
  <c r="G61" i="1"/>
  <c r="F61" i="1"/>
  <c r="H61" i="1" s="1"/>
  <c r="E61" i="1"/>
  <c r="M53" i="1"/>
  <c r="I53" i="1"/>
  <c r="J53" i="1"/>
  <c r="G53" i="1"/>
  <c r="F53" i="1"/>
  <c r="H53" i="1" s="1"/>
  <c r="E53" i="1"/>
  <c r="H45" i="1"/>
  <c r="M45" i="1"/>
  <c r="I45" i="1"/>
  <c r="J45" i="1"/>
  <c r="G45" i="1"/>
  <c r="F45" i="1"/>
  <c r="E45" i="1"/>
  <c r="M37" i="1"/>
  <c r="I37" i="1"/>
  <c r="G37" i="1"/>
  <c r="F37" i="1"/>
  <c r="H37" i="1" s="1"/>
  <c r="E37" i="1"/>
  <c r="M29" i="1"/>
  <c r="I29" i="1"/>
  <c r="G29" i="1"/>
  <c r="F29" i="1"/>
  <c r="J29" i="1" s="1"/>
  <c r="E29" i="1"/>
  <c r="M21" i="1"/>
  <c r="I21" i="1"/>
  <c r="J21" i="1"/>
  <c r="G21" i="1"/>
  <c r="F21" i="1"/>
  <c r="H21" i="1" s="1"/>
  <c r="E21" i="1"/>
  <c r="M13" i="1"/>
  <c r="I13" i="1"/>
  <c r="J13" i="1"/>
  <c r="G13" i="1"/>
  <c r="G15" i="1" s="1"/>
  <c r="F13" i="1"/>
  <c r="H13" i="1" s="1"/>
  <c r="E13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F109" i="4"/>
  <c r="G109" i="4"/>
  <c r="H109" i="4" s="1"/>
  <c r="F101" i="4"/>
  <c r="G101" i="4"/>
  <c r="H101" i="4" s="1"/>
  <c r="F93" i="4"/>
  <c r="G93" i="4"/>
  <c r="H93" i="4"/>
  <c r="F85" i="4"/>
  <c r="G85" i="4"/>
  <c r="H85" i="4" s="1"/>
  <c r="F77" i="4"/>
  <c r="G77" i="4"/>
  <c r="H77" i="4" s="1"/>
  <c r="F69" i="4"/>
  <c r="G69" i="4"/>
  <c r="H69" i="4" s="1"/>
  <c r="F61" i="4"/>
  <c r="G61" i="4"/>
  <c r="H61" i="4"/>
  <c r="F53" i="4"/>
  <c r="G53" i="4"/>
  <c r="H53" i="4" s="1"/>
  <c r="F45" i="4"/>
  <c r="G45" i="4"/>
  <c r="H45" i="4" s="1"/>
  <c r="F37" i="4"/>
  <c r="G37" i="4"/>
  <c r="H37" i="4" s="1"/>
  <c r="F29" i="4"/>
  <c r="G29" i="4"/>
  <c r="H29" i="4"/>
  <c r="F21" i="4"/>
  <c r="G21" i="4"/>
  <c r="H21" i="4" s="1"/>
  <c r="G13" i="4"/>
  <c r="H13" i="4" s="1"/>
  <c r="F13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G69" i="5"/>
  <c r="H69" i="5" s="1"/>
  <c r="B109" i="5"/>
  <c r="B101" i="5"/>
  <c r="B93" i="5"/>
  <c r="B85" i="5"/>
  <c r="B77" i="5"/>
  <c r="B69" i="5"/>
  <c r="B61" i="5"/>
  <c r="B53" i="5"/>
  <c r="B45" i="5"/>
  <c r="B37" i="5"/>
  <c r="B29" i="5"/>
  <c r="B21" i="5"/>
  <c r="B13" i="5"/>
  <c r="F108" i="3"/>
  <c r="G108" i="3"/>
  <c r="F100" i="3"/>
  <c r="G100" i="3"/>
  <c r="F92" i="3"/>
  <c r="G92" i="3"/>
  <c r="F84" i="3"/>
  <c r="G84" i="3"/>
  <c r="F76" i="3"/>
  <c r="G76" i="3"/>
  <c r="F68" i="3"/>
  <c r="G68" i="3"/>
  <c r="F60" i="3"/>
  <c r="G60" i="3"/>
  <c r="F52" i="3"/>
  <c r="G52" i="3"/>
  <c r="F44" i="3"/>
  <c r="G44" i="3"/>
  <c r="F36" i="3"/>
  <c r="G36" i="3"/>
  <c r="F28" i="3"/>
  <c r="G28" i="3"/>
  <c r="F20" i="3"/>
  <c r="G20" i="3"/>
  <c r="G12" i="3"/>
  <c r="F12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F74" i="1"/>
  <c r="F73" i="1"/>
  <c r="F99" i="1"/>
  <c r="F107" i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K23" i="2" s="1"/>
  <c r="J13" i="2"/>
  <c r="I13" i="2"/>
  <c r="H13" i="2"/>
  <c r="G13" i="2"/>
  <c r="F13" i="2"/>
  <c r="E13" i="2"/>
  <c r="D13" i="2"/>
  <c r="C13" i="2"/>
  <c r="B13" i="2"/>
  <c r="A34" i="2"/>
  <c r="A13" i="2"/>
  <c r="M108" i="1"/>
  <c r="I108" i="1"/>
  <c r="G108" i="1"/>
  <c r="E108" i="1"/>
  <c r="M100" i="1"/>
  <c r="I100" i="1"/>
  <c r="G100" i="1"/>
  <c r="F100" i="1"/>
  <c r="H100" i="1" s="1"/>
  <c r="E100" i="1"/>
  <c r="H92" i="1"/>
  <c r="M92" i="1"/>
  <c r="I92" i="1"/>
  <c r="G92" i="1"/>
  <c r="F92" i="1"/>
  <c r="J92" i="1" s="1"/>
  <c r="E92" i="1"/>
  <c r="M84" i="1"/>
  <c r="I84" i="1"/>
  <c r="G84" i="1"/>
  <c r="F84" i="1"/>
  <c r="J84" i="1" s="1"/>
  <c r="E84" i="1"/>
  <c r="M76" i="1"/>
  <c r="I76" i="1"/>
  <c r="J76" i="1"/>
  <c r="G76" i="1"/>
  <c r="F76" i="1"/>
  <c r="H76" i="1" s="1"/>
  <c r="E76" i="1"/>
  <c r="M68" i="1"/>
  <c r="I68" i="1"/>
  <c r="J68" i="1"/>
  <c r="G68" i="1"/>
  <c r="F68" i="1"/>
  <c r="H68" i="1" s="1"/>
  <c r="E68" i="1"/>
  <c r="H60" i="1"/>
  <c r="M60" i="1"/>
  <c r="I60" i="1"/>
  <c r="J60" i="1"/>
  <c r="G60" i="1"/>
  <c r="F60" i="1"/>
  <c r="E60" i="1"/>
  <c r="M52" i="1"/>
  <c r="I52" i="1"/>
  <c r="G52" i="1"/>
  <c r="E52" i="1"/>
  <c r="H44" i="1"/>
  <c r="M44" i="1"/>
  <c r="I44" i="1"/>
  <c r="J44" i="1"/>
  <c r="G44" i="1"/>
  <c r="F44" i="1"/>
  <c r="E44" i="1"/>
  <c r="M36" i="1"/>
  <c r="I36" i="1"/>
  <c r="G36" i="1"/>
  <c r="F36" i="1"/>
  <c r="H36" i="1" s="1"/>
  <c r="E36" i="1"/>
  <c r="M28" i="1"/>
  <c r="I28" i="1"/>
  <c r="G28" i="1"/>
  <c r="F28" i="1"/>
  <c r="J28" i="1" s="1"/>
  <c r="E28" i="1"/>
  <c r="M20" i="1"/>
  <c r="I20" i="1"/>
  <c r="J20" i="1"/>
  <c r="G20" i="1"/>
  <c r="F20" i="1"/>
  <c r="H20" i="1" s="1"/>
  <c r="E20" i="1"/>
  <c r="M12" i="1"/>
  <c r="I12" i="1"/>
  <c r="H12" i="1"/>
  <c r="E12" i="1"/>
  <c r="G12" i="1"/>
  <c r="F12" i="1"/>
  <c r="J12" i="1" s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G108" i="4"/>
  <c r="H108" i="4" s="1"/>
  <c r="F108" i="4"/>
  <c r="H100" i="4"/>
  <c r="G100" i="4"/>
  <c r="F100" i="4"/>
  <c r="G92" i="4"/>
  <c r="H92" i="4" s="1"/>
  <c r="F92" i="4"/>
  <c r="G84" i="4"/>
  <c r="H84" i="4" s="1"/>
  <c r="F84" i="4"/>
  <c r="H76" i="4"/>
  <c r="G76" i="4"/>
  <c r="F76" i="4"/>
  <c r="G68" i="4"/>
  <c r="H68" i="4" s="1"/>
  <c r="F68" i="4"/>
  <c r="G60" i="4"/>
  <c r="H60" i="4" s="1"/>
  <c r="F60" i="4"/>
  <c r="G52" i="4"/>
  <c r="H52" i="4" s="1"/>
  <c r="F52" i="4"/>
  <c r="G44" i="4"/>
  <c r="H44" i="4" s="1"/>
  <c r="F44" i="4"/>
  <c r="G36" i="4"/>
  <c r="H36" i="4" s="1"/>
  <c r="F36" i="4"/>
  <c r="G28" i="4"/>
  <c r="H28" i="4" s="1"/>
  <c r="F28" i="4"/>
  <c r="G20" i="4"/>
  <c r="H20" i="4" s="1"/>
  <c r="F20" i="4"/>
  <c r="G12" i="4"/>
  <c r="H12" i="4" s="1"/>
  <c r="F12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G68" i="5"/>
  <c r="H68" i="5" s="1"/>
  <c r="B108" i="5"/>
  <c r="B100" i="5"/>
  <c r="B92" i="5"/>
  <c r="B84" i="5"/>
  <c r="B76" i="5"/>
  <c r="B68" i="5"/>
  <c r="B60" i="5"/>
  <c r="B52" i="5"/>
  <c r="B44" i="5"/>
  <c r="B36" i="5"/>
  <c r="B28" i="5"/>
  <c r="B20" i="5"/>
  <c r="B12" i="5"/>
  <c r="G107" i="3"/>
  <c r="F107" i="3"/>
  <c r="G99" i="3"/>
  <c r="F99" i="3"/>
  <c r="G91" i="3"/>
  <c r="F91" i="3"/>
  <c r="G83" i="3"/>
  <c r="F83" i="3"/>
  <c r="G75" i="3"/>
  <c r="F75" i="3"/>
  <c r="G67" i="3"/>
  <c r="F67" i="3"/>
  <c r="G59" i="3"/>
  <c r="F59" i="3"/>
  <c r="G51" i="3"/>
  <c r="F51" i="3"/>
  <c r="G43" i="3"/>
  <c r="F43" i="3"/>
  <c r="G35" i="3"/>
  <c r="F35" i="3"/>
  <c r="G27" i="3"/>
  <c r="F27" i="3"/>
  <c r="G19" i="3"/>
  <c r="F19" i="3"/>
  <c r="G11" i="3"/>
  <c r="F11" i="3"/>
  <c r="B107" i="3"/>
  <c r="B99" i="3"/>
  <c r="B91" i="3"/>
  <c r="B83" i="3"/>
  <c r="B75" i="3"/>
  <c r="B67" i="3"/>
  <c r="B59" i="3"/>
  <c r="B51" i="3"/>
  <c r="B43" i="3"/>
  <c r="B35" i="3"/>
  <c r="B27" i="3"/>
  <c r="B19" i="3"/>
  <c r="B11" i="3"/>
  <c r="N33" i="2"/>
  <c r="M33" i="2"/>
  <c r="L33" i="2"/>
  <c r="K33" i="2"/>
  <c r="J33" i="2"/>
  <c r="I33" i="2"/>
  <c r="H33" i="2"/>
  <c r="G33" i="2"/>
  <c r="F33" i="2"/>
  <c r="E33" i="2"/>
  <c r="E44" i="2"/>
  <c r="D33" i="2"/>
  <c r="C33" i="2"/>
  <c r="B33" i="2"/>
  <c r="N12" i="2"/>
  <c r="M12" i="2"/>
  <c r="L12" i="2"/>
  <c r="K12" i="2"/>
  <c r="J12" i="2"/>
  <c r="I12" i="2"/>
  <c r="H12" i="2"/>
  <c r="G12" i="2"/>
  <c r="F12" i="2"/>
  <c r="O12" i="2" s="1"/>
  <c r="E12" i="2"/>
  <c r="D12" i="2"/>
  <c r="C12" i="2"/>
  <c r="B12" i="2"/>
  <c r="A33" i="2"/>
  <c r="A12" i="2"/>
  <c r="F58" i="1"/>
  <c r="F65" i="1"/>
  <c r="J65" i="1" s="1"/>
  <c r="E115" i="1"/>
  <c r="M107" i="1"/>
  <c r="I107" i="1"/>
  <c r="E107" i="1"/>
  <c r="G107" i="1"/>
  <c r="H107" i="1" s="1"/>
  <c r="M99" i="1"/>
  <c r="I99" i="1"/>
  <c r="E99" i="1"/>
  <c r="G99" i="1"/>
  <c r="G103" i="1" s="1"/>
  <c r="J99" i="1"/>
  <c r="M91" i="1"/>
  <c r="I91" i="1"/>
  <c r="E91" i="1"/>
  <c r="G91" i="1"/>
  <c r="F91" i="1"/>
  <c r="J91" i="1" s="1"/>
  <c r="M83" i="1"/>
  <c r="I83" i="1"/>
  <c r="E83" i="1"/>
  <c r="G83" i="1"/>
  <c r="H83" i="1" s="1"/>
  <c r="F83" i="1"/>
  <c r="J83" i="1" s="1"/>
  <c r="M75" i="1"/>
  <c r="J75" i="1"/>
  <c r="I75" i="1"/>
  <c r="H75" i="1"/>
  <c r="E75" i="1"/>
  <c r="G75" i="1"/>
  <c r="F75" i="1"/>
  <c r="M67" i="1"/>
  <c r="I67" i="1"/>
  <c r="E67" i="1"/>
  <c r="G67" i="1"/>
  <c r="F67" i="1"/>
  <c r="J67" i="1" s="1"/>
  <c r="M59" i="1"/>
  <c r="I59" i="1"/>
  <c r="E59" i="1"/>
  <c r="G59" i="1"/>
  <c r="H59" i="1" s="1"/>
  <c r="M51" i="1"/>
  <c r="J51" i="1"/>
  <c r="I51" i="1"/>
  <c r="E51" i="1"/>
  <c r="G27" i="1"/>
  <c r="F27" i="1"/>
  <c r="H27" i="1" s="1"/>
  <c r="G51" i="1"/>
  <c r="F51" i="1"/>
  <c r="H51" i="1" s="1"/>
  <c r="M43" i="1"/>
  <c r="J43" i="1"/>
  <c r="I43" i="1"/>
  <c r="H43" i="1"/>
  <c r="E43" i="1"/>
  <c r="G43" i="1"/>
  <c r="F43" i="1"/>
  <c r="M35" i="1"/>
  <c r="I35" i="1"/>
  <c r="E35" i="1"/>
  <c r="G35" i="1"/>
  <c r="F35" i="1"/>
  <c r="J35" i="1" s="1"/>
  <c r="M27" i="1"/>
  <c r="I27" i="1"/>
  <c r="E27" i="1"/>
  <c r="M19" i="1"/>
  <c r="I19" i="1"/>
  <c r="E19" i="1"/>
  <c r="G19" i="1"/>
  <c r="F19" i="1"/>
  <c r="J19" i="1" s="1"/>
  <c r="M11" i="1"/>
  <c r="J11" i="1"/>
  <c r="I11" i="1"/>
  <c r="E11" i="1"/>
  <c r="G11" i="1"/>
  <c r="F11" i="1"/>
  <c r="H11" i="1" s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G107" i="4"/>
  <c r="H107" i="4"/>
  <c r="F107" i="4"/>
  <c r="G99" i="4"/>
  <c r="H99" i="4"/>
  <c r="F99" i="4"/>
  <c r="G91" i="4"/>
  <c r="H91" i="4"/>
  <c r="F91" i="4"/>
  <c r="G83" i="4"/>
  <c r="H83" i="4" s="1"/>
  <c r="F83" i="4"/>
  <c r="G75" i="4"/>
  <c r="H75" i="4"/>
  <c r="F75" i="4"/>
  <c r="G67" i="4"/>
  <c r="H67" i="4"/>
  <c r="F67" i="4"/>
  <c r="G59" i="4"/>
  <c r="H59" i="4"/>
  <c r="F59" i="4"/>
  <c r="G51" i="4"/>
  <c r="H51" i="4" s="1"/>
  <c r="F51" i="4"/>
  <c r="G43" i="4"/>
  <c r="H43" i="4"/>
  <c r="F43" i="4"/>
  <c r="G35" i="4"/>
  <c r="H35" i="4"/>
  <c r="F35" i="4"/>
  <c r="G27" i="4"/>
  <c r="H27" i="4"/>
  <c r="F27" i="4"/>
  <c r="G19" i="4"/>
  <c r="H19" i="4" s="1"/>
  <c r="F19" i="4"/>
  <c r="G11" i="4"/>
  <c r="H11" i="4"/>
  <c r="F11" i="4"/>
  <c r="B107" i="4"/>
  <c r="B106" i="4"/>
  <c r="B99" i="4"/>
  <c r="B98" i="4"/>
  <c r="B91" i="4"/>
  <c r="B90" i="4"/>
  <c r="B83" i="4"/>
  <c r="B82" i="4"/>
  <c r="B75" i="4"/>
  <c r="B74" i="4"/>
  <c r="B67" i="4"/>
  <c r="B66" i="4"/>
  <c r="B59" i="4"/>
  <c r="B58" i="4"/>
  <c r="B51" i="4"/>
  <c r="B50" i="4"/>
  <c r="B43" i="4"/>
  <c r="B42" i="4"/>
  <c r="B35" i="4"/>
  <c r="B34" i="4"/>
  <c r="B27" i="4"/>
  <c r="B26" i="4"/>
  <c r="B19" i="4"/>
  <c r="B18" i="4"/>
  <c r="B11" i="4"/>
  <c r="B10" i="4"/>
  <c r="E116" i="5"/>
  <c r="G67" i="5"/>
  <c r="H67" i="5"/>
  <c r="B107" i="5"/>
  <c r="B106" i="5"/>
  <c r="B99" i="5"/>
  <c r="B98" i="5"/>
  <c r="B91" i="5"/>
  <c r="B90" i="5"/>
  <c r="B83" i="5"/>
  <c r="B82" i="5"/>
  <c r="B75" i="5"/>
  <c r="B74" i="5"/>
  <c r="B67" i="5"/>
  <c r="B66" i="5"/>
  <c r="B59" i="5"/>
  <c r="B58" i="5"/>
  <c r="B51" i="5"/>
  <c r="B50" i="5"/>
  <c r="B43" i="5"/>
  <c r="B42" i="5"/>
  <c r="B35" i="5"/>
  <c r="B34" i="5"/>
  <c r="B27" i="5"/>
  <c r="B26" i="5"/>
  <c r="B19" i="5"/>
  <c r="B18" i="5"/>
  <c r="B11" i="5"/>
  <c r="B10" i="5"/>
  <c r="G106" i="3"/>
  <c r="F106" i="3"/>
  <c r="G98" i="3"/>
  <c r="F98" i="3"/>
  <c r="G90" i="3"/>
  <c r="F90" i="3"/>
  <c r="G82" i="3"/>
  <c r="F82" i="3"/>
  <c r="G74" i="3"/>
  <c r="F74" i="3"/>
  <c r="G66" i="3"/>
  <c r="F66" i="3"/>
  <c r="G58" i="3"/>
  <c r="F58" i="3"/>
  <c r="G50" i="3"/>
  <c r="F50" i="3"/>
  <c r="G42" i="3"/>
  <c r="F42" i="3"/>
  <c r="G34" i="3"/>
  <c r="F34" i="3"/>
  <c r="G26" i="3"/>
  <c r="F26" i="3"/>
  <c r="G18" i="3"/>
  <c r="F18" i="3"/>
  <c r="G10" i="3"/>
  <c r="F10" i="3"/>
  <c r="B106" i="3"/>
  <c r="B105" i="3"/>
  <c r="B98" i="3"/>
  <c r="B97" i="3"/>
  <c r="B90" i="3"/>
  <c r="B89" i="3"/>
  <c r="B82" i="3"/>
  <c r="B81" i="3"/>
  <c r="B74" i="3"/>
  <c r="B73" i="3"/>
  <c r="B66" i="3"/>
  <c r="B65" i="3"/>
  <c r="B58" i="3"/>
  <c r="B57" i="3"/>
  <c r="B50" i="3"/>
  <c r="B49" i="3"/>
  <c r="B42" i="3"/>
  <c r="B41" i="3"/>
  <c r="B34" i="3"/>
  <c r="B33" i="3"/>
  <c r="B26" i="3"/>
  <c r="B25" i="3"/>
  <c r="B18" i="3"/>
  <c r="B17" i="3"/>
  <c r="B10" i="3"/>
  <c r="B9" i="3"/>
  <c r="N32" i="2"/>
  <c r="M32" i="2"/>
  <c r="L32" i="2"/>
  <c r="O32" i="2" s="1"/>
  <c r="K32" i="2"/>
  <c r="J32" i="2"/>
  <c r="I32" i="2"/>
  <c r="H32" i="2"/>
  <c r="G32" i="2"/>
  <c r="F32" i="2"/>
  <c r="E32" i="2"/>
  <c r="D32" i="2"/>
  <c r="C32" i="2"/>
  <c r="B32" i="2"/>
  <c r="N11" i="2"/>
  <c r="N23" i="2" s="1"/>
  <c r="M11" i="2"/>
  <c r="L11" i="2"/>
  <c r="K11" i="2"/>
  <c r="J11" i="2"/>
  <c r="I11" i="2"/>
  <c r="H11" i="2"/>
  <c r="G11" i="2"/>
  <c r="F11" i="2"/>
  <c r="E11" i="2"/>
  <c r="D11" i="2"/>
  <c r="C11" i="2"/>
  <c r="O11" i="2" s="1"/>
  <c r="B11" i="2"/>
  <c r="A32" i="2"/>
  <c r="A31" i="2"/>
  <c r="A11" i="2"/>
  <c r="A10" i="2"/>
  <c r="M106" i="1"/>
  <c r="I106" i="1"/>
  <c r="E106" i="1"/>
  <c r="G106" i="1"/>
  <c r="G105" i="1"/>
  <c r="G111" i="1" s="1"/>
  <c r="F106" i="1"/>
  <c r="H106" i="1" s="1"/>
  <c r="F105" i="1"/>
  <c r="M98" i="1"/>
  <c r="I98" i="1"/>
  <c r="E98" i="1"/>
  <c r="G98" i="1"/>
  <c r="G97" i="1"/>
  <c r="F98" i="1"/>
  <c r="J98" i="1" s="1"/>
  <c r="F97" i="1"/>
  <c r="J97" i="1" s="1"/>
  <c r="M90" i="1"/>
  <c r="I90" i="1"/>
  <c r="E90" i="1"/>
  <c r="G90" i="1"/>
  <c r="G89" i="1"/>
  <c r="F90" i="1"/>
  <c r="J90" i="1" s="1"/>
  <c r="F89" i="1"/>
  <c r="M82" i="1"/>
  <c r="J82" i="1"/>
  <c r="I82" i="1"/>
  <c r="H82" i="1"/>
  <c r="E82" i="1"/>
  <c r="G82" i="1"/>
  <c r="G81" i="1"/>
  <c r="F82" i="1"/>
  <c r="F81" i="1"/>
  <c r="F87" i="1" s="1"/>
  <c r="M74" i="1"/>
  <c r="J74" i="1"/>
  <c r="I74" i="1"/>
  <c r="E74" i="1"/>
  <c r="G74" i="1"/>
  <c r="G73" i="1"/>
  <c r="H74" i="1"/>
  <c r="M66" i="1"/>
  <c r="J66" i="1"/>
  <c r="I66" i="1"/>
  <c r="H66" i="1"/>
  <c r="E66" i="1"/>
  <c r="G66" i="1"/>
  <c r="G65" i="1"/>
  <c r="F66" i="1"/>
  <c r="M58" i="1"/>
  <c r="I58" i="1"/>
  <c r="E58" i="1"/>
  <c r="G57" i="1"/>
  <c r="H58" i="1"/>
  <c r="F57" i="1"/>
  <c r="M50" i="1"/>
  <c r="I50" i="1"/>
  <c r="E50" i="1"/>
  <c r="G50" i="1"/>
  <c r="G49" i="1"/>
  <c r="G55" i="1" s="1"/>
  <c r="F50" i="1"/>
  <c r="J50" i="1" s="1"/>
  <c r="F49" i="1"/>
  <c r="H49" i="1" s="1"/>
  <c r="M42" i="1"/>
  <c r="J42" i="1"/>
  <c r="I42" i="1"/>
  <c r="H42" i="1"/>
  <c r="E42" i="1"/>
  <c r="G42" i="1"/>
  <c r="G41" i="1"/>
  <c r="F42" i="1"/>
  <c r="F41" i="1"/>
  <c r="M34" i="1"/>
  <c r="I34" i="1"/>
  <c r="E34" i="1"/>
  <c r="G34" i="1"/>
  <c r="G33" i="1"/>
  <c r="G39" i="1" s="1"/>
  <c r="F34" i="1"/>
  <c r="J34" i="1" s="1"/>
  <c r="F33" i="1"/>
  <c r="M26" i="1"/>
  <c r="I26" i="1"/>
  <c r="E26" i="1"/>
  <c r="G26" i="1"/>
  <c r="H26" i="1" s="1"/>
  <c r="G25" i="1"/>
  <c r="F26" i="1"/>
  <c r="J26" i="1" s="1"/>
  <c r="F25" i="1"/>
  <c r="M18" i="1"/>
  <c r="I18" i="1"/>
  <c r="E18" i="1"/>
  <c r="G18" i="1"/>
  <c r="G17" i="1"/>
  <c r="F18" i="1"/>
  <c r="J18" i="1" s="1"/>
  <c r="F17" i="1"/>
  <c r="F23" i="1" s="1"/>
  <c r="H23" i="1" s="1"/>
  <c r="M10" i="1"/>
  <c r="J10" i="1"/>
  <c r="I10" i="1"/>
  <c r="H10" i="1"/>
  <c r="E10" i="1"/>
  <c r="G10" i="1"/>
  <c r="G9" i="1"/>
  <c r="F10" i="1"/>
  <c r="F9" i="1"/>
  <c r="F15" i="1" s="1"/>
  <c r="B106" i="1"/>
  <c r="B105" i="1"/>
  <c r="B98" i="1"/>
  <c r="B97" i="1"/>
  <c r="B90" i="1"/>
  <c r="B89" i="1"/>
  <c r="B82" i="1"/>
  <c r="B81" i="1"/>
  <c r="B74" i="1"/>
  <c r="B73" i="1"/>
  <c r="B66" i="1"/>
  <c r="B65" i="1"/>
  <c r="B58" i="1"/>
  <c r="B57" i="1"/>
  <c r="B50" i="1"/>
  <c r="B49" i="1"/>
  <c r="B42" i="1"/>
  <c r="B41" i="1"/>
  <c r="B34" i="1"/>
  <c r="B33" i="1"/>
  <c r="B26" i="1"/>
  <c r="B25" i="1"/>
  <c r="B18" i="1"/>
  <c r="B17" i="1"/>
  <c r="B10" i="1"/>
  <c r="B9" i="1"/>
  <c r="E112" i="5"/>
  <c r="E114" i="5" s="1"/>
  <c r="D112" i="5"/>
  <c r="C112" i="5"/>
  <c r="E104" i="5"/>
  <c r="D104" i="5"/>
  <c r="D114" i="5" s="1"/>
  <c r="G114" i="5" s="1"/>
  <c r="H114" i="5" s="1"/>
  <c r="C104" i="5"/>
  <c r="E96" i="5"/>
  <c r="D96" i="5"/>
  <c r="C96" i="5"/>
  <c r="E88" i="5"/>
  <c r="D88" i="5"/>
  <c r="C88" i="5"/>
  <c r="E80" i="5"/>
  <c r="D80" i="5"/>
  <c r="C80" i="5"/>
  <c r="E72" i="5"/>
  <c r="D72" i="5"/>
  <c r="C72" i="5"/>
  <c r="E64" i="5"/>
  <c r="D64" i="5"/>
  <c r="C64" i="5"/>
  <c r="E56" i="5"/>
  <c r="D56" i="5"/>
  <c r="C56" i="5"/>
  <c r="E48" i="5"/>
  <c r="D48" i="5"/>
  <c r="C48" i="5"/>
  <c r="E40" i="5"/>
  <c r="D40" i="5"/>
  <c r="C40" i="5"/>
  <c r="E32" i="5"/>
  <c r="D32" i="5"/>
  <c r="C32" i="5"/>
  <c r="E24" i="5"/>
  <c r="D24" i="5"/>
  <c r="C24" i="5"/>
  <c r="E16" i="5"/>
  <c r="D16" i="5"/>
  <c r="C16" i="5"/>
  <c r="H97" i="1"/>
  <c r="J25" i="1"/>
  <c r="J105" i="1"/>
  <c r="J89" i="1"/>
  <c r="G63" i="1"/>
  <c r="J41" i="1"/>
  <c r="G23" i="1"/>
  <c r="J9" i="1"/>
  <c r="L39" i="1"/>
  <c r="F50" i="4"/>
  <c r="F49" i="3"/>
  <c r="M49" i="1"/>
  <c r="E49" i="1"/>
  <c r="F106" i="4"/>
  <c r="F105" i="3"/>
  <c r="G31" i="2"/>
  <c r="G10" i="2"/>
  <c r="M105" i="1"/>
  <c r="E105" i="1"/>
  <c r="E56" i="4"/>
  <c r="D56" i="4"/>
  <c r="F56" i="4" s="1"/>
  <c r="C56" i="4"/>
  <c r="G50" i="4"/>
  <c r="H50" i="4" s="1"/>
  <c r="E55" i="3"/>
  <c r="D55" i="3"/>
  <c r="F55" i="3"/>
  <c r="C55" i="3"/>
  <c r="G49" i="3"/>
  <c r="L55" i="1"/>
  <c r="D55" i="1"/>
  <c r="C55" i="1"/>
  <c r="I55" i="1" s="1"/>
  <c r="I49" i="1"/>
  <c r="G106" i="4"/>
  <c r="H106" i="4" s="1"/>
  <c r="G105" i="3"/>
  <c r="I105" i="1"/>
  <c r="D15" i="1"/>
  <c r="E15" i="1" s="1"/>
  <c r="D23" i="1"/>
  <c r="E23" i="1"/>
  <c r="D31" i="1"/>
  <c r="D39" i="1"/>
  <c r="E39" i="1"/>
  <c r="D47" i="1"/>
  <c r="D63" i="1"/>
  <c r="D71" i="1"/>
  <c r="D79" i="1"/>
  <c r="D87" i="1"/>
  <c r="D95" i="1"/>
  <c r="D103" i="1"/>
  <c r="D113" i="1" s="1"/>
  <c r="D111" i="1"/>
  <c r="C111" i="1"/>
  <c r="E111" i="1" s="1"/>
  <c r="C112" i="4"/>
  <c r="C114" i="4" s="1"/>
  <c r="D112" i="4"/>
  <c r="C111" i="3"/>
  <c r="D111" i="3"/>
  <c r="E16" i="4"/>
  <c r="E24" i="4"/>
  <c r="F24" i="4" s="1"/>
  <c r="E32" i="4"/>
  <c r="E40" i="4"/>
  <c r="E48" i="4"/>
  <c r="E64" i="4"/>
  <c r="E72" i="4"/>
  <c r="E80" i="4"/>
  <c r="E88" i="4"/>
  <c r="F88" i="4"/>
  <c r="E96" i="4"/>
  <c r="F96" i="4"/>
  <c r="E104" i="4"/>
  <c r="E112" i="4"/>
  <c r="F112" i="4"/>
  <c r="D16" i="4"/>
  <c r="F16" i="4" s="1"/>
  <c r="D24" i="4"/>
  <c r="D32" i="4"/>
  <c r="F32" i="4"/>
  <c r="D40" i="4"/>
  <c r="F40" i="4" s="1"/>
  <c r="D48" i="4"/>
  <c r="F48" i="4" s="1"/>
  <c r="D64" i="4"/>
  <c r="D114" i="4" s="1"/>
  <c r="D72" i="4"/>
  <c r="D80" i="4"/>
  <c r="D88" i="4"/>
  <c r="D96" i="4"/>
  <c r="G96" i="4" s="1"/>
  <c r="H96" i="4" s="1"/>
  <c r="D104" i="4"/>
  <c r="F104" i="4" s="1"/>
  <c r="C16" i="4"/>
  <c r="C24" i="4"/>
  <c r="C32" i="4"/>
  <c r="G32" i="4"/>
  <c r="H32" i="4" s="1"/>
  <c r="C40" i="4"/>
  <c r="C48" i="4"/>
  <c r="C64" i="4"/>
  <c r="C72" i="4"/>
  <c r="C80" i="4"/>
  <c r="C88" i="4"/>
  <c r="G88" i="4"/>
  <c r="H88" i="4" s="1"/>
  <c r="C96" i="4"/>
  <c r="C104" i="4"/>
  <c r="F82" i="4"/>
  <c r="E15" i="3"/>
  <c r="E23" i="3"/>
  <c r="F23" i="3" s="1"/>
  <c r="E31" i="3"/>
  <c r="E39" i="3"/>
  <c r="F39" i="3" s="1"/>
  <c r="E47" i="3"/>
  <c r="E63" i="3"/>
  <c r="E71" i="3"/>
  <c r="E79" i="3"/>
  <c r="F79" i="3" s="1"/>
  <c r="E87" i="3"/>
  <c r="F87" i="3"/>
  <c r="E95" i="3"/>
  <c r="E103" i="3"/>
  <c r="E111" i="3"/>
  <c r="D15" i="3"/>
  <c r="G15" i="3" s="1"/>
  <c r="D23" i="3"/>
  <c r="G23" i="3" s="1"/>
  <c r="D31" i="3"/>
  <c r="F31" i="3" s="1"/>
  <c r="D39" i="3"/>
  <c r="D47" i="3"/>
  <c r="F47" i="3" s="1"/>
  <c r="D63" i="3"/>
  <c r="F63" i="3" s="1"/>
  <c r="D71" i="3"/>
  <c r="G71" i="3" s="1"/>
  <c r="D79" i="3"/>
  <c r="D87" i="3"/>
  <c r="G87" i="3" s="1"/>
  <c r="D95" i="3"/>
  <c r="G95" i="3"/>
  <c r="D103" i="3"/>
  <c r="F103" i="3" s="1"/>
  <c r="C15" i="3"/>
  <c r="C23" i="3"/>
  <c r="C31" i="3"/>
  <c r="G31" i="3" s="1"/>
  <c r="C39" i="3"/>
  <c r="C47" i="3"/>
  <c r="C63" i="3"/>
  <c r="C71" i="3"/>
  <c r="C79" i="3"/>
  <c r="G79" i="3" s="1"/>
  <c r="C87" i="3"/>
  <c r="C95" i="3"/>
  <c r="C103" i="3"/>
  <c r="C113" i="3" s="1"/>
  <c r="F81" i="3"/>
  <c r="M81" i="1"/>
  <c r="E81" i="1"/>
  <c r="L15" i="1"/>
  <c r="L23" i="1"/>
  <c r="M23" i="1"/>
  <c r="L31" i="1"/>
  <c r="L47" i="1"/>
  <c r="L63" i="1"/>
  <c r="L71" i="1"/>
  <c r="L79" i="1"/>
  <c r="L87" i="1"/>
  <c r="L95" i="1"/>
  <c r="L103" i="1"/>
  <c r="K15" i="1"/>
  <c r="M15" i="1"/>
  <c r="K23" i="1"/>
  <c r="J23" i="1" s="1"/>
  <c r="C15" i="1"/>
  <c r="C23" i="1"/>
  <c r="C31" i="1"/>
  <c r="E31" i="1" s="1"/>
  <c r="C39" i="1"/>
  <c r="C47" i="1"/>
  <c r="E47" i="1" s="1"/>
  <c r="C63" i="1"/>
  <c r="C113" i="1" s="1"/>
  <c r="C71" i="1"/>
  <c r="C79" i="1"/>
  <c r="E79" i="1"/>
  <c r="C87" i="1"/>
  <c r="E87" i="1" s="1"/>
  <c r="C95" i="1"/>
  <c r="C103" i="1"/>
  <c r="E103" i="1" s="1"/>
  <c r="E89" i="1"/>
  <c r="I89" i="1"/>
  <c r="M89" i="1"/>
  <c r="K87" i="1"/>
  <c r="M87" i="1" s="1"/>
  <c r="F98" i="4"/>
  <c r="K31" i="2"/>
  <c r="K44" i="2" s="1"/>
  <c r="K10" i="2"/>
  <c r="K39" i="1"/>
  <c r="K47" i="1"/>
  <c r="I47" i="1" s="1"/>
  <c r="M47" i="1"/>
  <c r="K63" i="1"/>
  <c r="I63" i="1" s="1"/>
  <c r="K71" i="1"/>
  <c r="K79" i="1"/>
  <c r="M79" i="1" s="1"/>
  <c r="K103" i="1"/>
  <c r="M103" i="1" s="1"/>
  <c r="I81" i="1"/>
  <c r="G82" i="4"/>
  <c r="H82" i="4"/>
  <c r="G81" i="3"/>
  <c r="F66" i="4"/>
  <c r="F65" i="3"/>
  <c r="N31" i="2"/>
  <c r="M31" i="2"/>
  <c r="M44" i="2"/>
  <c r="L31" i="2"/>
  <c r="J31" i="2"/>
  <c r="J44" i="2" s="1"/>
  <c r="I31" i="2"/>
  <c r="H31" i="2"/>
  <c r="F31" i="2"/>
  <c r="E31" i="2"/>
  <c r="C31" i="2"/>
  <c r="B31" i="2"/>
  <c r="B44" i="2" s="1"/>
  <c r="M65" i="1"/>
  <c r="E65" i="1"/>
  <c r="I10" i="2"/>
  <c r="I23" i="2"/>
  <c r="G66" i="4"/>
  <c r="H66" i="4"/>
  <c r="G74" i="4"/>
  <c r="H74" i="4" s="1"/>
  <c r="F74" i="4"/>
  <c r="G65" i="3"/>
  <c r="I65" i="1"/>
  <c r="F10" i="4"/>
  <c r="G10" i="4"/>
  <c r="H10" i="4" s="1"/>
  <c r="I9" i="1"/>
  <c r="I17" i="1"/>
  <c r="I33" i="1"/>
  <c r="I41" i="1"/>
  <c r="I57" i="1"/>
  <c r="I73" i="1"/>
  <c r="I97" i="1"/>
  <c r="E9" i="1"/>
  <c r="M9" i="1"/>
  <c r="E17" i="1"/>
  <c r="M17" i="1"/>
  <c r="E25" i="1"/>
  <c r="E33" i="1"/>
  <c r="M33" i="1"/>
  <c r="E41" i="1"/>
  <c r="M41" i="1"/>
  <c r="E57" i="1"/>
  <c r="M57" i="1"/>
  <c r="E73" i="1"/>
  <c r="M73" i="1"/>
  <c r="E97" i="1"/>
  <c r="M97" i="1"/>
  <c r="F18" i="4"/>
  <c r="G18" i="4"/>
  <c r="H18" i="4"/>
  <c r="F26" i="4"/>
  <c r="G26" i="4"/>
  <c r="H26" i="4"/>
  <c r="F34" i="4"/>
  <c r="G34" i="4"/>
  <c r="H34" i="4"/>
  <c r="F42" i="4"/>
  <c r="G42" i="4"/>
  <c r="H42" i="4"/>
  <c r="F58" i="4"/>
  <c r="G58" i="4"/>
  <c r="H58" i="4"/>
  <c r="F90" i="4"/>
  <c r="G90" i="4"/>
  <c r="H90" i="4"/>
  <c r="G98" i="4"/>
  <c r="H98" i="4" s="1"/>
  <c r="F9" i="3"/>
  <c r="F17" i="3"/>
  <c r="G17" i="3"/>
  <c r="F25" i="3"/>
  <c r="G25" i="3"/>
  <c r="F33" i="3"/>
  <c r="G33" i="3"/>
  <c r="F41" i="3"/>
  <c r="G41" i="3"/>
  <c r="F57" i="3"/>
  <c r="G57" i="3"/>
  <c r="F73" i="3"/>
  <c r="G73" i="3"/>
  <c r="F89" i="3"/>
  <c r="G89" i="3"/>
  <c r="F97" i="3"/>
  <c r="G97" i="3"/>
  <c r="G9" i="3"/>
  <c r="B10" i="2"/>
  <c r="B23" i="2" s="1"/>
  <c r="C10" i="2"/>
  <c r="C23" i="2" s="1"/>
  <c r="D10" i="2"/>
  <c r="D23" i="2" s="1"/>
  <c r="E10" i="2"/>
  <c r="E23" i="2" s="1"/>
  <c r="F10" i="2"/>
  <c r="F23" i="2" s="1"/>
  <c r="H10" i="2"/>
  <c r="J10" i="2"/>
  <c r="L10" i="2"/>
  <c r="L23" i="2" s="1"/>
  <c r="M10" i="2"/>
  <c r="M23" i="2" s="1"/>
  <c r="N10" i="2"/>
  <c r="I25" i="1"/>
  <c r="M25" i="1"/>
  <c r="K31" i="1"/>
  <c r="M31" i="1"/>
  <c r="D31" i="2"/>
  <c r="D44" i="2" s="1"/>
  <c r="L111" i="1"/>
  <c r="M111" i="1" s="1"/>
  <c r="K111" i="1"/>
  <c r="K55" i="1"/>
  <c r="M55" i="1" s="1"/>
  <c r="K95" i="1"/>
  <c r="J95" i="1" s="1"/>
  <c r="H41" i="1"/>
  <c r="H57" i="1"/>
  <c r="H81" i="1"/>
  <c r="G47" i="1"/>
  <c r="H89" i="1"/>
  <c r="H25" i="1"/>
  <c r="F63" i="1"/>
  <c r="H63" i="1" s="1"/>
  <c r="J73" i="1"/>
  <c r="F47" i="1"/>
  <c r="F31" i="1"/>
  <c r="H31" i="1" s="1"/>
  <c r="F95" i="1"/>
  <c r="H95" i="1" s="1"/>
  <c r="J33" i="1"/>
  <c r="G95" i="1"/>
  <c r="F79" i="1"/>
  <c r="H79" i="1" s="1"/>
  <c r="G31" i="1"/>
  <c r="G71" i="1"/>
  <c r="F39" i="1"/>
  <c r="H39" i="1" s="1"/>
  <c r="G79" i="1"/>
  <c r="G116" i="4"/>
  <c r="H116" i="4"/>
  <c r="G111" i="3"/>
  <c r="I87" i="1"/>
  <c r="J81" i="1"/>
  <c r="H73" i="1"/>
  <c r="J57" i="1"/>
  <c r="I115" i="1"/>
  <c r="M115" i="1"/>
  <c r="H9" i="1"/>
  <c r="G24" i="4"/>
  <c r="H24" i="4" s="1"/>
  <c r="J58" i="1"/>
  <c r="H65" i="1"/>
  <c r="M39" i="1"/>
  <c r="F116" i="4"/>
  <c r="F80" i="4"/>
  <c r="G48" i="4"/>
  <c r="H48" i="4" s="1"/>
  <c r="G116" i="5"/>
  <c r="H116" i="5" s="1"/>
  <c r="G103" i="3"/>
  <c r="J59" i="1"/>
  <c r="J107" i="1"/>
  <c r="I111" i="1"/>
  <c r="M71" i="1"/>
  <c r="E71" i="1"/>
  <c r="G104" i="4"/>
  <c r="H104" i="4"/>
  <c r="G80" i="4"/>
  <c r="H80" i="4" s="1"/>
  <c r="F72" i="4"/>
  <c r="G72" i="4"/>
  <c r="H72" i="4"/>
  <c r="G72" i="5"/>
  <c r="H72" i="5" s="1"/>
  <c r="C114" i="5"/>
  <c r="F111" i="3"/>
  <c r="F95" i="3"/>
  <c r="G63" i="3"/>
  <c r="G55" i="3"/>
  <c r="E113" i="3"/>
  <c r="G39" i="3"/>
  <c r="F15" i="3"/>
  <c r="H44" i="2"/>
  <c r="H52" i="1"/>
  <c r="G23" i="2"/>
  <c r="I95" i="1"/>
  <c r="E95" i="1"/>
  <c r="J79" i="1"/>
  <c r="I79" i="1"/>
  <c r="I71" i="1"/>
  <c r="M63" i="1"/>
  <c r="E55" i="1"/>
  <c r="H47" i="1"/>
  <c r="I39" i="1"/>
  <c r="I31" i="1"/>
  <c r="J31" i="1"/>
  <c r="L113" i="1"/>
  <c r="I15" i="1"/>
  <c r="O33" i="2"/>
  <c r="O34" i="2"/>
  <c r="J23" i="2"/>
  <c r="I44" i="2"/>
  <c r="N44" i="2"/>
  <c r="C44" i="2"/>
  <c r="F44" i="2"/>
  <c r="G114" i="4" l="1"/>
  <c r="H114" i="4" s="1"/>
  <c r="H111" i="1"/>
  <c r="J111" i="1"/>
  <c r="G113" i="1"/>
  <c r="E113" i="1"/>
  <c r="J15" i="1"/>
  <c r="H15" i="1"/>
  <c r="E114" i="4"/>
  <c r="F114" i="4" s="1"/>
  <c r="O31" i="2"/>
  <c r="O44" i="2" s="1"/>
  <c r="J63" i="1"/>
  <c r="M95" i="1"/>
  <c r="G56" i="4"/>
  <c r="H56" i="4" s="1"/>
  <c r="F103" i="1"/>
  <c r="H103" i="1" s="1"/>
  <c r="H17" i="1"/>
  <c r="F55" i="1"/>
  <c r="H99" i="1"/>
  <c r="J100" i="1"/>
  <c r="J85" i="1"/>
  <c r="G44" i="2"/>
  <c r="O14" i="2"/>
  <c r="F71" i="1"/>
  <c r="L44" i="2"/>
  <c r="K113" i="1"/>
  <c r="F71" i="3"/>
  <c r="J49" i="1"/>
  <c r="H33" i="1"/>
  <c r="E63" i="1"/>
  <c r="H18" i="1"/>
  <c r="H50" i="1"/>
  <c r="J106" i="1"/>
  <c r="H19" i="1"/>
  <c r="H35" i="1"/>
  <c r="H84" i="1"/>
  <c r="H69" i="1"/>
  <c r="J17" i="1"/>
  <c r="H98" i="1"/>
  <c r="H28" i="1"/>
  <c r="H29" i="1"/>
  <c r="O13" i="2"/>
  <c r="O10" i="2"/>
  <c r="J39" i="1"/>
  <c r="J103" i="1"/>
  <c r="G64" i="4"/>
  <c r="H64" i="4" s="1"/>
  <c r="F64" i="4"/>
  <c r="G16" i="4"/>
  <c r="H16" i="4" s="1"/>
  <c r="G112" i="4"/>
  <c r="H112" i="4" s="1"/>
  <c r="F115" i="1"/>
  <c r="D113" i="3"/>
  <c r="H105" i="1"/>
  <c r="J47" i="1"/>
  <c r="G47" i="3"/>
  <c r="G40" i="4"/>
  <c r="H40" i="4" s="1"/>
  <c r="H90" i="1"/>
  <c r="J27" i="1"/>
  <c r="H91" i="1"/>
  <c r="H108" i="1"/>
  <c r="G115" i="1"/>
  <c r="J108" i="1"/>
  <c r="I23" i="1"/>
  <c r="J87" i="1"/>
  <c r="J36" i="1"/>
  <c r="J37" i="1"/>
  <c r="G87" i="1"/>
  <c r="H87" i="1" s="1"/>
  <c r="I103" i="1"/>
  <c r="H34" i="1"/>
  <c r="H67" i="1"/>
  <c r="G115" i="3"/>
  <c r="H71" i="1" l="1"/>
  <c r="J71" i="1"/>
  <c r="F113" i="1"/>
  <c r="H113" i="1" s="1"/>
  <c r="G113" i="3"/>
  <c r="F113" i="3"/>
  <c r="O23" i="2"/>
  <c r="H55" i="1"/>
  <c r="J55" i="1"/>
  <c r="J115" i="1"/>
  <c r="H115" i="1"/>
  <c r="M113" i="1"/>
  <c r="J113" i="1"/>
  <c r="I113" i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<sst xmlns="http://schemas.openxmlformats.org/spreadsheetml/2006/main" count="241" uniqueCount="77">
  <si>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</si>
  <si>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</si>
  <si>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</si>
  <si>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</si>
  <si>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</si>
  <si>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</si>
  <si>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</si>
  <si>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</si>
  <si>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</si>
  <si>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</si>
  <si>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</si>
  <si>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</si>
  <si>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</si>
  <si>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</si>
  <si>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</si>
  <si>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</si>
  <si>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</si>
  <si>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</si>
  <si>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</si>
  <si>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</si>
  <si>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</si>
  <si>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</si>
  <si>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</si>
  <si>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</si>
  <si>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</si>
  <si>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</si>
  <si>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</si>
  <si>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</si>
  <si>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</si>
  <si>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</si>
  <si>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</si>
  <si>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</si>
  <si>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</si>
  <si>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</si>
  <si>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</si>
  <si>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</si>
  <si>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</si>
  <si>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</si>
  <si>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</si>
  <si>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</si>
  <si>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</si>
  <si>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</si>
  <si>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</si>
  <si>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</si>
  <si>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</si>
  <si>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</si>
  <si>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</si>
  <si>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</si>
  <si>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</si>
  <si>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</si>
  <si>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</si>
  <si>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</si>
  <si>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</si>
  <si>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</si>
  <si>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</si>
  <si>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</si>
  <si>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</si>
  <si>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</si>
  <si>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</si>
  <si>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</si>
  <si>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</si>
  <si>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</si>
  <si>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</si>
  <si>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</si>
  <si>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</si>
  <si>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</si>
  <si>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</si>
  <si>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</si>
  <si>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</si>
  <si>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</si>
  <si>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</si>
  <si>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NOVEMBER 30, 2020</t>
  </si>
  <si>
    <t>(as reported on the tax remittal database dtd 12/9/20)</t>
  </si>
  <si>
    <t>FOR THE MONTH ENDED:   NOVEMBER 30, 2020</t>
  </si>
  <si>
    <t>THRU MONTH ENDED:   NOVEMBER 30, 2020</t>
  </si>
  <si>
    <t>(as reported on the tax remittal database as of 12/9/20)</t>
  </si>
  <si>
    <t>THRU MONTH ENDED:    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</si>
</sst>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7"/>
  <sheetViews>
    <sheetView tabSelected="1" showOutlineSymbols="0" view="pageBreakPreview" zoomScale="6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>(+C9-D9)/D9</f>
        <v>-0.31219893433253354</v>
      </c>
      <c r="F9" s="21">
        <f>+C9-87391</f>
        <v>100942</v>
      </c>
      <c r="G9" s="21">
        <f>+D9-121652</f>
        <v>152167</v>
      </c>
      <c r="H9" s="23">
        <f>(+F9-G9)/G9</f>
        <v>-0.33663672149677659</v>
      </c>
      <c r="I9" s="24">
        <f>K9/C9</f>
        <v>72.293304359830728</v>
      </c>
      <c r="J9" s="24">
        <f>K9/F9</f>
        <v>134.88156456182759</v>
      </c>
      <c r="K9" s="21">
        <v>13615214.890000001</v>
      </c>
      <c r="L9" s="21">
        <v>14592883.67</v>
      </c>
      <c r="M9" s="25">
        <f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>(+C10-D10)/D10</f>
        <v>-0.30249205431956083</v>
      </c>
      <c r="F10" s="21">
        <f>+C10-88951</f>
        <v>104175</v>
      </c>
      <c r="G10" s="21">
        <f>+D10-123357</f>
        <v>153523</v>
      </c>
      <c r="H10" s="23">
        <f>(+F10-G10)/G10</f>
        <v>-0.32143717879405692</v>
      </c>
      <c r="I10" s="24">
        <f>K10/C10</f>
        <v>65.366431966695316</v>
      </c>
      <c r="J10" s="24">
        <f>K10/F10</f>
        <v>121.18029796016317</v>
      </c>
      <c r="K10" s="21">
        <v>12623957.539999999</v>
      </c>
      <c r="L10" s="21">
        <v>14502049.98</v>
      </c>
      <c r="M10" s="25">
        <f>(+K10-L10)/L10</f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>(+C11-D11)/D11</f>
        <v>-0.22546333475049996</v>
      </c>
      <c r="F11" s="21">
        <f>+C11-92272</f>
        <v>104482</v>
      </c>
      <c r="G11" s="21">
        <f>+D11-112781</f>
        <v>141247</v>
      </c>
      <c r="H11" s="23">
        <f>(+F11-G11)/G11</f>
        <v>-0.26028871409658261</v>
      </c>
      <c r="I11" s="24">
        <f>K11/C11</f>
        <v>63.171506500503163</v>
      </c>
      <c r="J11" s="24">
        <f>K11/F11</f>
        <v>118.96064958557454</v>
      </c>
      <c r="K11" s="21">
        <v>12429246.59</v>
      </c>
      <c r="L11" s="21">
        <v>12773890.380000001</v>
      </c>
      <c r="M11" s="25">
        <f>(+K11-L11)/L11</f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>(+C12-D12)/D12</f>
        <v>-0.1877849150435143</v>
      </c>
      <c r="F12" s="21">
        <f>+C12-94349</f>
        <v>109478</v>
      </c>
      <c r="G12" s="21">
        <f>+D12-113545</f>
        <v>137407</v>
      </c>
      <c r="H12" s="23">
        <f>(+F12-G12)/G12</f>
        <v>-0.20325747596556215</v>
      </c>
      <c r="I12" s="24">
        <f>K12/C12</f>
        <v>63.424137332149328</v>
      </c>
      <c r="J12" s="24">
        <f>K12/F12</f>
        <v>118.08355687900766</v>
      </c>
      <c r="K12" s="21">
        <v>12927551.640000001</v>
      </c>
      <c r="L12" s="21">
        <v>13374556.41</v>
      </c>
      <c r="M12" s="25">
        <f>(+K12-L12)/L12</f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>(+C13-D13)/D13</f>
        <v>-0.30566996307145639</v>
      </c>
      <c r="F13" s="21">
        <f>+C13-86903</f>
        <v>102245</v>
      </c>
      <c r="G13" s="21">
        <f>+D13-124199</f>
        <v>148219</v>
      </c>
      <c r="H13" s="23">
        <f>(+F13-G13)/G13</f>
        <v>-0.31017615825231581</v>
      </c>
      <c r="I13" s="24">
        <f>K13/C13</f>
        <v>59.62246928331254</v>
      </c>
      <c r="J13" s="24">
        <f>K13/F13</f>
        <v>110.29850672404518</v>
      </c>
      <c r="K13" s="21">
        <v>11277470.82</v>
      </c>
      <c r="L13" s="21">
        <v>13968055.51</v>
      </c>
      <c r="M13" s="25">
        <f>(+K13-L13)/L13</f>
        <v>-0.1926241407097615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Top="1" thickBot="1" x14ac:dyDescent="0.3">
      <c r="A15" s="26" t="s">
        <v>14</v>
      </c>
      <c r="B15" s="27"/>
      <c r="C15" s="28">
        <f>SUM(C9:C14)</f>
        <v>971188</v>
      </c>
      <c r="D15" s="28">
        <f>SUM(D9:D14)</f>
        <v>1328097</v>
      </c>
      <c r="E15" s="279">
        <f>(+C15-D15)/D15</f>
        <v>-0.26873714796434295</v>
      </c>
      <c r="F15" s="28">
        <f>SUM(F9:F14)</f>
        <v>521322</v>
      </c>
      <c r="G15" s="28">
        <f>SUM(G9:G14)</f>
        <v>732563</v>
      </c>
      <c r="H15" s="30">
        <f>(+F15-G15)/G15</f>
        <v>-0.28835881692086551</v>
      </c>
      <c r="I15" s="31">
        <f>K15/C15</f>
        <v>64.738692693896539</v>
      </c>
      <c r="J15" s="31">
        <f>K15/F15</f>
        <v>120.60385228323378</v>
      </c>
      <c r="K15" s="28">
        <f>SUM(K9:K14)</f>
        <v>62873441.479999997</v>
      </c>
      <c r="L15" s="28">
        <f>SUM(L9:L14)</f>
        <v>69211435.950000003</v>
      </c>
      <c r="M15" s="32">
        <f>(+K15-L15)/L15</f>
        <v>-9.1574381935648971E-2</v>
      </c>
      <c r="N15" s="10"/>
      <c r="R15" s="2"/>
    </row>
    <row r="16" spans="1:18" ht="15.75" customHeight="1" thickTop="1" x14ac:dyDescent="0.25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 x14ac:dyDescent="0.25">
      <c r="A17" s="19" t="s">
        <v>15</v>
      </c>
      <c r="B17" s="20">
        <f>DATE(2020,7,1)</f>
        <v>44013</v>
      </c>
      <c r="C17" s="21">
        <v>79471</v>
      </c>
      <c r="D17" s="21">
        <v>128877</v>
      </c>
      <c r="E17" s="23">
        <f>(+C17-D17)/D17</f>
        <v>-0.38335777524306119</v>
      </c>
      <c r="F17" s="21">
        <f>+C17-38596</f>
        <v>40875</v>
      </c>
      <c r="G17" s="21">
        <f>+D17-61988</f>
        <v>66889</v>
      </c>
      <c r="H17" s="23">
        <f>(+F17-G17)/G17</f>
        <v>-0.38891297522761592</v>
      </c>
      <c r="I17" s="24">
        <f>K17/C17</f>
        <v>70.633539655975142</v>
      </c>
      <c r="J17" s="24">
        <f>K17/F17</f>
        <v>137.32888146788991</v>
      </c>
      <c r="K17" s="21">
        <v>5613318.0300000003</v>
      </c>
      <c r="L17" s="21">
        <v>6965970.8300000001</v>
      </c>
      <c r="M17" s="25">
        <f>(+K17-L17)/L17</f>
        <v>-0.19418008386922858</v>
      </c>
      <c r="N17" s="10"/>
      <c r="R17" s="2"/>
    </row>
    <row r="18" spans="1:18" ht="15.75" x14ac:dyDescent="0.25">
      <c r="A18" s="19"/>
      <c r="B18" s="20">
        <f>DATE(2020,8,1)</f>
        <v>44044</v>
      </c>
      <c r="C18" s="21">
        <v>88234</v>
      </c>
      <c r="D18" s="21">
        <v>130133</v>
      </c>
      <c r="E18" s="23">
        <f>(+C18-D18)/D18</f>
        <v>-0.32197059930993677</v>
      </c>
      <c r="F18" s="21">
        <f>+C18-41802</f>
        <v>46432</v>
      </c>
      <c r="G18" s="21">
        <f>+D18-62200</f>
        <v>67933</v>
      </c>
      <c r="H18" s="23">
        <f>(+F18-G18)/G18</f>
        <v>-0.31650302503937705</v>
      </c>
      <c r="I18" s="24">
        <f>K18/C18</f>
        <v>67.939255049074063</v>
      </c>
      <c r="J18" s="24">
        <f>K18/F18</f>
        <v>129.10389881977946</v>
      </c>
      <c r="K18" s="21">
        <v>5994552.2300000004</v>
      </c>
      <c r="L18" s="21">
        <v>6966409.8499999996</v>
      </c>
      <c r="M18" s="25">
        <f>(+K18-L18)/L18</f>
        <v>-0.13950623648707652</v>
      </c>
      <c r="N18" s="10"/>
      <c r="R18" s="2"/>
    </row>
    <row r="19" spans="1:18" ht="15.75" x14ac:dyDescent="0.25">
      <c r="A19" s="19"/>
      <c r="B19" s="20">
        <f>DATE(2020,9,1)</f>
        <v>44075</v>
      </c>
      <c r="C19" s="21">
        <v>90948</v>
      </c>
      <c r="D19" s="21">
        <v>118251</v>
      </c>
      <c r="E19" s="23">
        <f>(+C19-D19)/D19</f>
        <v>-0.23089022502980946</v>
      </c>
      <c r="F19" s="21">
        <f>+C19-42310</f>
        <v>48638</v>
      </c>
      <c r="G19" s="21">
        <f>+D19-55723</f>
        <v>62528</v>
      </c>
      <c r="H19" s="23">
        <f>(+F19-G19)/G19</f>
        <v>-0.22214048106448311</v>
      </c>
      <c r="I19" s="24">
        <f>K19/C19</f>
        <v>64.968384791309319</v>
      </c>
      <c r="J19" s="24">
        <f>K19/F19</f>
        <v>121.48412064640816</v>
      </c>
      <c r="K19" s="21">
        <v>5908744.6600000001</v>
      </c>
      <c r="L19" s="21">
        <v>6414760.5999999996</v>
      </c>
      <c r="M19" s="25">
        <f>(+K19-L19)/L19</f>
        <v>-7.8883059174491954E-2</v>
      </c>
      <c r="N19" s="10"/>
      <c r="R19" s="2"/>
    </row>
    <row r="20" spans="1:18" ht="15.75" x14ac:dyDescent="0.25">
      <c r="A20" s="19"/>
      <c r="B20" s="20">
        <f>DATE(2020,10,1)</f>
        <v>44105</v>
      </c>
      <c r="C20" s="21">
        <v>87099</v>
      </c>
      <c r="D20" s="21">
        <v>113052</v>
      </c>
      <c r="E20" s="23">
        <f>(+C20-D20)/D20</f>
        <v>-0.22956692495488801</v>
      </c>
      <c r="F20" s="21">
        <f>+C20-41806</f>
        <v>45293</v>
      </c>
      <c r="G20" s="21">
        <f>+D20-54189</f>
        <v>58863</v>
      </c>
      <c r="H20" s="23">
        <f>(+F20-G20)/G20</f>
        <v>-0.23053531080644887</v>
      </c>
      <c r="I20" s="24">
        <f>K20/C20</f>
        <v>65.65413942754796</v>
      </c>
      <c r="J20" s="24">
        <f>K20/F20</f>
        <v>126.25372331265316</v>
      </c>
      <c r="K20" s="21">
        <v>5718409.8899999997</v>
      </c>
      <c r="L20" s="21">
        <v>6049114.7400000002</v>
      </c>
      <c r="M20" s="25">
        <f>(+K20-L20)/L20</f>
        <v>-5.4669958202842844E-2</v>
      </c>
      <c r="N20" s="10"/>
      <c r="R20" s="2"/>
    </row>
    <row r="21" spans="1:18" ht="15.75" x14ac:dyDescent="0.25">
      <c r="A21" s="19"/>
      <c r="B21" s="20">
        <f>DATE(2020,11,1)</f>
        <v>44136</v>
      </c>
      <c r="C21" s="21">
        <v>77783</v>
      </c>
      <c r="D21" s="21">
        <v>116655</v>
      </c>
      <c r="E21" s="23">
        <f>(+C21-D21)/D21</f>
        <v>-0.3332218936179332</v>
      </c>
      <c r="F21" s="21">
        <f>+C21-37695</f>
        <v>40088</v>
      </c>
      <c r="G21" s="21">
        <f>+D21-56252</f>
        <v>60403</v>
      </c>
      <c r="H21" s="23">
        <f>(+F21-G21)/G21</f>
        <v>-0.33632435475059186</v>
      </c>
      <c r="I21" s="24">
        <f>K21/C21</f>
        <v>68.774152064075693</v>
      </c>
      <c r="J21" s="24">
        <f>K21/F21</f>
        <v>133.44292232089404</v>
      </c>
      <c r="K21" s="21">
        <v>5349459.87</v>
      </c>
      <c r="L21" s="21">
        <v>6363767.6699999999</v>
      </c>
      <c r="M21" s="25">
        <f>(+K21-L21)/L21</f>
        <v>-0.15938793692636485</v>
      </c>
      <c r="N21" s="10"/>
      <c r="R21" s="2"/>
    </row>
    <row r="22" spans="1:18" ht="15.75" customHeight="1" thickBot="1" x14ac:dyDescent="0.3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Top="1" thickBot="1" x14ac:dyDescent="0.3">
      <c r="A23" s="26" t="s">
        <v>14</v>
      </c>
      <c r="B23" s="27"/>
      <c r="C23" s="28">
        <f>SUM(C17:C22)</f>
        <v>423535</v>
      </c>
      <c r="D23" s="28">
        <f>SUM(D17:D22)</f>
        <v>606968</v>
      </c>
      <c r="E23" s="279">
        <f>(+C23-D23)/D23</f>
        <v>-0.30221197822619972</v>
      </c>
      <c r="F23" s="28">
        <f>SUM(F17:F22)</f>
        <v>221326</v>
      </c>
      <c r="G23" s="28">
        <f>SUM(G17:G22)</f>
        <v>316616</v>
      </c>
      <c r="H23" s="30">
        <f>(+F23-G23)/G23</f>
        <v>-0.30096394370467694</v>
      </c>
      <c r="I23" s="31">
        <f>K23/C23</f>
        <v>67.490253886927889</v>
      </c>
      <c r="J23" s="31">
        <f>K23/F23</f>
        <v>129.1510472334927</v>
      </c>
      <c r="K23" s="28">
        <f>SUM(K17:K22)</f>
        <v>28584484.680000003</v>
      </c>
      <c r="L23" s="28">
        <f>SUM(L17:L22)</f>
        <v>32760023.690000005</v>
      </c>
      <c r="M23" s="32">
        <f>(+K23-L23)/L23</f>
        <v>-0.12745836356872309</v>
      </c>
      <c r="N23" s="10"/>
      <c r="R23" s="2"/>
    </row>
    <row r="24" spans="1:18" ht="15.75" customHeight="1" thickTop="1" x14ac:dyDescent="0.25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 x14ac:dyDescent="0.25">
      <c r="A25" s="19" t="s">
        <v>65</v>
      </c>
      <c r="B25" s="20">
        <f>DATE(2020,7,1)</f>
        <v>44013</v>
      </c>
      <c r="C25" s="21">
        <v>53105</v>
      </c>
      <c r="D25" s="21">
        <v>66822</v>
      </c>
      <c r="E25" s="23">
        <f>(+C25-D25)/D25</f>
        <v>-0.20527670527670527</v>
      </c>
      <c r="F25" s="21">
        <f>+C25-28880</f>
        <v>24225</v>
      </c>
      <c r="G25" s="21">
        <f>+D25-35692</f>
        <v>31130</v>
      </c>
      <c r="H25" s="23">
        <f>(+F25-G25)/G25</f>
        <v>-0.22181175714744619</v>
      </c>
      <c r="I25" s="24">
        <f>K25/C25</f>
        <v>65.300001883061867</v>
      </c>
      <c r="J25" s="24">
        <f>K25/F25</f>
        <v>143.14784726522188</v>
      </c>
      <c r="K25" s="21">
        <v>3467756.6</v>
      </c>
      <c r="L25" s="21">
        <v>3260452.77</v>
      </c>
      <c r="M25" s="25">
        <f>(+K25-L25)/L25</f>
        <v>6.3581301317240088E-2</v>
      </c>
      <c r="N25" s="10"/>
      <c r="R25" s="2"/>
    </row>
    <row r="26" spans="1:18" ht="15.75" customHeight="1" x14ac:dyDescent="0.25">
      <c r="A26" s="19"/>
      <c r="B26" s="20">
        <f>DATE(2020,8,1)</f>
        <v>44044</v>
      </c>
      <c r="C26" s="21">
        <v>52610</v>
      </c>
      <c r="D26" s="21">
        <v>69025</v>
      </c>
      <c r="E26" s="23">
        <f>(+C26-D26)/D26</f>
        <v>-0.23781238681637087</v>
      </c>
      <c r="F26" s="21">
        <f>+C26-28661</f>
        <v>23949</v>
      </c>
      <c r="G26" s="21">
        <f>+D26-37871</f>
        <v>31154</v>
      </c>
      <c r="H26" s="23">
        <f>(+F26-G26)/G26</f>
        <v>-0.2312704628619118</v>
      </c>
      <c r="I26" s="24">
        <f>K26/C26</f>
        <v>62.65578787302794</v>
      </c>
      <c r="J26" s="24">
        <f>K26/F26</f>
        <v>137.6391916155163</v>
      </c>
      <c r="K26" s="21">
        <v>3296321</v>
      </c>
      <c r="L26" s="21">
        <v>3222586.84</v>
      </c>
      <c r="M26" s="25">
        <f>(+K26-L26)/L26</f>
        <v>2.2880426086516307E-2</v>
      </c>
      <c r="N26" s="10"/>
      <c r="R26" s="2"/>
    </row>
    <row r="27" spans="1:18" ht="15.75" customHeight="1" x14ac:dyDescent="0.25">
      <c r="A27" s="19"/>
      <c r="B27" s="20">
        <f>DATE(2020,9,1)</f>
        <v>44075</v>
      </c>
      <c r="C27" s="21">
        <v>50852</v>
      </c>
      <c r="D27" s="21">
        <v>65573</v>
      </c>
      <c r="E27" s="23">
        <f>(+C27-D27)/D27</f>
        <v>-0.22449788785018224</v>
      </c>
      <c r="F27" s="21">
        <f>+C27-27986</f>
        <v>22866</v>
      </c>
      <c r="G27" s="21">
        <f>+D27-35939</f>
        <v>29634</v>
      </c>
      <c r="H27" s="23">
        <f>(+F27-G27)/G27</f>
        <v>-0.22838631301882972</v>
      </c>
      <c r="I27" s="24">
        <f>K27/C27</f>
        <v>60.968254542594195</v>
      </c>
      <c r="J27" s="24">
        <f>K27/F27</f>
        <v>135.58810810810812</v>
      </c>
      <c r="K27" s="21">
        <v>3100357.68</v>
      </c>
      <c r="L27" s="21">
        <v>3112007.99</v>
      </c>
      <c r="M27" s="25">
        <f>(+K27-L27)/L27</f>
        <v>-3.743663267394135E-3</v>
      </c>
      <c r="N27" s="10"/>
      <c r="R27" s="2"/>
    </row>
    <row r="28" spans="1:18" ht="15.75" customHeight="1" x14ac:dyDescent="0.25">
      <c r="A28" s="19"/>
      <c r="B28" s="20">
        <f>DATE(2020,10,1)</f>
        <v>44105</v>
      </c>
      <c r="C28" s="21">
        <v>51638</v>
      </c>
      <c r="D28" s="21">
        <v>63039</v>
      </c>
      <c r="E28" s="23">
        <f>(+C28-D28)/D28</f>
        <v>-0.18085629530925301</v>
      </c>
      <c r="F28" s="21">
        <f>+C28-28439</f>
        <v>23199</v>
      </c>
      <c r="G28" s="21">
        <f>+D28-34568</f>
        <v>28471</v>
      </c>
      <c r="H28" s="23">
        <f>(+F28-G28)/G28</f>
        <v>-0.18517087562783183</v>
      </c>
      <c r="I28" s="24">
        <f>K28/C28</f>
        <v>65.424530965567996</v>
      </c>
      <c r="J28" s="24">
        <f>K28/F28</f>
        <v>145.62661881977672</v>
      </c>
      <c r="K28" s="21">
        <v>3378391.93</v>
      </c>
      <c r="L28" s="21">
        <v>3125609.18</v>
      </c>
      <c r="M28" s="25">
        <f>(+K28-L28)/L28</f>
        <v>8.0874714477259108E-2</v>
      </c>
      <c r="N28" s="10"/>
      <c r="R28" s="2"/>
    </row>
    <row r="29" spans="1:18" ht="15.75" customHeight="1" x14ac:dyDescent="0.25">
      <c r="A29" s="19"/>
      <c r="B29" s="20">
        <f>DATE(2020,11,1)</f>
        <v>44136</v>
      </c>
      <c r="C29" s="21">
        <v>45747</v>
      </c>
      <c r="D29" s="21">
        <v>64340</v>
      </c>
      <c r="E29" s="23">
        <f>(+C29-D29)/D29</f>
        <v>-0.2889804165371464</v>
      </c>
      <c r="F29" s="21">
        <f>+C29-25343</f>
        <v>20404</v>
      </c>
      <c r="G29" s="21">
        <f>+D29-35256</f>
        <v>29084</v>
      </c>
      <c r="H29" s="23">
        <f>(+F29-G29)/G29</f>
        <v>-0.29844588089671298</v>
      </c>
      <c r="I29" s="24">
        <f>K29/C29</f>
        <v>66.627814282903799</v>
      </c>
      <c r="J29" s="24">
        <f>K29/F29</f>
        <v>149.38358263085669</v>
      </c>
      <c r="K29" s="21">
        <v>3048022.62</v>
      </c>
      <c r="L29" s="21">
        <v>3209514.95</v>
      </c>
      <c r="M29" s="25">
        <f>(+K29-L29)/L29</f>
        <v>-5.0316740228924642E-2</v>
      </c>
      <c r="N29" s="10"/>
      <c r="R29" s="2"/>
    </row>
    <row r="30" spans="1:18" ht="15.75" customHeight="1" thickBot="1" x14ac:dyDescent="0.25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39" t="s">
        <v>14</v>
      </c>
      <c r="B31" s="40"/>
      <c r="C31" s="41">
        <f>SUM(C25:C30)</f>
        <v>253952</v>
      </c>
      <c r="D31" s="41">
        <f>SUM(D25:D30)</f>
        <v>328799</v>
      </c>
      <c r="E31" s="280">
        <f>(+C31-D31)/D31</f>
        <v>-0.22763755364219476</v>
      </c>
      <c r="F31" s="41">
        <f>SUM(F25:F30)</f>
        <v>114643</v>
      </c>
      <c r="G31" s="41">
        <f>SUM(G25:G30)</f>
        <v>149473</v>
      </c>
      <c r="H31" s="42">
        <f>(+F31-G31)/G31</f>
        <v>-0.23301867226857023</v>
      </c>
      <c r="I31" s="43">
        <f>K31/C31</f>
        <v>64.149326762537797</v>
      </c>
      <c r="J31" s="43">
        <f>K31/F31</f>
        <v>142.1006937187617</v>
      </c>
      <c r="K31" s="41">
        <f>SUM(K25:K30)</f>
        <v>16290849.829999998</v>
      </c>
      <c r="L31" s="41">
        <f>SUM(L25:L30)</f>
        <v>15930171.73</v>
      </c>
      <c r="M31" s="44">
        <f>(+K31-L31)/L31</f>
        <v>2.2641193460630555E-2</v>
      </c>
      <c r="N31" s="10"/>
      <c r="R31" s="2"/>
    </row>
    <row r="32" spans="1:18" ht="15.75" customHeight="1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x14ac:dyDescent="0.25">
      <c r="A33" s="177" t="s">
        <v>59</v>
      </c>
      <c r="B33" s="20">
        <f>DATE(2020,7,1)</f>
        <v>44013</v>
      </c>
      <c r="C33" s="21">
        <v>226236</v>
      </c>
      <c r="D33" s="21">
        <v>438217</v>
      </c>
      <c r="E33" s="23">
        <f>(+C33-D33)/D33</f>
        <v>-0.4837352270678682</v>
      </c>
      <c r="F33" s="21">
        <f>+C33-121061</f>
        <v>105175</v>
      </c>
      <c r="G33" s="21">
        <f>+D33-221917</f>
        <v>216300</v>
      </c>
      <c r="H33" s="23">
        <f>(+F33-G33)/G33</f>
        <v>-0.5137540453074434</v>
      </c>
      <c r="I33" s="24">
        <f>K33/C33</f>
        <v>64.441251392351347</v>
      </c>
      <c r="J33" s="24">
        <f>K33/F33</f>
        <v>138.615934870454</v>
      </c>
      <c r="K33" s="21">
        <v>14578930.949999999</v>
      </c>
      <c r="L33" s="21">
        <v>20447041.25</v>
      </c>
      <c r="M33" s="25">
        <f>(+K33-L33)/L33</f>
        <v>-0.28699068135346972</v>
      </c>
      <c r="N33" s="10"/>
      <c r="R33" s="2"/>
    </row>
    <row r="34" spans="1:18" ht="15.75" customHeight="1" x14ac:dyDescent="0.25">
      <c r="A34" s="177"/>
      <c r="B34" s="20">
        <f>DATE(2020,8,1)</f>
        <v>44044</v>
      </c>
      <c r="C34" s="21">
        <v>248866</v>
      </c>
      <c r="D34" s="21">
        <v>437029</v>
      </c>
      <c r="E34" s="23">
        <f>(+C34-D34)/D34</f>
        <v>-0.43055037537554713</v>
      </c>
      <c r="F34" s="21">
        <f>+C34-132898</f>
        <v>115968</v>
      </c>
      <c r="G34" s="21">
        <f>+D34-215022</f>
        <v>222007</v>
      </c>
      <c r="H34" s="23">
        <f>(+F34-G34)/G34</f>
        <v>-0.47763809249257905</v>
      </c>
      <c r="I34" s="24">
        <f>K34/C34</f>
        <v>60.671518688772274</v>
      </c>
      <c r="J34" s="24">
        <f>K34/F34</f>
        <v>130.20038433016003</v>
      </c>
      <c r="K34" s="21">
        <v>15099078.17</v>
      </c>
      <c r="L34" s="21">
        <v>21336857.579999998</v>
      </c>
      <c r="M34" s="25">
        <f>(+K34-L34)/L34</f>
        <v>-0.29234761429194478</v>
      </c>
      <c r="N34" s="10"/>
      <c r="R34" s="2"/>
    </row>
    <row r="35" spans="1:18" ht="15.75" customHeight="1" x14ac:dyDescent="0.25">
      <c r="A35" s="177"/>
      <c r="B35" s="20">
        <f>DATE(2020,9,1)</f>
        <v>44075</v>
      </c>
      <c r="C35" s="21">
        <v>249571</v>
      </c>
      <c r="D35" s="21">
        <v>403849</v>
      </c>
      <c r="E35" s="23">
        <f>(+C35-D35)/D35</f>
        <v>-0.38201902196117854</v>
      </c>
      <c r="F35" s="21">
        <f>+C35-130815</f>
        <v>118756</v>
      </c>
      <c r="G35" s="21">
        <f>+D35-198275</f>
        <v>205574</v>
      </c>
      <c r="H35" s="23">
        <f>(+F35-G35)/G35</f>
        <v>-0.42231994318347649</v>
      </c>
      <c r="I35" s="24">
        <f>K35/C35</f>
        <v>59.832789787274962</v>
      </c>
      <c r="J35" s="24">
        <f>K35/F35</f>
        <v>125.74126090471218</v>
      </c>
      <c r="K35" s="21">
        <v>14932529.18</v>
      </c>
      <c r="L35" s="21">
        <v>18932128.91</v>
      </c>
      <c r="M35" s="25">
        <f>(+K35-L35)/L35</f>
        <v>-0.21125990368084813</v>
      </c>
      <c r="N35" s="10"/>
      <c r="R35" s="2"/>
    </row>
    <row r="36" spans="1:18" ht="15.75" customHeight="1" x14ac:dyDescent="0.25">
      <c r="A36" s="177"/>
      <c r="B36" s="20">
        <f>DATE(2020,10,1)</f>
        <v>44105</v>
      </c>
      <c r="C36" s="21">
        <v>272084</v>
      </c>
      <c r="D36" s="21">
        <v>396586</v>
      </c>
      <c r="E36" s="23">
        <f>(+C36-D36)/D36</f>
        <v>-0.3139344303631495</v>
      </c>
      <c r="F36" s="21">
        <f>+C36-143559</f>
        <v>128525</v>
      </c>
      <c r="G36" s="21">
        <f>+D36-195500</f>
        <v>201086</v>
      </c>
      <c r="H36" s="23">
        <f>(+F36-G36)/G36</f>
        <v>-0.36084560834667756</v>
      </c>
      <c r="I36" s="24">
        <f>K36/C36</f>
        <v>58.369290954264123</v>
      </c>
      <c r="J36" s="24">
        <f>K36/F36</f>
        <v>123.5662334954289</v>
      </c>
      <c r="K36" s="21">
        <v>15881350.16</v>
      </c>
      <c r="L36" s="21">
        <v>19033136.550000001</v>
      </c>
      <c r="M36" s="25">
        <f>(+K36-L36)/L36</f>
        <v>-0.16559469227367049</v>
      </c>
      <c r="N36" s="10"/>
      <c r="R36" s="2"/>
    </row>
    <row r="37" spans="1:18" ht="15.75" customHeight="1" x14ac:dyDescent="0.25">
      <c r="A37" s="177"/>
      <c r="B37" s="20">
        <f>DATE(2020,11,1)</f>
        <v>44136</v>
      </c>
      <c r="C37" s="21">
        <v>232899</v>
      </c>
      <c r="D37" s="21">
        <v>419787</v>
      </c>
      <c r="E37" s="23">
        <f>(+C37-D37)/D37</f>
        <v>-0.44519720715505723</v>
      </c>
      <c r="F37" s="21">
        <f>+C37-123557</f>
        <v>109342</v>
      </c>
      <c r="G37" s="21">
        <f>+D37-213343</f>
        <v>206444</v>
      </c>
      <c r="H37" s="23">
        <f>(+F37-G37)/G37</f>
        <v>-0.47035515684640872</v>
      </c>
      <c r="I37" s="24">
        <f>K37/C37</f>
        <v>58.263514184260124</v>
      </c>
      <c r="J37" s="24">
        <f>K37/F37</f>
        <v>124.10157295458286</v>
      </c>
      <c r="K37" s="21">
        <v>13569514.189999999</v>
      </c>
      <c r="L37" s="21">
        <v>20240068.129999999</v>
      </c>
      <c r="M37" s="25">
        <f>(+K37-L37)/L37</f>
        <v>-0.32957171374896949</v>
      </c>
      <c r="N37" s="10"/>
      <c r="R37" s="2"/>
    </row>
    <row r="38" spans="1:18" ht="15.75" thickBot="1" x14ac:dyDescent="0.25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SUM(C33:C38)</f>
        <v>1229656</v>
      </c>
      <c r="D39" s="41">
        <f>SUM(D33:D38)</f>
        <v>2095468</v>
      </c>
      <c r="E39" s="280">
        <f>(+C39-D39)/D39</f>
        <v>-0.41318311708887945</v>
      </c>
      <c r="F39" s="41">
        <f>SUM(F33:F38)</f>
        <v>577766</v>
      </c>
      <c r="G39" s="41">
        <f>SUM(G33:G38)</f>
        <v>1051411</v>
      </c>
      <c r="H39" s="42">
        <f>(+F39-G39)/G39</f>
        <v>-0.4504851100093113</v>
      </c>
      <c r="I39" s="43">
        <f>K39/C39</f>
        <v>60.229367115681129</v>
      </c>
      <c r="J39" s="43">
        <f>K39/F39</f>
        <v>128.18580991266359</v>
      </c>
      <c r="K39" s="41">
        <f>SUM(K33:K38)</f>
        <v>74061402.649999991</v>
      </c>
      <c r="L39" s="41">
        <f>SUM(L33:L38)</f>
        <v>99989232.419999987</v>
      </c>
      <c r="M39" s="44">
        <f>(+K39-L39)/L39</f>
        <v>-0.25930621870454396</v>
      </c>
      <c r="N39" s="10"/>
      <c r="R39" s="2"/>
    </row>
    <row r="40" spans="1:18" ht="15.75" thickTop="1" x14ac:dyDescent="0.2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 x14ac:dyDescent="0.25">
      <c r="A41" s="19" t="s">
        <v>63</v>
      </c>
      <c r="B41" s="20">
        <f>DATE(2020,7,1)</f>
        <v>44013</v>
      </c>
      <c r="C41" s="21">
        <v>260785</v>
      </c>
      <c r="D41" s="21">
        <v>288759</v>
      </c>
      <c r="E41" s="23">
        <f>(+C41-D41)/D41</f>
        <v>-9.6876634148199706E-2</v>
      </c>
      <c r="F41" s="21">
        <f>+C41-121006</f>
        <v>139779</v>
      </c>
      <c r="G41" s="21">
        <f>+D41-131177</f>
        <v>157582</v>
      </c>
      <c r="H41" s="23">
        <f>(+F41-G41)/G41</f>
        <v>-0.11297610133137033</v>
      </c>
      <c r="I41" s="24">
        <f>K41/C41</f>
        <v>60.581983204555478</v>
      </c>
      <c r="J41" s="24">
        <f>K41/F41</f>
        <v>113.02751121413088</v>
      </c>
      <c r="K41" s="21">
        <v>15798872.49</v>
      </c>
      <c r="L41" s="21">
        <v>14077474.74</v>
      </c>
      <c r="M41" s="25">
        <f>(+K41-L41)/L41</f>
        <v>0.12228029400108162</v>
      </c>
      <c r="N41" s="10"/>
      <c r="R41" s="2"/>
    </row>
    <row r="42" spans="1:18" ht="15.75" x14ac:dyDescent="0.25">
      <c r="A42" s="19"/>
      <c r="B42" s="20">
        <f>DATE(2020,8,1)</f>
        <v>44044</v>
      </c>
      <c r="C42" s="21">
        <v>267898</v>
      </c>
      <c r="D42" s="21">
        <v>292957</v>
      </c>
      <c r="E42" s="23">
        <f>(+C42-D42)/D42</f>
        <v>-8.5538150650095401E-2</v>
      </c>
      <c r="F42" s="21">
        <f>+C42-127416</f>
        <v>140482</v>
      </c>
      <c r="G42" s="21">
        <f>+D42-131852</f>
        <v>161105</v>
      </c>
      <c r="H42" s="23">
        <f>(+F42-G42)/G42</f>
        <v>-0.12800968312591168</v>
      </c>
      <c r="I42" s="24">
        <f>K42/C42</f>
        <v>58.202557988488159</v>
      </c>
      <c r="J42" s="24">
        <f>K42/F42</f>
        <v>110.99179168861492</v>
      </c>
      <c r="K42" s="21">
        <v>15592348.880000001</v>
      </c>
      <c r="L42" s="21">
        <v>15580367.26</v>
      </c>
      <c r="M42" s="25">
        <f>(+K42-L42)/L42</f>
        <v>7.6902038315629817E-4</v>
      </c>
      <c r="N42" s="10"/>
      <c r="R42" s="2"/>
    </row>
    <row r="43" spans="1:18" ht="15.75" x14ac:dyDescent="0.25">
      <c r="A43" s="19"/>
      <c r="B43" s="20">
        <f>DATE(2020,9,1)</f>
        <v>44075</v>
      </c>
      <c r="C43" s="21">
        <v>245708</v>
      </c>
      <c r="D43" s="21">
        <v>276713</v>
      </c>
      <c r="E43" s="23">
        <f>(+C43-D43)/D43</f>
        <v>-0.11204750047883547</v>
      </c>
      <c r="F43" s="21">
        <f>+C43-116526</f>
        <v>129182</v>
      </c>
      <c r="G43" s="21">
        <f>+D43-125818</f>
        <v>150895</v>
      </c>
      <c r="H43" s="23">
        <f>(+F43-G43)/G43</f>
        <v>-0.1438947612578283</v>
      </c>
      <c r="I43" s="24">
        <f>K43/C43</f>
        <v>59.831929770296455</v>
      </c>
      <c r="J43" s="24">
        <f>K43/F43</f>
        <v>113.802107104705</v>
      </c>
      <c r="K43" s="21">
        <v>14701183.800000001</v>
      </c>
      <c r="L43" s="21">
        <v>14643182.48</v>
      </c>
      <c r="M43" s="25">
        <f>(+K43-L43)/L43</f>
        <v>3.9609777505142654E-3</v>
      </c>
      <c r="N43" s="10"/>
      <c r="R43" s="2"/>
    </row>
    <row r="44" spans="1:18" ht="15.75" x14ac:dyDescent="0.25">
      <c r="A44" s="19"/>
      <c r="B44" s="20">
        <f>DATE(2020,10,1)</f>
        <v>44105</v>
      </c>
      <c r="C44" s="21">
        <v>252286</v>
      </c>
      <c r="D44" s="21">
        <v>265282</v>
      </c>
      <c r="E44" s="23">
        <f>(+C44-D44)/D44</f>
        <v>-4.8989377341847544E-2</v>
      </c>
      <c r="F44" s="21">
        <f>+C44-116651</f>
        <v>135635</v>
      </c>
      <c r="G44" s="21">
        <f>+D44-120858</f>
        <v>144424</v>
      </c>
      <c r="H44" s="23">
        <f>(+F44-G44)/G44</f>
        <v>-6.0855536475931976E-2</v>
      </c>
      <c r="I44" s="24">
        <f>K44/C44</f>
        <v>59.294009100782446</v>
      </c>
      <c r="J44" s="24">
        <f>K44/F44</f>
        <v>110.28899900468168</v>
      </c>
      <c r="K44" s="21">
        <v>14959048.380000001</v>
      </c>
      <c r="L44" s="21">
        <v>14675401.32</v>
      </c>
      <c r="M44" s="25">
        <f>(+K44-L44)/L44</f>
        <v>1.9328061551096343E-2</v>
      </c>
      <c r="N44" s="10"/>
      <c r="R44" s="2"/>
    </row>
    <row r="45" spans="1:18" ht="15.75" x14ac:dyDescent="0.25">
      <c r="A45" s="19"/>
      <c r="B45" s="20">
        <f>DATE(2020,11,1)</f>
        <v>44136</v>
      </c>
      <c r="C45" s="21">
        <v>229647</v>
      </c>
      <c r="D45" s="21">
        <v>288764</v>
      </c>
      <c r="E45" s="23">
        <f>(+C45-D45)/D45</f>
        <v>-0.20472427310883629</v>
      </c>
      <c r="F45" s="21">
        <f>+C45-106423</f>
        <v>123224</v>
      </c>
      <c r="G45" s="21">
        <f>+D45-130395</f>
        <v>158369</v>
      </c>
      <c r="H45" s="23">
        <f>(+F45-G45)/G45</f>
        <v>-0.22191843100606812</v>
      </c>
      <c r="I45" s="24">
        <f>K45/C45</f>
        <v>54.453050290228049</v>
      </c>
      <c r="J45" s="24">
        <f>K45/F45</f>
        <v>101.48168895669676</v>
      </c>
      <c r="K45" s="21">
        <v>12504979.640000001</v>
      </c>
      <c r="L45" s="21">
        <v>14546056.49</v>
      </c>
      <c r="M45" s="25">
        <f>(+K45-L45)/L45</f>
        <v>-0.1403182265518618</v>
      </c>
      <c r="N45" s="10"/>
      <c r="R45" s="2"/>
    </row>
    <row r="46" spans="1:18" ht="15.75" thickBot="1" x14ac:dyDescent="0.25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SUM(C41:C46)</f>
        <v>1256324</v>
      </c>
      <c r="D47" s="41">
        <f>SUM(D41:D46)</f>
        <v>1412475</v>
      </c>
      <c r="E47" s="281">
        <f>(+C47-D47)/D47</f>
        <v>-0.11055133719180871</v>
      </c>
      <c r="F47" s="47">
        <f>SUM(F41:F46)</f>
        <v>668302</v>
      </c>
      <c r="G47" s="48">
        <f>SUM(G41:G46)</f>
        <v>772375</v>
      </c>
      <c r="H47" s="49">
        <f>(+F47-G47)/G47</f>
        <v>-0.13474413335491181</v>
      </c>
      <c r="I47" s="50">
        <f>K47/C47</f>
        <v>58.548935776121446</v>
      </c>
      <c r="J47" s="51">
        <f>K47/F47</f>
        <v>110.06466117114718</v>
      </c>
      <c r="K47" s="48">
        <f>SUM(K41:K46)</f>
        <v>73556433.189999998</v>
      </c>
      <c r="L47" s="47">
        <f>SUM(L41:L46)</f>
        <v>73522482.290000007</v>
      </c>
      <c r="M47" s="44">
        <f>(+K47-L47)/L47</f>
        <v>4.6177575814260576E-4</v>
      </c>
      <c r="N47" s="10"/>
      <c r="R47" s="2"/>
    </row>
    <row r="48" spans="1:18" ht="15.75" customHeight="1" thickTop="1" x14ac:dyDescent="0.25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274" t="s">
        <v>64</v>
      </c>
      <c r="B49" s="20">
        <f>DATE(2020,7,1)</f>
        <v>44013</v>
      </c>
      <c r="C49" s="21">
        <v>75978</v>
      </c>
      <c r="D49" s="21">
        <v>110928</v>
      </c>
      <c r="E49" s="23">
        <f>(+C49-D49)/D49</f>
        <v>-0.31506923409779314</v>
      </c>
      <c r="F49" s="21">
        <f>+C49-36462</f>
        <v>39516</v>
      </c>
      <c r="G49" s="21">
        <f>+D49-54910</f>
        <v>56018</v>
      </c>
      <c r="H49" s="23">
        <f>(+F49-G49)/G49</f>
        <v>-0.29458388375165123</v>
      </c>
      <c r="I49" s="24">
        <f>K49/C49</f>
        <v>65.902360814972752</v>
      </c>
      <c r="J49" s="24">
        <f>K49/F49</f>
        <v>126.71144776799272</v>
      </c>
      <c r="K49" s="21">
        <v>5007129.57</v>
      </c>
      <c r="L49" s="21">
        <v>4456959.1900000004</v>
      </c>
      <c r="M49" s="25">
        <f>(+K49-L49)/L49</f>
        <v>0.12344074884831957</v>
      </c>
      <c r="N49" s="10"/>
      <c r="R49" s="2"/>
    </row>
    <row r="50" spans="1:18" ht="15.75" x14ac:dyDescent="0.25">
      <c r="A50" s="274"/>
      <c r="B50" s="20">
        <f>DATE(2020,8,1)</f>
        <v>44044</v>
      </c>
      <c r="C50" s="21">
        <v>75051</v>
      </c>
      <c r="D50" s="21">
        <v>114308</v>
      </c>
      <c r="E50" s="23">
        <f>(+C50-D50)/D50</f>
        <v>-0.34343178080274345</v>
      </c>
      <c r="F50" s="21">
        <f>+C50-37094</f>
        <v>37957</v>
      </c>
      <c r="G50" s="21">
        <f>+D50-54234</f>
        <v>60074</v>
      </c>
      <c r="H50" s="23">
        <f>(+F50-G50)/G50</f>
        <v>-0.36816259946066515</v>
      </c>
      <c r="I50" s="24">
        <f>K50/C50</f>
        <v>66.127390707652125</v>
      </c>
      <c r="J50" s="24">
        <f>K50/F50</f>
        <v>130.75129225175857</v>
      </c>
      <c r="K50" s="21">
        <v>4962926.8</v>
      </c>
      <c r="L50" s="21">
        <v>5215749.95</v>
      </c>
      <c r="M50" s="25">
        <f>(+K50-L50)/L50</f>
        <v>-4.8473019685309177E-2</v>
      </c>
      <c r="N50" s="10"/>
      <c r="R50" s="2"/>
    </row>
    <row r="51" spans="1:18" ht="15.75" x14ac:dyDescent="0.25">
      <c r="A51" s="274"/>
      <c r="B51" s="20">
        <f>DATE(2020,9,1)</f>
        <v>44075</v>
      </c>
      <c r="C51" s="21">
        <v>76058</v>
      </c>
      <c r="D51" s="21">
        <v>108669</v>
      </c>
      <c r="E51" s="23">
        <f>(+C51-D51)/D51</f>
        <v>-0.30009478324085065</v>
      </c>
      <c r="F51" s="21">
        <f>+C51-37383</f>
        <v>38675</v>
      </c>
      <c r="G51" s="21">
        <f>+D51-53294</f>
        <v>55375</v>
      </c>
      <c r="H51" s="23">
        <f>(+F51-G51)/G51</f>
        <v>-0.30158013544018059</v>
      </c>
      <c r="I51" s="24">
        <f>K51/C51</f>
        <v>65.497897131136753</v>
      </c>
      <c r="J51" s="24">
        <f>K51/F51</f>
        <v>128.80773264382674</v>
      </c>
      <c r="K51" s="21">
        <v>4981639.0599999996</v>
      </c>
      <c r="L51" s="21">
        <v>5069628.72</v>
      </c>
      <c r="M51" s="25">
        <f>(+K51-L51)/L51</f>
        <v>-1.7356233534987577E-2</v>
      </c>
      <c r="N51" s="10"/>
      <c r="R51" s="2"/>
    </row>
    <row r="52" spans="1:18" ht="15.75" x14ac:dyDescent="0.25">
      <c r="A52" s="274"/>
      <c r="B52" s="20">
        <f>DATE(2020,10,1)</f>
        <v>44105</v>
      </c>
      <c r="C52" s="21">
        <v>79279</v>
      </c>
      <c r="D52" s="21">
        <v>108635</v>
      </c>
      <c r="E52" s="23">
        <f>(+C52-D52)/D52</f>
        <v>-0.27022598610024395</v>
      </c>
      <c r="F52" s="21">
        <f>+C52-39288</f>
        <v>39991</v>
      </c>
      <c r="G52" s="21">
        <f>+D52-52866</f>
        <v>55769</v>
      </c>
      <c r="H52" s="23">
        <f>(+F52-G52)/G52</f>
        <v>-0.28291703276013558</v>
      </c>
      <c r="I52" s="24">
        <f>K52/C52</f>
        <v>62.994921605973836</v>
      </c>
      <c r="J52" s="24">
        <f>K52/F52</f>
        <v>124.8824583031182</v>
      </c>
      <c r="K52" s="21">
        <v>4994174.3899999997</v>
      </c>
      <c r="L52" s="21">
        <v>5103440.46</v>
      </c>
      <c r="M52" s="25">
        <f>(+K52-L52)/L52</f>
        <v>-2.141027623549473E-2</v>
      </c>
      <c r="N52" s="10"/>
      <c r="R52" s="2"/>
    </row>
    <row r="53" spans="1:18" ht="15.75" x14ac:dyDescent="0.25">
      <c r="A53" s="274"/>
      <c r="B53" s="20">
        <f>DATE(2020,11,1)</f>
        <v>44136</v>
      </c>
      <c r="C53" s="21">
        <v>74117</v>
      </c>
      <c r="D53" s="21">
        <v>108978</v>
      </c>
      <c r="E53" s="23">
        <f>(+C53-D53)/D53</f>
        <v>-0.31989025307860303</v>
      </c>
      <c r="F53" s="21">
        <f>+C53-36979</f>
        <v>37138</v>
      </c>
      <c r="G53" s="21">
        <f>+D53-53627</f>
        <v>55351</v>
      </c>
      <c r="H53" s="23">
        <f>(+F53-G53)/G53</f>
        <v>-0.3290455456992647</v>
      </c>
      <c r="I53" s="24">
        <f>K53/C53</f>
        <v>60.658709203016848</v>
      </c>
      <c r="J53" s="24">
        <f>K53/F53</f>
        <v>121.05771850934353</v>
      </c>
      <c r="K53" s="21">
        <v>4495841.55</v>
      </c>
      <c r="L53" s="21">
        <v>5108677.83</v>
      </c>
      <c r="M53" s="25">
        <f>(+K53-L53)/L53</f>
        <v>-0.11995986053401224</v>
      </c>
      <c r="N53" s="10"/>
      <c r="R53" s="2"/>
    </row>
    <row r="54" spans="1:18" ht="15.75" customHeight="1" thickBot="1" x14ac:dyDescent="0.3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45" customHeight="1" thickTop="1" thickBot="1" x14ac:dyDescent="0.3">
      <c r="A55" s="39" t="s">
        <v>14</v>
      </c>
      <c r="B55" s="52"/>
      <c r="C55" s="47">
        <f>SUM(C49:C54)</f>
        <v>380483</v>
      </c>
      <c r="D55" s="48">
        <f>SUM(D49:D54)</f>
        <v>551518</v>
      </c>
      <c r="E55" s="281">
        <f>(+C55-D55)/D55</f>
        <v>-0.3101168048912275</v>
      </c>
      <c r="F55" s="48">
        <f>SUM(F49:F54)</f>
        <v>193277</v>
      </c>
      <c r="G55" s="47">
        <f>SUM(G49:G54)</f>
        <v>282587</v>
      </c>
      <c r="H55" s="46">
        <f>(+F55-G55)/G55</f>
        <v>-0.31604426247491924</v>
      </c>
      <c r="I55" s="51">
        <f>K55/C55</f>
        <v>64.238642383496767</v>
      </c>
      <c r="J55" s="50">
        <f>K55/F55</f>
        <v>126.45949269700999</v>
      </c>
      <c r="K55" s="47">
        <f>SUM(K49:K54)</f>
        <v>24441711.370000001</v>
      </c>
      <c r="L55" s="48">
        <f>SUM(L49:L54)</f>
        <v>24954456.149999999</v>
      </c>
      <c r="M55" s="44">
        <f>(+K55-L55)/L55</f>
        <v>-2.0547223186027939E-2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66</v>
      </c>
      <c r="B57" s="20">
        <f>DATE(2020,7,1)</f>
        <v>44013</v>
      </c>
      <c r="C57" s="21">
        <v>89782</v>
      </c>
      <c r="D57" s="21">
        <v>151411</v>
      </c>
      <c r="E57" s="23">
        <f>(+C57-D57)/D57</f>
        <v>-0.40703119324223469</v>
      </c>
      <c r="F57" s="21">
        <f>+C57-42122</f>
        <v>47660</v>
      </c>
      <c r="G57" s="21">
        <f>+D57-71749</f>
        <v>79662</v>
      </c>
      <c r="H57" s="23">
        <f>(+F57-G57)/G57</f>
        <v>-0.40172227661871407</v>
      </c>
      <c r="I57" s="24">
        <f>K57/C57</f>
        <v>50.702362945802051</v>
      </c>
      <c r="J57" s="24">
        <f>K57/F57</f>
        <v>95.513209190096518</v>
      </c>
      <c r="K57" s="21">
        <v>4552159.55</v>
      </c>
      <c r="L57" s="21">
        <v>5243377.2</v>
      </c>
      <c r="M57" s="25">
        <f>(+K57-L57)/L57</f>
        <v>-0.13182680238987962</v>
      </c>
      <c r="N57" s="10"/>
      <c r="R57" s="2"/>
    </row>
    <row r="58" spans="1:18" ht="15.75" x14ac:dyDescent="0.25">
      <c r="A58" s="19"/>
      <c r="B58" s="20">
        <f>DATE(2020,8,1)</f>
        <v>44044</v>
      </c>
      <c r="C58" s="21">
        <v>90766</v>
      </c>
      <c r="D58" s="21">
        <v>153404</v>
      </c>
      <c r="E58" s="23">
        <f>(+C58-D58)/D58</f>
        <v>-0.40832051315480694</v>
      </c>
      <c r="F58" s="21">
        <f>+C58-42451</f>
        <v>48315</v>
      </c>
      <c r="G58" s="21">
        <f>+D58-72820</f>
        <v>80584</v>
      </c>
      <c r="H58" s="23">
        <f>(+F58-G58)/G58</f>
        <v>-0.40043929315993249</v>
      </c>
      <c r="I58" s="24">
        <f>K58/C58</f>
        <v>48.512467223409644</v>
      </c>
      <c r="J58" s="24">
        <f>K58/F58</f>
        <v>91.136967815378242</v>
      </c>
      <c r="K58" s="21">
        <v>4403282.5999999996</v>
      </c>
      <c r="L58" s="21">
        <v>5663787.5</v>
      </c>
      <c r="M58" s="25">
        <f>(+K58-L58)/L58</f>
        <v>-0.22255511881404455</v>
      </c>
      <c r="N58" s="10"/>
      <c r="R58" s="2"/>
    </row>
    <row r="59" spans="1:18" ht="15.75" x14ac:dyDescent="0.25">
      <c r="A59" s="19"/>
      <c r="B59" s="20">
        <f>DATE(2020,9,1)</f>
        <v>44075</v>
      </c>
      <c r="C59" s="21">
        <v>113899</v>
      </c>
      <c r="D59" s="21">
        <v>143049</v>
      </c>
      <c r="E59" s="23">
        <f>(+C59-D59)/D59</f>
        <v>-0.20377632839097093</v>
      </c>
      <c r="F59" s="21">
        <f>+C59-56486</f>
        <v>57413</v>
      </c>
      <c r="G59" s="21">
        <f>+D59-67371</f>
        <v>75678</v>
      </c>
      <c r="H59" s="23">
        <f>(+F59-G59)/G59</f>
        <v>-0.24135151563201987</v>
      </c>
      <c r="I59" s="24">
        <f>K59/C59</f>
        <v>47.025149035549042</v>
      </c>
      <c r="J59" s="24">
        <f>K59/F59</f>
        <v>93.291022068172722</v>
      </c>
      <c r="K59" s="21">
        <v>5356117.45</v>
      </c>
      <c r="L59" s="21">
        <v>5081304.75</v>
      </c>
      <c r="M59" s="25">
        <f>(+K59-L59)/L59</f>
        <v>5.4083097456416131E-2</v>
      </c>
      <c r="N59" s="10"/>
      <c r="R59" s="2"/>
    </row>
    <row r="60" spans="1:18" ht="15.75" x14ac:dyDescent="0.25">
      <c r="A60" s="19"/>
      <c r="B60" s="20">
        <f>DATE(2020,10,1)</f>
        <v>44105</v>
      </c>
      <c r="C60" s="21">
        <v>133252</v>
      </c>
      <c r="D60" s="21">
        <v>147133</v>
      </c>
      <c r="E60" s="23">
        <f>(+C60-D60)/D60</f>
        <v>-9.4343213283219943E-2</v>
      </c>
      <c r="F60" s="21">
        <f>+C60-63794</f>
        <v>69458</v>
      </c>
      <c r="G60" s="21">
        <f>+D60-70441</f>
        <v>76692</v>
      </c>
      <c r="H60" s="23">
        <f>(+F60-G60)/G60</f>
        <v>-9.4325353361497943E-2</v>
      </c>
      <c r="I60" s="24">
        <f>K60/C60</f>
        <v>46.010231140996012</v>
      </c>
      <c r="J60" s="24">
        <f>K60/F60</f>
        <v>88.268526591609316</v>
      </c>
      <c r="K60" s="21">
        <v>6130955.3200000003</v>
      </c>
      <c r="L60" s="21">
        <v>5402701.21</v>
      </c>
      <c r="M60" s="25">
        <f>(+K60-L60)/L60</f>
        <v>0.13479444479588393</v>
      </c>
      <c r="N60" s="10"/>
      <c r="R60" s="2"/>
    </row>
    <row r="61" spans="1:18" ht="15.75" x14ac:dyDescent="0.25">
      <c r="A61" s="19"/>
      <c r="B61" s="20">
        <f>DATE(2020,11,1)</f>
        <v>44136</v>
      </c>
      <c r="C61" s="21">
        <v>128642</v>
      </c>
      <c r="D61" s="21">
        <v>147609</v>
      </c>
      <c r="E61" s="23">
        <f>(+C61-D61)/D61</f>
        <v>-0.1284948749737482</v>
      </c>
      <c r="F61" s="21">
        <f>+C61-61517</f>
        <v>67125</v>
      </c>
      <c r="G61" s="21">
        <f>+D61-72727</f>
        <v>74882</v>
      </c>
      <c r="H61" s="23">
        <f>(+F61-G61)/G61</f>
        <v>-0.10358964771240084</v>
      </c>
      <c r="I61" s="24">
        <f>K61/C61</f>
        <v>44.797572410254816</v>
      </c>
      <c r="J61" s="24">
        <f>K61/F61</f>
        <v>85.852503687150829</v>
      </c>
      <c r="K61" s="21">
        <v>5762849.3099999996</v>
      </c>
      <c r="L61" s="21">
        <v>5427921.8600000003</v>
      </c>
      <c r="M61" s="25">
        <f>(+K61-L61)/L61</f>
        <v>6.1704545245608831E-2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45" customHeight="1" thickTop="1" thickBot="1" x14ac:dyDescent="0.3">
      <c r="A63" s="39" t="s">
        <v>14</v>
      </c>
      <c r="B63" s="52"/>
      <c r="C63" s="47">
        <f>SUM(C57:C62)</f>
        <v>556341</v>
      </c>
      <c r="D63" s="48">
        <f>SUM(D57:D62)</f>
        <v>742606</v>
      </c>
      <c r="E63" s="281">
        <f>(+C63-D63)/D63</f>
        <v>-0.25082614468506853</v>
      </c>
      <c r="F63" s="48">
        <f>SUM(F57:F62)</f>
        <v>289971</v>
      </c>
      <c r="G63" s="47">
        <f>SUM(G57:G62)</f>
        <v>387498</v>
      </c>
      <c r="H63" s="53">
        <f>(+F63-G63)/G63</f>
        <v>-0.25168387965873373</v>
      </c>
      <c r="I63" s="51">
        <f>K63/C63</f>
        <v>47.103061305925678</v>
      </c>
      <c r="J63" s="50">
        <f>K63/F63</f>
        <v>90.372362167251197</v>
      </c>
      <c r="K63" s="47">
        <f>SUM(K57:K62)</f>
        <v>26205364.229999997</v>
      </c>
      <c r="L63" s="48">
        <f>SUM(L57:L62)</f>
        <v>26819092.52</v>
      </c>
      <c r="M63" s="44">
        <f>(+K63-L63)/L63</f>
        <v>-2.2884006591286515E-2</v>
      </c>
      <c r="N63" s="10"/>
      <c r="R63" s="2"/>
    </row>
    <row r="64" spans="1:18" ht="15.75" customHeight="1" thickTop="1" x14ac:dyDescent="0.25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 x14ac:dyDescent="0.25">
      <c r="A65" s="19" t="s">
        <v>60</v>
      </c>
      <c r="B65" s="20">
        <f>DATE(2020,7,1)</f>
        <v>44013</v>
      </c>
      <c r="C65" s="21">
        <v>198458</v>
      </c>
      <c r="D65" s="21">
        <v>323723</v>
      </c>
      <c r="E65" s="23">
        <f>(+C65-D65)/D65</f>
        <v>-0.38695118975173221</v>
      </c>
      <c r="F65" s="21">
        <f>+C65-91512</f>
        <v>106946</v>
      </c>
      <c r="G65" s="21">
        <f>+D65-139054</f>
        <v>184669</v>
      </c>
      <c r="H65" s="23">
        <f>(+F65-G65)/G65</f>
        <v>-0.42087735353524414</v>
      </c>
      <c r="I65" s="24">
        <f>K65/C65</f>
        <v>57.559684013745979</v>
      </c>
      <c r="J65" s="24">
        <f>K65/F65</f>
        <v>106.81259486095786</v>
      </c>
      <c r="K65" s="21">
        <v>11423179.77</v>
      </c>
      <c r="L65" s="21">
        <v>12562489.76</v>
      </c>
      <c r="M65" s="25">
        <f>(+K65-L65)/L65</f>
        <v>-9.0691416412346612E-2</v>
      </c>
      <c r="N65" s="10"/>
      <c r="R65" s="2"/>
    </row>
    <row r="66" spans="1:18" ht="15.75" customHeight="1" x14ac:dyDescent="0.25">
      <c r="A66" s="19"/>
      <c r="B66" s="20">
        <f>DATE(2020,8,1)</f>
        <v>44044</v>
      </c>
      <c r="C66" s="21">
        <v>207170</v>
      </c>
      <c r="D66" s="21">
        <v>324702</v>
      </c>
      <c r="E66" s="23">
        <f>(+C66-D66)/D66</f>
        <v>-0.36196882064169605</v>
      </c>
      <c r="F66" s="21">
        <f>+C66-94983</f>
        <v>112187</v>
      </c>
      <c r="G66" s="21">
        <f>+D66-140464</f>
        <v>184238</v>
      </c>
      <c r="H66" s="23">
        <f>(+F66-G66)/G66</f>
        <v>-0.39107567385664194</v>
      </c>
      <c r="I66" s="24">
        <f>K66/C66</f>
        <v>58.301137906067481</v>
      </c>
      <c r="J66" s="24">
        <f>K66/F66</f>
        <v>107.66173210799826</v>
      </c>
      <c r="K66" s="21">
        <v>12078246.74</v>
      </c>
      <c r="L66" s="21">
        <v>12914541.609999999</v>
      </c>
      <c r="M66" s="25">
        <f>(+K66-L66)/L66</f>
        <v>-6.4756062991228325E-2</v>
      </c>
      <c r="N66" s="10"/>
      <c r="R66" s="2"/>
    </row>
    <row r="67" spans="1:18" ht="15.75" customHeight="1" x14ac:dyDescent="0.25">
      <c r="A67" s="19"/>
      <c r="B67" s="20">
        <f>DATE(2020,9,1)</f>
        <v>44075</v>
      </c>
      <c r="C67" s="21">
        <v>214569</v>
      </c>
      <c r="D67" s="21">
        <v>300779</v>
      </c>
      <c r="E67" s="23">
        <f>(+C67-D67)/D67</f>
        <v>-0.28662240382473508</v>
      </c>
      <c r="F67" s="21">
        <f>+C67-98318</f>
        <v>116251</v>
      </c>
      <c r="G67" s="21">
        <f>+D67-129539</f>
        <v>171240</v>
      </c>
      <c r="H67" s="23">
        <f>(+F67-G67)/G67</f>
        <v>-0.3211224013081056</v>
      </c>
      <c r="I67" s="24">
        <f>K67/C67</f>
        <v>53.780504359902871</v>
      </c>
      <c r="J67" s="24">
        <f>K67/F67</f>
        <v>99.264772260023562</v>
      </c>
      <c r="K67" s="21">
        <v>11539629.039999999</v>
      </c>
      <c r="L67" s="21">
        <v>12290273.1</v>
      </c>
      <c r="M67" s="25">
        <f>(+K67-L67)/L67</f>
        <v>-6.107627177137346E-2</v>
      </c>
      <c r="N67" s="10"/>
      <c r="R67" s="2"/>
    </row>
    <row r="68" spans="1:18" ht="15.75" customHeight="1" x14ac:dyDescent="0.25">
      <c r="A68" s="19"/>
      <c r="B68" s="20">
        <f>DATE(2020,10,1)</f>
        <v>44105</v>
      </c>
      <c r="C68" s="21">
        <v>213678</v>
      </c>
      <c r="D68" s="21">
        <v>283562</v>
      </c>
      <c r="E68" s="23">
        <f>(+C68-D68)/D68</f>
        <v>-0.24645051170467128</v>
      </c>
      <c r="F68" s="21">
        <f>+C68-98578</f>
        <v>115100</v>
      </c>
      <c r="G68" s="21">
        <f>+D68-124664</f>
        <v>158898</v>
      </c>
      <c r="H68" s="23">
        <f>(+F68-G68)/G68</f>
        <v>-0.27563594255434304</v>
      </c>
      <c r="I68" s="24">
        <f>K68/C68</f>
        <v>52.956099036868558</v>
      </c>
      <c r="J68" s="24">
        <f>K68/F68</f>
        <v>98.310628410078195</v>
      </c>
      <c r="K68" s="21">
        <v>11315553.33</v>
      </c>
      <c r="L68" s="21">
        <v>11906925.060000001</v>
      </c>
      <c r="M68" s="25">
        <f>(+K68-L68)/L68</f>
        <v>-4.9666200721011376E-2</v>
      </c>
      <c r="N68" s="10"/>
      <c r="R68" s="2"/>
    </row>
    <row r="69" spans="1:18" ht="15.75" customHeight="1" x14ac:dyDescent="0.25">
      <c r="A69" s="19"/>
      <c r="B69" s="20">
        <f>DATE(2020,11,1)</f>
        <v>44136</v>
      </c>
      <c r="C69" s="21">
        <v>182201</v>
      </c>
      <c r="D69" s="21">
        <v>288970</v>
      </c>
      <c r="E69" s="23">
        <f>(+C69-D69)/D69</f>
        <v>-0.36948126103055678</v>
      </c>
      <c r="F69" s="21">
        <f>+C69-83158</f>
        <v>99043</v>
      </c>
      <c r="G69" s="21">
        <f>+D69-131628</f>
        <v>157342</v>
      </c>
      <c r="H69" s="23">
        <f>(+F69-G69)/G69</f>
        <v>-0.37052408130060632</v>
      </c>
      <c r="I69" s="24">
        <f>K69/C69</f>
        <v>57.958710984023135</v>
      </c>
      <c r="J69" s="24">
        <f>K69/F69</f>
        <v>106.62172086871358</v>
      </c>
      <c r="K69" s="21">
        <v>10560135.1</v>
      </c>
      <c r="L69" s="21">
        <v>12108761.949999999</v>
      </c>
      <c r="M69" s="25">
        <f>(+K69-L69)/L69</f>
        <v>-0.12789307911037096</v>
      </c>
      <c r="N69" s="10"/>
      <c r="R69" s="2"/>
    </row>
    <row r="70" spans="1:18" ht="15.75" customHeight="1" thickBot="1" x14ac:dyDescent="0.3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Top="1" thickBot="1" x14ac:dyDescent="0.3">
      <c r="A71" s="39" t="s">
        <v>14</v>
      </c>
      <c r="B71" s="40"/>
      <c r="C71" s="41">
        <f>SUM(C65:C70)</f>
        <v>1016076</v>
      </c>
      <c r="D71" s="41">
        <f>SUM(D65:D70)</f>
        <v>1521736</v>
      </c>
      <c r="E71" s="280">
        <f>(+C71-D71)/D71</f>
        <v>-0.33229154071402661</v>
      </c>
      <c r="F71" s="41">
        <f>SUM(F65:F70)</f>
        <v>549527</v>
      </c>
      <c r="G71" s="41">
        <f>SUM(G65:G70)</f>
        <v>856387</v>
      </c>
      <c r="H71" s="42">
        <f>(+F71-G71)/G71</f>
        <v>-0.35831931124596705</v>
      </c>
      <c r="I71" s="43">
        <f>K71/C71</f>
        <v>56.016227112932491</v>
      </c>
      <c r="J71" s="43">
        <f>K71/F71</f>
        <v>103.57406274850916</v>
      </c>
      <c r="K71" s="41">
        <f>SUM(K65:K70)</f>
        <v>56916743.979999997</v>
      </c>
      <c r="L71" s="41">
        <f>SUM(L65:L70)</f>
        <v>61782991.480000004</v>
      </c>
      <c r="M71" s="44">
        <f>(+K71-L71)/L71</f>
        <v>-7.8763546138345825E-2</v>
      </c>
      <c r="N71" s="10"/>
      <c r="R71" s="2"/>
    </row>
    <row r="72" spans="1:18" ht="15.75" customHeight="1" thickTop="1" x14ac:dyDescent="0.2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 x14ac:dyDescent="0.25">
      <c r="A73" s="19" t="s">
        <v>16</v>
      </c>
      <c r="B73" s="20">
        <f>DATE(2020,7,1)</f>
        <v>44013</v>
      </c>
      <c r="C73" s="21">
        <v>211446</v>
      </c>
      <c r="D73" s="21">
        <v>366609</v>
      </c>
      <c r="E73" s="23">
        <f>(+C73-D73)/D73</f>
        <v>-0.42323838203644754</v>
      </c>
      <c r="F73" s="21">
        <f>+C73-102823</f>
        <v>108623</v>
      </c>
      <c r="G73" s="21">
        <f>+D73-178251</f>
        <v>188358</v>
      </c>
      <c r="H73" s="23">
        <f>(+F73-G73)/G73</f>
        <v>-0.42331623822720565</v>
      </c>
      <c r="I73" s="24">
        <f>K73/C73</f>
        <v>65.394689944477548</v>
      </c>
      <c r="J73" s="24">
        <f>K73/F73</f>
        <v>127.29758531802656</v>
      </c>
      <c r="K73" s="21">
        <v>13827445.609999999</v>
      </c>
      <c r="L73" s="21">
        <v>15689376.039999999</v>
      </c>
      <c r="M73" s="25">
        <f>(+K73-L73)/L73</f>
        <v>-0.11867460026791478</v>
      </c>
      <c r="N73" s="10"/>
      <c r="R73" s="2"/>
    </row>
    <row r="74" spans="1:18" ht="15.75" customHeight="1" x14ac:dyDescent="0.25">
      <c r="A74" s="19"/>
      <c r="B74" s="20">
        <f>DATE(2020,8,1)</f>
        <v>44044</v>
      </c>
      <c r="C74" s="21">
        <v>225551</v>
      </c>
      <c r="D74" s="21">
        <v>384874</v>
      </c>
      <c r="E74" s="23">
        <f>(+C74-D74)/D74</f>
        <v>-0.41396145231946041</v>
      </c>
      <c r="F74" s="21">
        <f>+C74-110461</f>
        <v>115090</v>
      </c>
      <c r="G74" s="21">
        <f>+D74-186167</f>
        <v>198707</v>
      </c>
      <c r="H74" s="23">
        <f>(+F74-G74)/G74</f>
        <v>-0.42080550760667718</v>
      </c>
      <c r="I74" s="24">
        <f>K74/C74</f>
        <v>63.5922016750092</v>
      </c>
      <c r="J74" s="24">
        <f>K74/F74</f>
        <v>124.62668068468155</v>
      </c>
      <c r="K74" s="21">
        <v>14343284.68</v>
      </c>
      <c r="L74" s="21">
        <v>16597532.279999999</v>
      </c>
      <c r="M74" s="25">
        <f>(+K74-L74)/L74</f>
        <v>-0.13581823863758136</v>
      </c>
      <c r="N74" s="10"/>
      <c r="R74" s="2"/>
    </row>
    <row r="75" spans="1:18" ht="15.75" customHeight="1" x14ac:dyDescent="0.25">
      <c r="A75" s="19"/>
      <c r="B75" s="20">
        <f>DATE(2020,9,1)</f>
        <v>44075</v>
      </c>
      <c r="C75" s="21">
        <v>224827</v>
      </c>
      <c r="D75" s="21">
        <v>348168</v>
      </c>
      <c r="E75" s="23">
        <f>(+C75-D75)/D75</f>
        <v>-0.35425714023115279</v>
      </c>
      <c r="F75" s="21">
        <f>+C75-110393</f>
        <v>114434</v>
      </c>
      <c r="G75" s="21">
        <f>+D75-163347</f>
        <v>184821</v>
      </c>
      <c r="H75" s="23">
        <f>(+F75-G75)/G75</f>
        <v>-0.3808387575005005</v>
      </c>
      <c r="I75" s="24">
        <f>K75/C75</f>
        <v>60.458002019330422</v>
      </c>
      <c r="J75" s="24">
        <f>K75/F75</f>
        <v>118.78105475645351</v>
      </c>
      <c r="K75" s="21">
        <v>13592591.220000001</v>
      </c>
      <c r="L75" s="21">
        <v>15466295.43</v>
      </c>
      <c r="M75" s="25">
        <f>(+K75-L75)/L75</f>
        <v>-0.12114757657904114</v>
      </c>
      <c r="N75" s="10"/>
      <c r="R75" s="2"/>
    </row>
    <row r="76" spans="1:18" ht="15.75" customHeight="1" x14ac:dyDescent="0.25">
      <c r="A76" s="19"/>
      <c r="B76" s="20">
        <f>DATE(2020,10,1)</f>
        <v>44105</v>
      </c>
      <c r="C76" s="21">
        <v>236689</v>
      </c>
      <c r="D76" s="21">
        <v>347400</v>
      </c>
      <c r="E76" s="23">
        <f>(+C76-D76)/D76</f>
        <v>-0.31868451352907312</v>
      </c>
      <c r="F76" s="21">
        <f>+C76-116990</f>
        <v>119699</v>
      </c>
      <c r="G76" s="21">
        <f>+D76-164019</f>
        <v>183381</v>
      </c>
      <c r="H76" s="23">
        <f>(+F76-G76)/G76</f>
        <v>-0.3472660744570048</v>
      </c>
      <c r="I76" s="24">
        <f>K76/C76</f>
        <v>61.040805994363915</v>
      </c>
      <c r="J76" s="24">
        <f>K76/F76</f>
        <v>120.7001506278248</v>
      </c>
      <c r="K76" s="21">
        <v>14447687.33</v>
      </c>
      <c r="L76" s="21">
        <v>16339837.66</v>
      </c>
      <c r="M76" s="25">
        <f>(+K76-L76)/L76</f>
        <v>-0.11579982429274638</v>
      </c>
      <c r="N76" s="10"/>
      <c r="R76" s="2"/>
    </row>
    <row r="77" spans="1:18" ht="15.75" customHeight="1" x14ac:dyDescent="0.25">
      <c r="A77" s="19"/>
      <c r="B77" s="20">
        <f>DATE(2020,11,1)</f>
        <v>44136</v>
      </c>
      <c r="C77" s="21">
        <v>217833</v>
      </c>
      <c r="D77" s="21">
        <v>367906</v>
      </c>
      <c r="E77" s="23">
        <f>(+C77-D77)/D77</f>
        <v>-0.4079112599413981</v>
      </c>
      <c r="F77" s="21">
        <f>+C77-108450</f>
        <v>109383</v>
      </c>
      <c r="G77" s="21">
        <f>+D77-173004</f>
        <v>194902</v>
      </c>
      <c r="H77" s="23">
        <f>(+F77-G77)/G77</f>
        <v>-0.43877948917917725</v>
      </c>
      <c r="I77" s="24">
        <f>K77/C77</f>
        <v>57.771631616880825</v>
      </c>
      <c r="J77" s="24">
        <f>K77/F77</f>
        <v>115.05049075267638</v>
      </c>
      <c r="K77" s="21">
        <v>12584567.83</v>
      </c>
      <c r="L77" s="21">
        <v>16579737.300000001</v>
      </c>
      <c r="M77" s="25">
        <f>(+K77-L77)/L77</f>
        <v>-0.24096699469418015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SUM(C73:C78)</f>
        <v>1116346</v>
      </c>
      <c r="D79" s="41">
        <f>SUM(D73:D78)</f>
        <v>1814957</v>
      </c>
      <c r="E79" s="280">
        <f>(+C79-D79)/D79</f>
        <v>-0.38491876116073276</v>
      </c>
      <c r="F79" s="41">
        <f>SUM(F73:F78)</f>
        <v>567229</v>
      </c>
      <c r="G79" s="41">
        <f>SUM(G73:G78)</f>
        <v>950169</v>
      </c>
      <c r="H79" s="42">
        <f>(+F79-G79)/G79</f>
        <v>-0.40302304116425602</v>
      </c>
      <c r="I79" s="43">
        <f>K79/C79</f>
        <v>61.625675794063852</v>
      </c>
      <c r="J79" s="43">
        <f>K79/F79</f>
        <v>121.28360268956629</v>
      </c>
      <c r="K79" s="41">
        <f>SUM(K73:K78)</f>
        <v>68795576.670000002</v>
      </c>
      <c r="L79" s="41">
        <f>SUM(L73:L78)</f>
        <v>80672778.709999993</v>
      </c>
      <c r="M79" s="44">
        <f>(+K79-L79)/L79</f>
        <v>-0.14722688656474558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54</v>
      </c>
      <c r="B81" s="20">
        <f>DATE(2020,7,1)</f>
        <v>44013</v>
      </c>
      <c r="C81" s="21">
        <v>223492</v>
      </c>
      <c r="D81" s="21">
        <v>420137</v>
      </c>
      <c r="E81" s="23">
        <f>(+C81-D81)/D81</f>
        <v>-0.46804970759537962</v>
      </c>
      <c r="F81" s="21">
        <f>+C81-109534</f>
        <v>113958</v>
      </c>
      <c r="G81" s="21">
        <f>+D81-190250</f>
        <v>229887</v>
      </c>
      <c r="H81" s="23">
        <f>(+F81-G81)/G81</f>
        <v>-0.50428688877578987</v>
      </c>
      <c r="I81" s="24">
        <f>K81/C81</f>
        <v>67.284719274067982</v>
      </c>
      <c r="J81" s="24">
        <f>K81/F81</f>
        <v>131.95735692097088</v>
      </c>
      <c r="K81" s="21">
        <v>15037596.48</v>
      </c>
      <c r="L81" s="21">
        <v>18224766.800000001</v>
      </c>
      <c r="M81" s="25">
        <f>(+K81-L81)/L81</f>
        <v>-0.17488126761654915</v>
      </c>
      <c r="N81" s="10"/>
      <c r="R81" s="2"/>
    </row>
    <row r="82" spans="1:18" ht="15.75" customHeight="1" x14ac:dyDescent="0.25">
      <c r="A82" s="19"/>
      <c r="B82" s="20">
        <f>DATE(2020,8,1)</f>
        <v>44044</v>
      </c>
      <c r="C82" s="21">
        <v>243172</v>
      </c>
      <c r="D82" s="21">
        <v>436427</v>
      </c>
      <c r="E82" s="23">
        <f>(+C82-D82)/D82</f>
        <v>-0.44281174171167226</v>
      </c>
      <c r="F82" s="21">
        <f>+C82-117936</f>
        <v>125236</v>
      </c>
      <c r="G82" s="21">
        <f>+D82-195454</f>
        <v>240973</v>
      </c>
      <c r="H82" s="23">
        <f>(+F82-G82)/G82</f>
        <v>-0.48029032298224283</v>
      </c>
      <c r="I82" s="24">
        <f>K82/C82</f>
        <v>65.264499202210786</v>
      </c>
      <c r="J82" s="24">
        <f>K82/F82</f>
        <v>126.7247341020154</v>
      </c>
      <c r="K82" s="21">
        <v>15870498.800000001</v>
      </c>
      <c r="L82" s="21">
        <v>19518295.300000001</v>
      </c>
      <c r="M82" s="25">
        <f>(+K82-L82)/L82</f>
        <v>-0.18689114207632671</v>
      </c>
      <c r="N82" s="10"/>
      <c r="R82" s="2"/>
    </row>
    <row r="83" spans="1:18" ht="15.75" customHeight="1" x14ac:dyDescent="0.25">
      <c r="A83" s="19"/>
      <c r="B83" s="20">
        <f>DATE(2020,9,1)</f>
        <v>44075</v>
      </c>
      <c r="C83" s="21">
        <v>258989</v>
      </c>
      <c r="D83" s="21">
        <v>419890</v>
      </c>
      <c r="E83" s="23">
        <f>(+C83-D83)/D83</f>
        <v>-0.38319798042344422</v>
      </c>
      <c r="F83" s="21">
        <f>+C83-126754</f>
        <v>132235</v>
      </c>
      <c r="G83" s="21">
        <f>+D83-187135</f>
        <v>232755</v>
      </c>
      <c r="H83" s="23">
        <f>(+F83-G83)/G83</f>
        <v>-0.43187042168804107</v>
      </c>
      <c r="I83" s="24">
        <f>K83/C83</f>
        <v>63.346609122395158</v>
      </c>
      <c r="J83" s="24">
        <f>K83/F83</f>
        <v>124.06756872235036</v>
      </c>
      <c r="K83" s="21">
        <v>16406074.949999999</v>
      </c>
      <c r="L83" s="21">
        <v>18459322.530000001</v>
      </c>
      <c r="M83" s="25">
        <f>(+K83-L83)/L83</f>
        <v>-0.11123092825660714</v>
      </c>
      <c r="N83" s="10"/>
      <c r="R83" s="2"/>
    </row>
    <row r="84" spans="1:18" ht="15.75" customHeight="1" x14ac:dyDescent="0.25">
      <c r="A84" s="19"/>
      <c r="B84" s="20">
        <f>DATE(2020,10,1)</f>
        <v>44105</v>
      </c>
      <c r="C84" s="21">
        <v>272659</v>
      </c>
      <c r="D84" s="21">
        <v>422307</v>
      </c>
      <c r="E84" s="23">
        <f>(+C84-D84)/D84</f>
        <v>-0.3543583222631877</v>
      </c>
      <c r="F84" s="21">
        <f>+C84-130567</f>
        <v>142092</v>
      </c>
      <c r="G84" s="21">
        <f>+D84-185957</f>
        <v>236350</v>
      </c>
      <c r="H84" s="23">
        <f>(+F84-G84)/G84</f>
        <v>-0.39880685424159085</v>
      </c>
      <c r="I84" s="24">
        <f>K84/C84</f>
        <v>60.090470587803807</v>
      </c>
      <c r="J84" s="24">
        <f>K84/F84</f>
        <v>115.30703783464234</v>
      </c>
      <c r="K84" s="21">
        <v>16384207.619999999</v>
      </c>
      <c r="L84" s="21">
        <v>18621742.489999998</v>
      </c>
      <c r="M84" s="25">
        <f>(+K84-L84)/L84</f>
        <v>-0.12015711586612104</v>
      </c>
      <c r="N84" s="10"/>
      <c r="R84" s="2"/>
    </row>
    <row r="85" spans="1:18" ht="15.75" customHeight="1" x14ac:dyDescent="0.25">
      <c r="A85" s="19"/>
      <c r="B85" s="20">
        <f>DATE(2020,11,1)</f>
        <v>44136</v>
      </c>
      <c r="C85" s="21">
        <v>229316</v>
      </c>
      <c r="D85" s="21">
        <v>434809</v>
      </c>
      <c r="E85" s="23">
        <f>(+C85-D85)/D85</f>
        <v>-0.4726052128635792</v>
      </c>
      <c r="F85" s="21">
        <f>+C85-112072</f>
        <v>117244</v>
      </c>
      <c r="G85" s="21">
        <f>+D85-195397</f>
        <v>239412</v>
      </c>
      <c r="H85" s="23">
        <f>(+F85-G85)/G85</f>
        <v>-0.51028352797687671</v>
      </c>
      <c r="I85" s="24">
        <f>K85/C85</f>
        <v>63.174358483490032</v>
      </c>
      <c r="J85" s="24">
        <f>K85/F85</f>
        <v>123.56189817815837</v>
      </c>
      <c r="K85" s="21">
        <v>14486891.189999999</v>
      </c>
      <c r="L85" s="21">
        <v>19750307.149999999</v>
      </c>
      <c r="M85" s="25">
        <f>(+K85-L85)/L85</f>
        <v>-0.26649792937524008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SUM(C81:C86)</f>
        <v>1227628</v>
      </c>
      <c r="D87" s="41">
        <f>SUM(D81:D86)</f>
        <v>2133570</v>
      </c>
      <c r="E87" s="280">
        <f>(+C87-D87)/D87</f>
        <v>-0.4246132069723515</v>
      </c>
      <c r="F87" s="41">
        <f>SUM(F81:F86)</f>
        <v>630765</v>
      </c>
      <c r="G87" s="41">
        <f>SUM(G81:G86)</f>
        <v>1179377</v>
      </c>
      <c r="H87" s="42">
        <f>(+F87-G87)/G87</f>
        <v>-0.46517101825794466</v>
      </c>
      <c r="I87" s="43">
        <f>K87/C87</f>
        <v>63.68807899461401</v>
      </c>
      <c r="J87" s="43">
        <f>K87/F87</f>
        <v>123.95308718777993</v>
      </c>
      <c r="K87" s="41">
        <f>SUM(K81:K86)</f>
        <v>78185269.040000007</v>
      </c>
      <c r="L87" s="41">
        <f>SUM(L81:L86)</f>
        <v>94574434.270000011</v>
      </c>
      <c r="M87" s="44">
        <f>(+K87-L87)/L87</f>
        <v>-0.17329382254839262</v>
      </c>
      <c r="N87" s="10"/>
      <c r="R87" s="2"/>
    </row>
    <row r="88" spans="1:18" ht="15.75" customHeight="1" thickTop="1" x14ac:dyDescent="0.2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 x14ac:dyDescent="0.25">
      <c r="A89" s="19" t="s">
        <v>55</v>
      </c>
      <c r="B89" s="20">
        <f>DATE(2020,7,1)</f>
        <v>44013</v>
      </c>
      <c r="C89" s="21">
        <v>43226</v>
      </c>
      <c r="D89" s="21">
        <v>61327</v>
      </c>
      <c r="E89" s="23">
        <f>(+C89-D89)/D89</f>
        <v>-0.29515547801131636</v>
      </c>
      <c r="F89" s="21">
        <f>+C89-22161</f>
        <v>21065</v>
      </c>
      <c r="G89" s="21">
        <f>+D89-29380</f>
        <v>31947</v>
      </c>
      <c r="H89" s="23">
        <f>(+F89-G89)/G89</f>
        <v>-0.34062666291044541</v>
      </c>
      <c r="I89" s="24">
        <f>K89/C89</f>
        <v>68.785856891685569</v>
      </c>
      <c r="J89" s="24">
        <f>K89/F89</f>
        <v>141.15060289579873</v>
      </c>
      <c r="K89" s="21">
        <v>2973337.45</v>
      </c>
      <c r="L89" s="21">
        <v>2748922.94</v>
      </c>
      <c r="M89" s="25">
        <f>(+K89-L89)/L89</f>
        <v>8.1637250260642169E-2</v>
      </c>
      <c r="N89" s="10"/>
      <c r="R89" s="2"/>
    </row>
    <row r="90" spans="1:18" ht="15" customHeight="1" x14ac:dyDescent="0.25">
      <c r="A90" s="19"/>
      <c r="B90" s="20">
        <f>DATE(2020,8,1)</f>
        <v>44044</v>
      </c>
      <c r="C90" s="21">
        <v>46706</v>
      </c>
      <c r="D90" s="21">
        <v>62887</v>
      </c>
      <c r="E90" s="23">
        <f>(+C90-D90)/D90</f>
        <v>-0.25730278117894001</v>
      </c>
      <c r="F90" s="21">
        <f>+C90-23797</f>
        <v>22909</v>
      </c>
      <c r="G90" s="21">
        <f>+D90-30695</f>
        <v>32192</v>
      </c>
      <c r="H90" s="23">
        <f>(+F90-G90)/G90</f>
        <v>-0.28836356858846918</v>
      </c>
      <c r="I90" s="24">
        <f>K90/C90</f>
        <v>65.788545797113855</v>
      </c>
      <c r="J90" s="24">
        <f>K90/F90</f>
        <v>134.12719106028197</v>
      </c>
      <c r="K90" s="21">
        <v>3072719.82</v>
      </c>
      <c r="L90" s="21">
        <v>2960495.62</v>
      </c>
      <c r="M90" s="25">
        <f>(+K90-L90)/L90</f>
        <v>3.7907233924568254E-2</v>
      </c>
      <c r="N90" s="10"/>
      <c r="R90" s="2"/>
    </row>
    <row r="91" spans="1:18" ht="15" customHeight="1" x14ac:dyDescent="0.25">
      <c r="A91" s="19"/>
      <c r="B91" s="20">
        <f>DATE(2020,9,1)</f>
        <v>44075</v>
      </c>
      <c r="C91" s="21">
        <v>44655</v>
      </c>
      <c r="D91" s="21">
        <v>59108</v>
      </c>
      <c r="E91" s="23">
        <f>(+C91-D91)/D91</f>
        <v>-0.24451850849292819</v>
      </c>
      <c r="F91" s="21">
        <f>+C91-22941</f>
        <v>21714</v>
      </c>
      <c r="G91" s="21">
        <f>+D91-28508</f>
        <v>30600</v>
      </c>
      <c r="H91" s="23">
        <f>(+F91-G91)/G91</f>
        <v>-0.29039215686274511</v>
      </c>
      <c r="I91" s="24">
        <f>K91/C91</f>
        <v>63.064807748292466</v>
      </c>
      <c r="J91" s="24">
        <f>K91/F91</f>
        <v>129.69323892419638</v>
      </c>
      <c r="K91" s="21">
        <v>2816158.99</v>
      </c>
      <c r="L91" s="21">
        <v>2697791.52</v>
      </c>
      <c r="M91" s="25">
        <f>(+K91-L91)/L91</f>
        <v>4.3875692069786108E-2</v>
      </c>
      <c r="N91" s="10"/>
      <c r="R91" s="2"/>
    </row>
    <row r="92" spans="1:18" ht="15" customHeight="1" x14ac:dyDescent="0.25">
      <c r="A92" s="19"/>
      <c r="B92" s="20">
        <f>DATE(2020,10,1)</f>
        <v>44105</v>
      </c>
      <c r="C92" s="21">
        <v>42403</v>
      </c>
      <c r="D92" s="21">
        <v>56197</v>
      </c>
      <c r="E92" s="23">
        <f>(+C92-D92)/D92</f>
        <v>-0.24545794259480044</v>
      </c>
      <c r="F92" s="21">
        <f>+C92-22277</f>
        <v>20126</v>
      </c>
      <c r="G92" s="21">
        <f>+D92-27661</f>
        <v>28536</v>
      </c>
      <c r="H92" s="23">
        <f>(+F92-G92)/G92</f>
        <v>-0.29471544715447157</v>
      </c>
      <c r="I92" s="24">
        <f>K92/C92</f>
        <v>67.736065136900692</v>
      </c>
      <c r="J92" s="24">
        <f>K92/F92</f>
        <v>142.71153582430688</v>
      </c>
      <c r="K92" s="21">
        <v>2872212.37</v>
      </c>
      <c r="L92" s="21">
        <v>2815045.18</v>
      </c>
      <c r="M92" s="25">
        <f>(+K92-L92)/L92</f>
        <v>2.0307734457036295E-2</v>
      </c>
      <c r="N92" s="10"/>
      <c r="R92" s="2"/>
    </row>
    <row r="93" spans="1:18" ht="15" customHeight="1" x14ac:dyDescent="0.25">
      <c r="A93" s="19"/>
      <c r="B93" s="20">
        <f>DATE(2020,11,1)</f>
        <v>44136</v>
      </c>
      <c r="C93" s="21">
        <v>37816</v>
      </c>
      <c r="D93" s="21">
        <v>56040</v>
      </c>
      <c r="E93" s="23">
        <f>(+C93-D93)/D93</f>
        <v>-0.32519628836545322</v>
      </c>
      <c r="F93" s="21">
        <f>+C93-19316</f>
        <v>18500</v>
      </c>
      <c r="G93" s="21">
        <f>+D93-27978</f>
        <v>28062</v>
      </c>
      <c r="H93" s="23">
        <f>(+F93-G93)/G93</f>
        <v>-0.34074549212458127</v>
      </c>
      <c r="I93" s="24">
        <f>K93/C93</f>
        <v>70.016627882377819</v>
      </c>
      <c r="J93" s="24">
        <f>K93/F93</f>
        <v>143.12155675675675</v>
      </c>
      <c r="K93" s="21">
        <v>2647748.7999999998</v>
      </c>
      <c r="L93" s="21">
        <v>2921369.96</v>
      </c>
      <c r="M93" s="25">
        <f>(+K93-L93)/L93</f>
        <v>-9.3661933868862041E-2</v>
      </c>
      <c r="N93" s="10"/>
      <c r="R93" s="2"/>
    </row>
    <row r="94" spans="1:18" ht="15.75" thickBot="1" x14ac:dyDescent="0.25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62" t="s">
        <v>14</v>
      </c>
      <c r="B95" s="52"/>
      <c r="C95" s="48">
        <f>SUM(C89:C94)</f>
        <v>214806</v>
      </c>
      <c r="D95" s="48">
        <f>SUM(D89:D94)</f>
        <v>295559</v>
      </c>
      <c r="E95" s="280">
        <f>(+C95-D95)/D95</f>
        <v>-0.27322125193277824</v>
      </c>
      <c r="F95" s="48">
        <f>SUM(F89:F94)</f>
        <v>104314</v>
      </c>
      <c r="G95" s="48">
        <f>SUM(G89:G94)</f>
        <v>151337</v>
      </c>
      <c r="H95" s="42">
        <f>(+F95-G95)/G95</f>
        <v>-0.31071714121464017</v>
      </c>
      <c r="I95" s="50">
        <f>K95/C95</f>
        <v>66.954263055966777</v>
      </c>
      <c r="J95" s="50">
        <f>K95/F95</f>
        <v>137.87389449163103</v>
      </c>
      <c r="K95" s="48">
        <f>SUM(K89:K94)</f>
        <v>14382177.43</v>
      </c>
      <c r="L95" s="48">
        <f>SUM(L89:L94)</f>
        <v>14143625.219999999</v>
      </c>
      <c r="M95" s="44">
        <f>(+K95-L95)/L95</f>
        <v>1.6866411990518009E-2</v>
      </c>
      <c r="N95" s="10"/>
      <c r="R95" s="2"/>
    </row>
    <row r="96" spans="1:18" ht="15.75" customHeight="1" thickTop="1" x14ac:dyDescent="0.25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x14ac:dyDescent="0.25">
      <c r="A97" s="19" t="s">
        <v>17</v>
      </c>
      <c r="B97" s="20">
        <f>DATE(2020,7,1)</f>
        <v>44013</v>
      </c>
      <c r="C97" s="21">
        <v>316439</v>
      </c>
      <c r="D97" s="21">
        <v>447474</v>
      </c>
      <c r="E97" s="23">
        <f>(+C97-D97)/D97</f>
        <v>-0.29283265619901938</v>
      </c>
      <c r="F97" s="21">
        <f>+C97-163690</f>
        <v>152749</v>
      </c>
      <c r="G97" s="21">
        <f>+D97-208413</f>
        <v>239061</v>
      </c>
      <c r="H97" s="23">
        <f>(+F97-G97)/G97</f>
        <v>-0.36104592551691828</v>
      </c>
      <c r="I97" s="24">
        <f>K97/C97</f>
        <v>71.817670419891343</v>
      </c>
      <c r="J97" s="24">
        <f>K97/F97</f>
        <v>148.77944739409094</v>
      </c>
      <c r="K97" s="21">
        <v>22725911.809999999</v>
      </c>
      <c r="L97" s="21">
        <v>22798067.890000001</v>
      </c>
      <c r="M97" s="25">
        <f>(+K97-L97)/L97</f>
        <v>-3.1650085589775799E-3</v>
      </c>
      <c r="N97" s="10"/>
      <c r="R97" s="2"/>
    </row>
    <row r="98" spans="1:18" ht="15.75" x14ac:dyDescent="0.25">
      <c r="A98" s="19"/>
      <c r="B98" s="20">
        <f>DATE(2020,8,1)</f>
        <v>44044</v>
      </c>
      <c r="C98" s="21">
        <v>305395</v>
      </c>
      <c r="D98" s="21">
        <v>463395</v>
      </c>
      <c r="E98" s="23">
        <f>(+C98-D98)/D98</f>
        <v>-0.34096181443476947</v>
      </c>
      <c r="F98" s="21">
        <f>+C98-155433</f>
        <v>149962</v>
      </c>
      <c r="G98" s="21">
        <f>+D98-219743</f>
        <v>243652</v>
      </c>
      <c r="H98" s="23">
        <f>(+F98-G98)/G98</f>
        <v>-0.38452382906768667</v>
      </c>
      <c r="I98" s="24">
        <f>K98/C98</f>
        <v>68.028956891894097</v>
      </c>
      <c r="J98" s="24">
        <f>K98/F98</f>
        <v>138.53978534562088</v>
      </c>
      <c r="K98" s="21">
        <v>20775703.289999999</v>
      </c>
      <c r="L98" s="21">
        <v>23200828.350000001</v>
      </c>
      <c r="M98" s="25">
        <f>(+K98-L98)/L98</f>
        <v>-0.10452752045812201</v>
      </c>
      <c r="N98" s="10"/>
      <c r="R98" s="2"/>
    </row>
    <row r="99" spans="1:18" ht="15.75" x14ac:dyDescent="0.25">
      <c r="A99" s="19"/>
      <c r="B99" s="20">
        <f>DATE(2020,9,1)</f>
        <v>44075</v>
      </c>
      <c r="C99" s="21">
        <v>318330</v>
      </c>
      <c r="D99" s="21">
        <v>425892</v>
      </c>
      <c r="E99" s="23">
        <f>(+C99-D99)/D99</f>
        <v>-0.25255698627821138</v>
      </c>
      <c r="F99" s="21">
        <f>+C99-166686</f>
        <v>151644</v>
      </c>
      <c r="G99" s="21">
        <f>+D99-202215</f>
        <v>223677</v>
      </c>
      <c r="H99" s="23">
        <f>(+F99-G99)/G99</f>
        <v>-0.32204026341555009</v>
      </c>
      <c r="I99" s="24">
        <f>K99/C99</f>
        <v>64.07588870040523</v>
      </c>
      <c r="J99" s="24">
        <f>K99/F99</f>
        <v>134.50764718683232</v>
      </c>
      <c r="K99" s="21">
        <v>20397277.649999999</v>
      </c>
      <c r="L99" s="21">
        <v>21530902.170000002</v>
      </c>
      <c r="M99" s="25">
        <f>(+K99-L99)/L99</f>
        <v>-5.2651045973332901E-2</v>
      </c>
      <c r="N99" s="10"/>
      <c r="R99" s="2"/>
    </row>
    <row r="100" spans="1:18" ht="15.75" x14ac:dyDescent="0.25">
      <c r="A100" s="19"/>
      <c r="B100" s="20">
        <f>DATE(2020,10,1)</f>
        <v>44105</v>
      </c>
      <c r="C100" s="21">
        <v>335355</v>
      </c>
      <c r="D100" s="21">
        <v>405696</v>
      </c>
      <c r="E100" s="23">
        <f>(+C100-D100)/D100</f>
        <v>-0.17338351869380028</v>
      </c>
      <c r="F100" s="21">
        <f>+C100-175973</f>
        <v>159382</v>
      </c>
      <c r="G100" s="21">
        <f>+D100-186355</f>
        <v>219341</v>
      </c>
      <c r="H100" s="23">
        <f>(+F100-G100)/G100</f>
        <v>-0.27335974578396194</v>
      </c>
      <c r="I100" s="24">
        <f>K100/C100</f>
        <v>65.370092558631896</v>
      </c>
      <c r="J100" s="24">
        <f>K100/F100</f>
        <v>137.54493851250456</v>
      </c>
      <c r="K100" s="21">
        <v>21922187.390000001</v>
      </c>
      <c r="L100" s="21">
        <v>21798172.190000001</v>
      </c>
      <c r="M100" s="25">
        <f>(+K100-L100)/L100</f>
        <v>5.6892476543006542E-3</v>
      </c>
      <c r="N100" s="10"/>
      <c r="R100" s="2"/>
    </row>
    <row r="101" spans="1:18" ht="15.75" x14ac:dyDescent="0.25">
      <c r="A101" s="19"/>
      <c r="B101" s="20">
        <f>DATE(2020,11,1)</f>
        <v>44136</v>
      </c>
      <c r="C101" s="21">
        <v>293474</v>
      </c>
      <c r="D101" s="21">
        <v>410474</v>
      </c>
      <c r="E101" s="23">
        <f>(+C101-D101)/D101</f>
        <v>-0.28503632385973288</v>
      </c>
      <c r="F101" s="21">
        <f>+C101-151137</f>
        <v>142337</v>
      </c>
      <c r="G101" s="21">
        <f>+D101-191079</f>
        <v>219395</v>
      </c>
      <c r="H101" s="23">
        <f>(+F101-G101)/G101</f>
        <v>-0.35122951753686271</v>
      </c>
      <c r="I101" s="24">
        <f>K101/C101</f>
        <v>64.947320069239524</v>
      </c>
      <c r="J101" s="24">
        <f>K101/F101</f>
        <v>133.91001503474149</v>
      </c>
      <c r="K101" s="21">
        <v>19060349.809999999</v>
      </c>
      <c r="L101" s="21">
        <v>20825709.969999999</v>
      </c>
      <c r="M101" s="25">
        <f>(+K101-L101)/L101</f>
        <v>-8.4768306220678644E-2</v>
      </c>
      <c r="N101" s="10"/>
      <c r="R101" s="2"/>
    </row>
    <row r="102" spans="1:18" ht="15.75" thickBot="1" x14ac:dyDescent="0.25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SUM(C97:C102)</f>
        <v>1568993</v>
      </c>
      <c r="D103" s="41">
        <f>SUM(D97:D102)</f>
        <v>2152931</v>
      </c>
      <c r="E103" s="280">
        <f>(+C103-D103)/D103</f>
        <v>-0.27122931482708923</v>
      </c>
      <c r="F103" s="41">
        <f>SUM(F97:F102)</f>
        <v>756074</v>
      </c>
      <c r="G103" s="41">
        <f>SUM(G97:G102)</f>
        <v>1145126</v>
      </c>
      <c r="H103" s="42">
        <f>(+F103-G103)/G103</f>
        <v>-0.33974601921535275</v>
      </c>
      <c r="I103" s="43">
        <f>K103/C103</f>
        <v>66.846333890590969</v>
      </c>
      <c r="J103" s="43">
        <f>K103/F103</f>
        <v>138.71847193528674</v>
      </c>
      <c r="K103" s="41">
        <f>SUM(K97:K102)</f>
        <v>104881429.94999999</v>
      </c>
      <c r="L103" s="41">
        <f>SUM(L97:L102)</f>
        <v>110153680.56999999</v>
      </c>
      <c r="M103" s="44">
        <f>(+K103-L103)/L103</f>
        <v>-4.7862682324533105E-2</v>
      </c>
      <c r="N103" s="10"/>
      <c r="R103" s="2"/>
    </row>
    <row r="104" spans="1:18" ht="15.75" customHeight="1" thickTop="1" x14ac:dyDescent="0.25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 x14ac:dyDescent="0.25">
      <c r="A105" s="19" t="s">
        <v>57</v>
      </c>
      <c r="B105" s="20">
        <f>DATE(2020,7,1)</f>
        <v>44013</v>
      </c>
      <c r="C105" s="21">
        <v>61338</v>
      </c>
      <c r="D105" s="21">
        <v>77431</v>
      </c>
      <c r="E105" s="23">
        <f>(+C105-D105)/D105</f>
        <v>-0.2078366545698751</v>
      </c>
      <c r="F105" s="21">
        <f>+C105-27914</f>
        <v>33424</v>
      </c>
      <c r="G105" s="21">
        <f>+D105-35761</f>
        <v>41670</v>
      </c>
      <c r="H105" s="23">
        <f>(+F105-G105)/G105</f>
        <v>-0.19788816894648428</v>
      </c>
      <c r="I105" s="24">
        <f>K105/C105</f>
        <v>57.274320812546875</v>
      </c>
      <c r="J105" s="24">
        <f>K105/F105</f>
        <v>105.10687799186213</v>
      </c>
      <c r="K105" s="21">
        <v>3513092.29</v>
      </c>
      <c r="L105" s="21">
        <v>3396657.88</v>
      </c>
      <c r="M105" s="25">
        <f>(+K105-L105)/L105</f>
        <v>3.4279110264705301E-2</v>
      </c>
      <c r="N105" s="10"/>
      <c r="R105" s="2"/>
    </row>
    <row r="106" spans="1:18" ht="15.75" x14ac:dyDescent="0.25">
      <c r="A106" s="19"/>
      <c r="B106" s="20">
        <f>DATE(2020,8,1)</f>
        <v>44044</v>
      </c>
      <c r="C106" s="21">
        <v>61855</v>
      </c>
      <c r="D106" s="21">
        <v>83032</v>
      </c>
      <c r="E106" s="23">
        <f>(+C106-D106)/D106</f>
        <v>-0.25504624722998365</v>
      </c>
      <c r="F106" s="21">
        <f>+C106-27562</f>
        <v>34293</v>
      </c>
      <c r="G106" s="21">
        <f>+D106-37844</f>
        <v>45188</v>
      </c>
      <c r="H106" s="23">
        <f>(+F106-G106)/G106</f>
        <v>-0.24110383287598477</v>
      </c>
      <c r="I106" s="24">
        <f>K106/C106</f>
        <v>57.364789265217041</v>
      </c>
      <c r="J106" s="24">
        <f>K106/F106</f>
        <v>103.47006794389526</v>
      </c>
      <c r="K106" s="21">
        <v>3548299.04</v>
      </c>
      <c r="L106" s="21">
        <v>3491800.49</v>
      </c>
      <c r="M106" s="25">
        <f>(+K106-L106)/L106</f>
        <v>1.618034883774239E-2</v>
      </c>
      <c r="N106" s="10"/>
      <c r="R106" s="2"/>
    </row>
    <row r="107" spans="1:18" ht="15.75" x14ac:dyDescent="0.25">
      <c r="A107" s="19"/>
      <c r="B107" s="20">
        <f>DATE(2020,9,1)</f>
        <v>44075</v>
      </c>
      <c r="C107" s="21">
        <v>58255</v>
      </c>
      <c r="D107" s="21">
        <v>70924</v>
      </c>
      <c r="E107" s="23">
        <f>(+C107-D107)/D107</f>
        <v>-0.17862782696971405</v>
      </c>
      <c r="F107" s="21">
        <f>+C107-26013</f>
        <v>32242</v>
      </c>
      <c r="G107" s="21">
        <f>+D107-32729</f>
        <v>38195</v>
      </c>
      <c r="H107" s="23">
        <f>(+F107-G107)/G107</f>
        <v>-0.15585809660950387</v>
      </c>
      <c r="I107" s="24">
        <f>K107/C107</f>
        <v>55.064059394043426</v>
      </c>
      <c r="J107" s="24">
        <f>K107/F107</f>
        <v>99.490006203089138</v>
      </c>
      <c r="K107" s="21">
        <v>3207756.78</v>
      </c>
      <c r="L107" s="21">
        <v>3371438.75</v>
      </c>
      <c r="M107" s="25">
        <f>(+K107-L107)/L107</f>
        <v>-4.8549590289902259E-2</v>
      </c>
      <c r="N107" s="10"/>
      <c r="R107" s="2"/>
    </row>
    <row r="108" spans="1:18" ht="15.75" x14ac:dyDescent="0.25">
      <c r="A108" s="19"/>
      <c r="B108" s="20">
        <f>DATE(2020,10,1)</f>
        <v>44105</v>
      </c>
      <c r="C108" s="21">
        <v>55328</v>
      </c>
      <c r="D108" s="21">
        <v>70482</v>
      </c>
      <c r="E108" s="23">
        <f>(+C108-D108)/D108</f>
        <v>-0.21500524956726541</v>
      </c>
      <c r="F108" s="21">
        <f>+C108-22799</f>
        <v>32529</v>
      </c>
      <c r="G108" s="21">
        <f>+D108-33635</f>
        <v>36847</v>
      </c>
      <c r="H108" s="23">
        <f>(+F108-G108)/G108</f>
        <v>-0.11718728797459765</v>
      </c>
      <c r="I108" s="24">
        <f>K108/C108</f>
        <v>52.386605696934645</v>
      </c>
      <c r="J108" s="24">
        <f>K108/F108</f>
        <v>89.103449844753911</v>
      </c>
      <c r="K108" s="21">
        <v>2898446.12</v>
      </c>
      <c r="L108" s="21">
        <v>3274009.79</v>
      </c>
      <c r="M108" s="25">
        <f>(+K108-L108)/L108</f>
        <v>-0.11471061300644428</v>
      </c>
      <c r="N108" s="10"/>
      <c r="R108" s="2"/>
    </row>
    <row r="109" spans="1:18" ht="15.75" x14ac:dyDescent="0.25">
      <c r="A109" s="19"/>
      <c r="B109" s="20">
        <f>DATE(2020,11,1)</f>
        <v>44136</v>
      </c>
      <c r="C109" s="21">
        <v>49882</v>
      </c>
      <c r="D109" s="21">
        <v>73056</v>
      </c>
      <c r="E109" s="23">
        <f>(+C109-D109)/D109</f>
        <v>-0.31720871660096367</v>
      </c>
      <c r="F109" s="21">
        <f>+C109-20773</f>
        <v>29109</v>
      </c>
      <c r="G109" s="21">
        <f>+D109-35437</f>
        <v>37619</v>
      </c>
      <c r="H109" s="23">
        <f>(+F109-G109)/G109</f>
        <v>-0.22621547622212179</v>
      </c>
      <c r="I109" s="24">
        <f>K109/C109</f>
        <v>51.305875065153764</v>
      </c>
      <c r="J109" s="24">
        <f>K109/F109</f>
        <v>87.919188567109828</v>
      </c>
      <c r="K109" s="21">
        <v>2559239.66</v>
      </c>
      <c r="L109" s="21">
        <v>3377500.2</v>
      </c>
      <c r="M109" s="25">
        <f>(+K109-L109)/L109</f>
        <v>-0.24226809520248141</v>
      </c>
      <c r="N109" s="10"/>
      <c r="R109" s="2"/>
    </row>
    <row r="110" spans="1:18" ht="15.75" thickBot="1" x14ac:dyDescent="0.25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26" t="s">
        <v>14</v>
      </c>
      <c r="B111" s="27"/>
      <c r="C111" s="28">
        <f>SUM(C105:C110)</f>
        <v>286658</v>
      </c>
      <c r="D111" s="28">
        <f>SUM(D105:D110)</f>
        <v>374925</v>
      </c>
      <c r="E111" s="280">
        <f>(+C111-D111)/D111</f>
        <v>-0.23542575181703007</v>
      </c>
      <c r="F111" s="28">
        <f>SUM(F105:F110)</f>
        <v>161597</v>
      </c>
      <c r="G111" s="28">
        <f>SUM(G105:G110)</f>
        <v>199519</v>
      </c>
      <c r="H111" s="42">
        <f>(+F111-G111)/G111</f>
        <v>-0.19006711140292404</v>
      </c>
      <c r="I111" s="43">
        <f>K111/C111</f>
        <v>54.86270709347027</v>
      </c>
      <c r="J111" s="43">
        <f>K111/F111</f>
        <v>97.321323353775142</v>
      </c>
      <c r="K111" s="28">
        <f>SUM(K105:K110)</f>
        <v>15726833.890000001</v>
      </c>
      <c r="L111" s="28">
        <f>SUM(L105:L110)</f>
        <v>16911407.109999999</v>
      </c>
      <c r="M111" s="44">
        <f>(+K111-L111)/L111</f>
        <v>-7.0045810635091438E-2</v>
      </c>
      <c r="N111" s="10"/>
      <c r="R111" s="2"/>
    </row>
    <row r="112" spans="1:18" ht="16.5" thickTop="1" thickBot="1" x14ac:dyDescent="0.25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Top="1" thickBot="1" x14ac:dyDescent="0.3">
      <c r="A113" s="64" t="s">
        <v>18</v>
      </c>
      <c r="B113" s="65"/>
      <c r="C113" s="28">
        <f>C111+C103+C47+C63+C71+C31+C15+C79+C87+C39+C95+C23+C55</f>
        <v>10501986</v>
      </c>
      <c r="D113" s="28">
        <f>D111+D103+D47+D63+D71+D31+D15+D79+D87+D39+D95+D23+D55</f>
        <v>15359609</v>
      </c>
      <c r="E113" s="279">
        <f>(+C113-D113)/D113</f>
        <v>-0.31625954801323392</v>
      </c>
      <c r="F113" s="28">
        <f>F111+F103+F47+F63+F71+F31+F15+F79+F87+F39+F95+F23+F55</f>
        <v>5356113</v>
      </c>
      <c r="G113" s="28">
        <f>G111+G103+G47+G63+G71+G31+G15+G79+G87+G39+G95+G23+G55</f>
        <v>8174438</v>
      </c>
      <c r="H113" s="30">
        <f>(+F113-G113)/G113</f>
        <v>-0.34477293729550584</v>
      </c>
      <c r="I113" s="31">
        <f>K113/C113</f>
        <v>61.40759646699204</v>
      </c>
      <c r="J113" s="31">
        <f>K113/F113</f>
        <v>120.40480071835674</v>
      </c>
      <c r="K113" s="28">
        <f>K111+K103+K47+K63+K71+K31+K15+K79+K87+K39+K95+K23+K55</f>
        <v>644901718.38999987</v>
      </c>
      <c r="L113" s="28">
        <f>L111+L103+L47+L63+L71+L31+L15+L79+L87+L39+L95+L23+L55</f>
        <v>721425812.11000001</v>
      </c>
      <c r="M113" s="32">
        <f>(+K113-L113)/L113</f>
        <v>-0.10607340690539649</v>
      </c>
      <c r="N113" s="10"/>
      <c r="R113" s="2"/>
    </row>
    <row r="114" spans="1:18" ht="17.25" thickTop="1" thickBot="1" x14ac:dyDescent="0.3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Top="1" thickBot="1" x14ac:dyDescent="0.3">
      <c r="A115" s="64" t="s">
        <v>19</v>
      </c>
      <c r="B115" s="65"/>
      <c r="C115" s="28">
        <f>SUM(C13+C21+C29+C37+C45+C53+C61+C69+C77+C85+C93+C101+C109)</f>
        <v>1988505</v>
      </c>
      <c r="D115" s="28">
        <f>SUM(D13+D21+D29+D37+D45+D53+D61+D69+D77+D85+D93+D101+D109)</f>
        <v>3049806</v>
      </c>
      <c r="E115" s="279">
        <f>(+C115-D115)/D115</f>
        <v>-0.34798967540886205</v>
      </c>
      <c r="F115" s="28">
        <f>SUM(F13+F21+F29+F37+F45+F53+F61+F69+F77+F85+F93+F101+F109)</f>
        <v>1015182</v>
      </c>
      <c r="G115" s="28">
        <f>SUM(G13+G21+G29+G37+G45+G53+G61+G69+G77+G85+G93+G101+G109)</f>
        <v>1609484</v>
      </c>
      <c r="H115" s="30">
        <f>(+F115-G115)/G115</f>
        <v>-0.36925002050346573</v>
      </c>
      <c r="I115" s="31">
        <f>K115/C115</f>
        <v>59.294329352956119</v>
      </c>
      <c r="J115" s="31">
        <f>K115/F115</f>
        <v>116.14377558900769</v>
      </c>
      <c r="K115" s="28">
        <f>SUM(K13+K21+K29+K37+K45+K53+K61+K69+K77+K85+K93+K101+K109)</f>
        <v>117907070.39</v>
      </c>
      <c r="L115" s="28">
        <f>SUM(L13+L21+L29+L37+L45+L53+L61+L69+L77+L85+L93+L101+L109)</f>
        <v>144427448.96999997</v>
      </c>
      <c r="M115" s="44">
        <f>(+K115-L115)/L115</f>
        <v>-0.18362422634431977</v>
      </c>
      <c r="N115" s="10"/>
      <c r="R115" s="2"/>
    </row>
    <row r="116" spans="1:18" ht="15.75" thickTop="1" x14ac:dyDescent="0.2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 x14ac:dyDescent="0.3">
      <c r="A117" s="264" t="s">
        <v>20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 x14ac:dyDescent="0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 x14ac:dyDescent="0.2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x14ac:dyDescent="0.2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x14ac:dyDescent="0.2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 x14ac:dyDescent="0.2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 x14ac:dyDescent="0.2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 x14ac:dyDescent="0.2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 x14ac:dyDescent="0.2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 x14ac:dyDescent="0.2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 x14ac:dyDescent="0.2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7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view="pageBreakPreview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STATS'!$C$17*2</f>
        <v>158942</v>
      </c>
      <c r="D10" s="89">
        <f>'MONTHLY STATS'!$C$25*2</f>
        <v>106210</v>
      </c>
      <c r="E10" s="89">
        <f>'MONTHLY STATS'!$C$33*2</f>
        <v>452472</v>
      </c>
      <c r="F10" s="89">
        <f>'MONTHLY STATS'!$C$41*2</f>
        <v>521570</v>
      </c>
      <c r="G10" s="89">
        <f>'MONTHLY STATS'!$C$49*2</f>
        <v>151956</v>
      </c>
      <c r="H10" s="89">
        <f>'MONTHLY STATS'!$C$57*2</f>
        <v>179564</v>
      </c>
      <c r="I10" s="89">
        <f>'MONTHLY STATS'!$C$65*2</f>
        <v>396916</v>
      </c>
      <c r="J10" s="89">
        <f>'MONTHLY STATS'!$C$73*2</f>
        <v>422892</v>
      </c>
      <c r="K10" s="89">
        <f>'MONTHLY STATS'!$C$81*2</f>
        <v>446984</v>
      </c>
      <c r="L10" s="89">
        <f>'MONTHLY STATS'!$C$89*2</f>
        <v>86452</v>
      </c>
      <c r="M10" s="89">
        <f>'MONTHLY STATS'!$C$97*2</f>
        <v>632878</v>
      </c>
      <c r="N10" s="89">
        <f>'MONTHLY STATS'!$C$105*2</f>
        <v>122676</v>
      </c>
      <c r="O10" s="90">
        <f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STATS'!$C$18*2</f>
        <v>176468</v>
      </c>
      <c r="D11" s="89">
        <f>'MONTHLY STATS'!$C$26*2</f>
        <v>105220</v>
      </c>
      <c r="E11" s="89">
        <f>'MONTHLY STATS'!$C$34*2</f>
        <v>497732</v>
      </c>
      <c r="F11" s="89">
        <f>'MONTHLY STATS'!$C$42*2</f>
        <v>535796</v>
      </c>
      <c r="G11" s="89">
        <f>'MONTHLY STATS'!$C$50*2</f>
        <v>150102</v>
      </c>
      <c r="H11" s="89">
        <f>'MONTHLY STATS'!$C$58*2</f>
        <v>181532</v>
      </c>
      <c r="I11" s="89">
        <f>'MONTHLY STATS'!$C$66*2</f>
        <v>414340</v>
      </c>
      <c r="J11" s="89">
        <f>'MONTHLY STATS'!$C$74*2</f>
        <v>451102</v>
      </c>
      <c r="K11" s="89">
        <f>'MONTHLY STATS'!$C$82*2</f>
        <v>486344</v>
      </c>
      <c r="L11" s="89">
        <f>'MONTHLY STATS'!$C$90*2</f>
        <v>93412</v>
      </c>
      <c r="M11" s="89">
        <f>'MONTHLY STATS'!$C$98*2</f>
        <v>610790</v>
      </c>
      <c r="N11" s="89">
        <f>'MONTHLY STATS'!$C$106*2</f>
        <v>123710</v>
      </c>
      <c r="O11" s="90">
        <f>SUM(B11:N11)</f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STATS'!$C$19*2</f>
        <v>181896</v>
      </c>
      <c r="D12" s="89">
        <f>'MONTHLY STATS'!$C$27*2</f>
        <v>101704</v>
      </c>
      <c r="E12" s="89">
        <f>'MONTHLY STATS'!$C$35*2</f>
        <v>499142</v>
      </c>
      <c r="F12" s="89">
        <f>'MONTHLY STATS'!$C$43*2</f>
        <v>491416</v>
      </c>
      <c r="G12" s="89">
        <f>'MONTHLY STATS'!$C$51*2</f>
        <v>152116</v>
      </c>
      <c r="H12" s="89">
        <f>'MONTHLY STATS'!$C$59*2</f>
        <v>227798</v>
      </c>
      <c r="I12" s="89">
        <f>'MONTHLY STATS'!$C$67*2</f>
        <v>429138</v>
      </c>
      <c r="J12" s="89">
        <f>'MONTHLY STATS'!$C$75*2</f>
        <v>449654</v>
      </c>
      <c r="K12" s="89">
        <f>'MONTHLY STATS'!$C$83*2</f>
        <v>517978</v>
      </c>
      <c r="L12" s="89">
        <f>'MONTHLY STATS'!$C$91*2</f>
        <v>89310</v>
      </c>
      <c r="M12" s="89">
        <f>'MONTHLY STATS'!$C$99*2</f>
        <v>636660</v>
      </c>
      <c r="N12" s="89">
        <f>'MONTHLY STATS'!$C$107*2</f>
        <v>116510</v>
      </c>
      <c r="O12" s="90">
        <f>SUM(B12:N12)</f>
        <v>4286830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STATS'!$C$20*2</f>
        <v>174198</v>
      </c>
      <c r="D13" s="89">
        <f>'MONTHLY STATS'!$C$28*2</f>
        <v>103276</v>
      </c>
      <c r="E13" s="89">
        <f>'MONTHLY STATS'!$C$36*2</f>
        <v>544168</v>
      </c>
      <c r="F13" s="89">
        <f>'MONTHLY STATS'!$C$44*2</f>
        <v>504572</v>
      </c>
      <c r="G13" s="89">
        <f>'MONTHLY STATS'!$C$52*2</f>
        <v>158558</v>
      </c>
      <c r="H13" s="89">
        <f>'MONTHLY STATS'!$C$60*2</f>
        <v>266504</v>
      </c>
      <c r="I13" s="89">
        <f>'MONTHLY STATS'!$C$68*2</f>
        <v>427356</v>
      </c>
      <c r="J13" s="89">
        <f>'MONTHLY STATS'!$C$76*2</f>
        <v>473378</v>
      </c>
      <c r="K13" s="89">
        <f>'MONTHLY STATS'!$C$84*2</f>
        <v>545318</v>
      </c>
      <c r="L13" s="89">
        <f>'MONTHLY STATS'!$C$92*2</f>
        <v>84806</v>
      </c>
      <c r="M13" s="89">
        <f>'MONTHLY STATS'!$C$100*2</f>
        <v>670710</v>
      </c>
      <c r="N13" s="89">
        <f>'MONTHLY STATS'!$C$108*2</f>
        <v>110656</v>
      </c>
      <c r="O13" s="90">
        <f>SUM(B13:N13)</f>
        <v>4471154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STATS'!$C$21*2</f>
        <v>155566</v>
      </c>
      <c r="D14" s="89">
        <f>'MONTHLY STATS'!$C$29*2</f>
        <v>91494</v>
      </c>
      <c r="E14" s="89">
        <f>'MONTHLY STATS'!$C$37*2</f>
        <v>465798</v>
      </c>
      <c r="F14" s="89">
        <f>'MONTHLY STATS'!$C$45*2</f>
        <v>459294</v>
      </c>
      <c r="G14" s="89">
        <f>'MONTHLY STATS'!$C$53*2</f>
        <v>148234</v>
      </c>
      <c r="H14" s="89">
        <f>'MONTHLY STATS'!$C$61*2</f>
        <v>257284</v>
      </c>
      <c r="I14" s="89">
        <f>'MONTHLY STATS'!$C$69*2</f>
        <v>364402</v>
      </c>
      <c r="J14" s="89">
        <f>'MONTHLY STATS'!$C$77*2</f>
        <v>435666</v>
      </c>
      <c r="K14" s="89">
        <f>'MONTHLY STATS'!$C$85*2</f>
        <v>458632</v>
      </c>
      <c r="L14" s="89">
        <f>'MONTHLY STATS'!$C$93*2</f>
        <v>75632</v>
      </c>
      <c r="M14" s="89">
        <f>'MONTHLY STATS'!$C$101*2</f>
        <v>586948</v>
      </c>
      <c r="N14" s="89">
        <f>'MONTHLY STATS'!$C$109*2</f>
        <v>99764</v>
      </c>
      <c r="O14" s="90">
        <f>SUM(B14:N14)</f>
        <v>3977010</v>
      </c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1942376</v>
      </c>
      <c r="C23" s="90">
        <f t="shared" si="0"/>
        <v>847070</v>
      </c>
      <c r="D23" s="90">
        <f t="shared" si="0"/>
        <v>507904</v>
      </c>
      <c r="E23" s="90">
        <f t="shared" si="0"/>
        <v>2459312</v>
      </c>
      <c r="F23" s="90">
        <f t="shared" si="0"/>
        <v>2512648</v>
      </c>
      <c r="G23" s="90">
        <f>SUM(G10:G21)</f>
        <v>760966</v>
      </c>
      <c r="H23" s="90">
        <f t="shared" si="0"/>
        <v>1112682</v>
      </c>
      <c r="I23" s="90">
        <f>SUM(I10:I21)</f>
        <v>2032152</v>
      </c>
      <c r="J23" s="90">
        <f t="shared" si="0"/>
        <v>2232692</v>
      </c>
      <c r="K23" s="90">
        <f>SUM(K10:K21)</f>
        <v>2455256</v>
      </c>
      <c r="L23" s="90">
        <f t="shared" si="0"/>
        <v>429612</v>
      </c>
      <c r="M23" s="90">
        <f t="shared" si="0"/>
        <v>3137986</v>
      </c>
      <c r="N23" s="90">
        <f t="shared" si="0"/>
        <v>573316</v>
      </c>
      <c r="O23" s="90">
        <f t="shared" si="0"/>
        <v>21003972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STATS'!$K$17*0.21</f>
        <v>1178796.7863</v>
      </c>
      <c r="D31" s="89">
        <f>'MONTHLY STATS'!$K$25*0.21</f>
        <v>728228.88599999994</v>
      </c>
      <c r="E31" s="89">
        <f>'MONTHLY STATS'!$K$33*0.21</f>
        <v>3061575.4994999999</v>
      </c>
      <c r="F31" s="89">
        <f>'MONTHLY STATS'!$K$41*0.21</f>
        <v>3317763.2228999999</v>
      </c>
      <c r="G31" s="89">
        <f>'MONTHLY STATS'!$K$49*0.21</f>
        <v>1051497.2097</v>
      </c>
      <c r="H31" s="89">
        <f>'MONTHLY STATS'!$K$57*0.21</f>
        <v>955953.50549999997</v>
      </c>
      <c r="I31" s="89">
        <f>'MONTHLY STATS'!$K$65*0.21</f>
        <v>2398867.7516999999</v>
      </c>
      <c r="J31" s="89">
        <f>'MONTHLY STATS'!$K$73*0.21</f>
        <v>2903763.5780999996</v>
      </c>
      <c r="K31" s="89">
        <f>'MONTHLY STATS'!$K$81*0.21</f>
        <v>3157895.2607999998</v>
      </c>
      <c r="L31" s="89">
        <f>'MONTHLY STATS'!$K$89*0.21</f>
        <v>624400.86450000003</v>
      </c>
      <c r="M31" s="89">
        <f>'MONTHLY STATS'!$K$97*0.21</f>
        <v>4772441.4800999993</v>
      </c>
      <c r="N31" s="89">
        <f>'MONTHLY STATS'!$K$105*0.21</f>
        <v>737749.38089999999</v>
      </c>
      <c r="O31" s="90">
        <f>SUM(B31:N31)</f>
        <v>27748128.552899998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STATS'!$K$18*0.21</f>
        <v>1258855.9683000001</v>
      </c>
      <c r="D32" s="89">
        <f>'MONTHLY STATS'!$K$26*0.21</f>
        <v>692227.40999999992</v>
      </c>
      <c r="E32" s="89">
        <f>'MONTHLY STATS'!$K$34*0.21</f>
        <v>3170806.4156999998</v>
      </c>
      <c r="F32" s="89">
        <f>'MONTHLY STATS'!$K$42*0.21</f>
        <v>3274393.2648</v>
      </c>
      <c r="G32" s="89">
        <f>'MONTHLY STATS'!$K$50*0.21</f>
        <v>1042214.6279999999</v>
      </c>
      <c r="H32" s="89">
        <f>'MONTHLY STATS'!$K$58*0.21</f>
        <v>924689.3459999999</v>
      </c>
      <c r="I32" s="89">
        <f>'MONTHLY STATS'!$K$66*0.21</f>
        <v>2536431.8153999997</v>
      </c>
      <c r="J32" s="89">
        <f>'MONTHLY STATS'!$K$74*0.21</f>
        <v>3012089.7827999997</v>
      </c>
      <c r="K32" s="89">
        <f>'MONTHLY STATS'!$K$82*0.21</f>
        <v>3332804.7480000001</v>
      </c>
      <c r="L32" s="89">
        <f>'MONTHLY STATS'!$K$90*0.21</f>
        <v>645271.1621999999</v>
      </c>
      <c r="M32" s="89">
        <f>'MONTHLY STATS'!$K$98*0.21</f>
        <v>4362897.6908999998</v>
      </c>
      <c r="N32" s="89">
        <f>'MONTHLY STATS'!$K$106*0.21</f>
        <v>745142.79839999997</v>
      </c>
      <c r="O32" s="90">
        <f>SUM(B32:N32)</f>
        <v>27648856.113899998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STATS'!$K$19*0.21</f>
        <v>1240836.3785999999</v>
      </c>
      <c r="D33" s="89">
        <f>'MONTHLY STATS'!$K$27*0.21</f>
        <v>651075.1128</v>
      </c>
      <c r="E33" s="89">
        <f>'MONTHLY STATS'!$K$35*0.21</f>
        <v>3135831.1277999999</v>
      </c>
      <c r="F33" s="89">
        <f>'MONTHLY STATS'!$K$43*0.21</f>
        <v>3087248.5980000002</v>
      </c>
      <c r="G33" s="89">
        <f>'MONTHLY STATS'!$K$51*0.21</f>
        <v>1046144.2025999998</v>
      </c>
      <c r="H33" s="89">
        <f>'MONTHLY STATS'!$K$59*0.21</f>
        <v>1124784.6645</v>
      </c>
      <c r="I33" s="89">
        <f>'MONTHLY STATS'!$K$67*0.21</f>
        <v>2423322.0983999996</v>
      </c>
      <c r="J33" s="89">
        <f>'MONTHLY STATS'!$K$75*0.21</f>
        <v>2854444.1562000001</v>
      </c>
      <c r="K33" s="89">
        <f>'MONTHLY STATS'!$K$83*0.21</f>
        <v>3445275.7394999997</v>
      </c>
      <c r="L33" s="89">
        <f>'MONTHLY STATS'!$K$91*0.21</f>
        <v>591393.38789999997</v>
      </c>
      <c r="M33" s="89">
        <f>'MONTHLY STATS'!$K$99*0.21</f>
        <v>4283428.3064999999</v>
      </c>
      <c r="N33" s="89">
        <f>'MONTHLY STATS'!$K$107*0.21</f>
        <v>673628.92379999999</v>
      </c>
      <c r="O33" s="90">
        <f>SUM(B33:N33)</f>
        <v>27167554.480499998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STATS'!$K$20*0.21</f>
        <v>1200866.0769</v>
      </c>
      <c r="D34" s="89">
        <f>'MONTHLY STATS'!$K$28*0.21</f>
        <v>709462.30530000001</v>
      </c>
      <c r="E34" s="89">
        <f>'MONTHLY STATS'!$K$36*0.21</f>
        <v>3335083.5335999997</v>
      </c>
      <c r="F34" s="89">
        <f>'MONTHLY STATS'!$K$44*0.21</f>
        <v>3141400.1598</v>
      </c>
      <c r="G34" s="89">
        <f>'MONTHLY STATS'!$K$52*0.21</f>
        <v>1048776.6218999999</v>
      </c>
      <c r="H34" s="89">
        <f>'MONTHLY STATS'!$K$60*0.21</f>
        <v>1287500.6172</v>
      </c>
      <c r="I34" s="89">
        <f>'MONTHLY STATS'!$K$68*0.21</f>
        <v>2376266.1993</v>
      </c>
      <c r="J34" s="89">
        <f>'MONTHLY STATS'!$K$76*0.21</f>
        <v>3034014.3393000001</v>
      </c>
      <c r="K34" s="89">
        <f>'MONTHLY STATS'!$K$84*0.21</f>
        <v>3440683.6001999998</v>
      </c>
      <c r="L34" s="89">
        <f>'MONTHLY STATS'!$K$92*0.21</f>
        <v>603164.59770000004</v>
      </c>
      <c r="M34" s="89">
        <f>'MONTHLY STATS'!$K$100*0.21</f>
        <v>4603659.3519000001</v>
      </c>
      <c r="N34" s="89">
        <f>'MONTHLY STATS'!$K$108*0.21</f>
        <v>608673.68519999995</v>
      </c>
      <c r="O34" s="90">
        <f>SUM(B34:N34)</f>
        <v>28104336.932700001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STATS'!$K$21*0.21</f>
        <v>1123386.5726999999</v>
      </c>
      <c r="D35" s="89">
        <f>'MONTHLY STATS'!$K$29*0.21</f>
        <v>640084.75020000001</v>
      </c>
      <c r="E35" s="89">
        <f>'MONTHLY STATS'!$K$37*0.21</f>
        <v>2849597.9798999997</v>
      </c>
      <c r="F35" s="89">
        <f>'MONTHLY STATS'!$K$45*0.21</f>
        <v>2626045.7244000002</v>
      </c>
      <c r="G35" s="89">
        <f>'MONTHLY STATS'!$K$53*0.21</f>
        <v>944126.72549999994</v>
      </c>
      <c r="H35" s="89">
        <f>'MONTHLY STATS'!$K$61*0.21</f>
        <v>1210198.3550999998</v>
      </c>
      <c r="I35" s="89">
        <f>'MONTHLY STATS'!$K$69*0.21</f>
        <v>2217628.3709999998</v>
      </c>
      <c r="J35" s="89">
        <f>'MONTHLY STATS'!$K$77*0.21</f>
        <v>2642759.2442999999</v>
      </c>
      <c r="K35" s="89">
        <f>'MONTHLY STATS'!$K$85*0.21</f>
        <v>3042247.1498999996</v>
      </c>
      <c r="L35" s="89">
        <f>'MONTHLY STATS'!$K$93*0.21</f>
        <v>556027.24799999991</v>
      </c>
      <c r="M35" s="89">
        <f>'MONTHLY STATS'!$K$101*0.21</f>
        <v>4002673.4600999998</v>
      </c>
      <c r="N35" s="89">
        <f>'MONTHLY STATS'!$K$109*0.21</f>
        <v>537440.32860000001</v>
      </c>
      <c r="O35" s="90">
        <f>SUM(B35:N35)</f>
        <v>24760484.7819</v>
      </c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13203422.7108</v>
      </c>
      <c r="C44" s="90">
        <f t="shared" si="1"/>
        <v>6002741.7828000002</v>
      </c>
      <c r="D44" s="90">
        <f t="shared" si="1"/>
        <v>3421078.4643000001</v>
      </c>
      <c r="E44" s="90">
        <f t="shared" si="1"/>
        <v>15552894.556499999</v>
      </c>
      <c r="F44" s="90">
        <f t="shared" si="1"/>
        <v>15446850.969900003</v>
      </c>
      <c r="G44" s="90">
        <f t="shared" si="1"/>
        <v>5132759.3876999998</v>
      </c>
      <c r="H44" s="90">
        <f t="shared" si="1"/>
        <v>5503126.4882999994</v>
      </c>
      <c r="I44" s="90">
        <f>SUM(I31:I42)</f>
        <v>11952516.235799998</v>
      </c>
      <c r="J44" s="90">
        <f t="shared" si="1"/>
        <v>14447071.100699998</v>
      </c>
      <c r="K44" s="90">
        <f>SUM(K31:K42)</f>
        <v>16418906.498399999</v>
      </c>
      <c r="L44" s="90">
        <f t="shared" si="1"/>
        <v>3020257.2602999993</v>
      </c>
      <c r="M44" s="90">
        <f t="shared" si="1"/>
        <v>22025100.289499998</v>
      </c>
      <c r="N44" s="90">
        <f t="shared" si="1"/>
        <v>3302635.1169000003</v>
      </c>
      <c r="O44" s="90">
        <f t="shared" si="1"/>
        <v>135429360.86189997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8"/>
  <sheetViews>
    <sheetView showOutlineSymbols="0" view="pageBreakPreview" zoomScale="6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>(+D9-E9)/E9</f>
        <v>-0.10624985431843496</v>
      </c>
      <c r="G9" s="215">
        <f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>(+D10-E10)/E10</f>
        <v>-0.1508099211890947</v>
      </c>
      <c r="G10" s="215">
        <f>D10/C10</f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>(+D11-E11)/E11</f>
        <v>-0.19086975180392293</v>
      </c>
      <c r="G11" s="215">
        <f>D11/C11</f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>(+D12-E12)/E12</f>
        <v>-0.18908717638461522</v>
      </c>
      <c r="G12" s="215">
        <f>D12/C12</f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>(+D13-E13)/E13</f>
        <v>-0.14674570347924179</v>
      </c>
      <c r="G13" s="215">
        <f>D13/C13</f>
        <v>0.17087554376868375</v>
      </c>
      <c r="H13" s="123"/>
    </row>
    <row r="14" spans="1:8" ht="15.75" thickBot="1" x14ac:dyDescent="0.25">
      <c r="A14" s="133"/>
      <c r="B14" s="134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SUM(C9:C14)</f>
        <v>44701719.409999996</v>
      </c>
      <c r="D15" s="201">
        <f>SUM(D9:D14)</f>
        <v>7847064.4100000001</v>
      </c>
      <c r="E15" s="201">
        <f>SUM(E9:E14)</f>
        <v>9280996</v>
      </c>
      <c r="F15" s="137">
        <f>(+D15-E15)/E15</f>
        <v>-0.15450190798487576</v>
      </c>
      <c r="G15" s="212">
        <f>D15/C15</f>
        <v>0.17554278702408421</v>
      </c>
      <c r="H15" s="123"/>
    </row>
    <row r="16" spans="1:8" ht="15.75" customHeight="1" thickTop="1" x14ac:dyDescent="0.25">
      <c r="A16" s="138"/>
      <c r="B16" s="139"/>
      <c r="C16" s="205"/>
      <c r="D16" s="205"/>
      <c r="E16" s="205"/>
      <c r="F16" s="140"/>
      <c r="G16" s="216"/>
      <c r="H16" s="123"/>
    </row>
    <row r="17" spans="1:8" ht="15.75" x14ac:dyDescent="0.25">
      <c r="A17" s="19" t="s">
        <v>15</v>
      </c>
      <c r="B17" s="131">
        <f>DATE(2020,7,1)</f>
        <v>44013</v>
      </c>
      <c r="C17" s="204">
        <v>1658177</v>
      </c>
      <c r="D17" s="204">
        <v>547209</v>
      </c>
      <c r="E17" s="204">
        <v>728719</v>
      </c>
      <c r="F17" s="132">
        <f>(+D17-E17)/E17</f>
        <v>-0.24908092145257638</v>
      </c>
      <c r="G17" s="215">
        <f>D17/C17</f>
        <v>0.33000638653171527</v>
      </c>
      <c r="H17" s="123"/>
    </row>
    <row r="18" spans="1:8" ht="15.75" x14ac:dyDescent="0.25">
      <c r="A18" s="19"/>
      <c r="B18" s="131">
        <f>DATE(2020,8,1)</f>
        <v>44044</v>
      </c>
      <c r="C18" s="204">
        <v>1982325</v>
      </c>
      <c r="D18" s="204">
        <v>526001.5</v>
      </c>
      <c r="E18" s="204">
        <v>718107.5</v>
      </c>
      <c r="F18" s="132">
        <f>(+D18-E18)/E18</f>
        <v>-0.2675170500238474</v>
      </c>
      <c r="G18" s="215">
        <f>D18/C18</f>
        <v>0.26534574300379604</v>
      </c>
      <c r="H18" s="123"/>
    </row>
    <row r="19" spans="1:8" ht="15.75" x14ac:dyDescent="0.25">
      <c r="A19" s="19"/>
      <c r="B19" s="131">
        <f>DATE(2020,9,1)</f>
        <v>44075</v>
      </c>
      <c r="C19" s="204">
        <v>1922059</v>
      </c>
      <c r="D19" s="204">
        <v>401819.5</v>
      </c>
      <c r="E19" s="204">
        <v>573243</v>
      </c>
      <c r="F19" s="132">
        <f>(+D19-E19)/E19</f>
        <v>-0.29904159318125123</v>
      </c>
      <c r="G19" s="215">
        <f>D19/C19</f>
        <v>0.20905679794428786</v>
      </c>
      <c r="H19" s="123"/>
    </row>
    <row r="20" spans="1:8" ht="15.75" x14ac:dyDescent="0.25">
      <c r="A20" s="19"/>
      <c r="B20" s="131">
        <f>DATE(2020,10,1)</f>
        <v>44105</v>
      </c>
      <c r="C20" s="204">
        <v>2326336</v>
      </c>
      <c r="D20" s="204">
        <v>614154.5</v>
      </c>
      <c r="E20" s="204">
        <v>591260.5</v>
      </c>
      <c r="F20" s="132">
        <f>(+D20-E20)/E20</f>
        <v>3.872066542581485E-2</v>
      </c>
      <c r="G20" s="215">
        <f>D20/C20</f>
        <v>0.26400077202949185</v>
      </c>
      <c r="H20" s="123"/>
    </row>
    <row r="21" spans="1:8" ht="15.75" x14ac:dyDescent="0.25">
      <c r="A21" s="19"/>
      <c r="B21" s="131">
        <f>DATE(2020,11,1)</f>
        <v>44136</v>
      </c>
      <c r="C21" s="204">
        <v>2058779</v>
      </c>
      <c r="D21" s="204">
        <v>534831.5</v>
      </c>
      <c r="E21" s="204">
        <v>527573</v>
      </c>
      <c r="F21" s="132">
        <f>(+D21-E21)/E21</f>
        <v>1.3758285583227345E-2</v>
      </c>
      <c r="G21" s="215">
        <f>D21/C21</f>
        <v>0.25978091869015568</v>
      </c>
      <c r="H21" s="123"/>
    </row>
    <row r="22" spans="1:8" ht="15.75" thickBot="1" x14ac:dyDescent="0.25">
      <c r="A22" s="133"/>
      <c r="B22" s="131"/>
      <c r="C22" s="204"/>
      <c r="D22" s="204"/>
      <c r="E22" s="204"/>
      <c r="F22" s="132"/>
      <c r="G22" s="215"/>
      <c r="H22" s="123"/>
    </row>
    <row r="23" spans="1:8" ht="17.25" thickTop="1" thickBot="1" x14ac:dyDescent="0.3">
      <c r="A23" s="135" t="s">
        <v>14</v>
      </c>
      <c r="B23" s="136"/>
      <c r="C23" s="201">
        <f>SUM(C17:C22)</f>
        <v>9947676</v>
      </c>
      <c r="D23" s="201">
        <f>SUM(D17:D22)</f>
        <v>2624016</v>
      </c>
      <c r="E23" s="201">
        <f>SUM(E17:E22)</f>
        <v>3138903</v>
      </c>
      <c r="F23" s="137">
        <f>(+D23-E23)/E23</f>
        <v>-0.16403405903272578</v>
      </c>
      <c r="G23" s="212">
        <f>D23/C23</f>
        <v>0.26378181195286216</v>
      </c>
      <c r="H23" s="123"/>
    </row>
    <row r="24" spans="1:8" ht="15.75" customHeight="1" thickTop="1" x14ac:dyDescent="0.25">
      <c r="A24" s="255"/>
      <c r="B24" s="139"/>
      <c r="C24" s="205"/>
      <c r="D24" s="205"/>
      <c r="E24" s="205"/>
      <c r="F24" s="140"/>
      <c r="G24" s="219"/>
      <c r="H24" s="123"/>
    </row>
    <row r="25" spans="1:8" ht="15.75" x14ac:dyDescent="0.25">
      <c r="A25" s="19" t="s">
        <v>65</v>
      </c>
      <c r="B25" s="131">
        <f>DATE(2020,7,1)</f>
        <v>44013</v>
      </c>
      <c r="C25" s="204">
        <v>1270413</v>
      </c>
      <c r="D25" s="204">
        <v>362069</v>
      </c>
      <c r="E25" s="204">
        <v>293379.5</v>
      </c>
      <c r="F25" s="132">
        <f>(+D25-E25)/E25</f>
        <v>0.23413190083151686</v>
      </c>
      <c r="G25" s="215">
        <f>D25/C25</f>
        <v>0.28500101935354882</v>
      </c>
      <c r="H25" s="123"/>
    </row>
    <row r="26" spans="1:8" ht="15.75" x14ac:dyDescent="0.25">
      <c r="A26" s="19"/>
      <c r="B26" s="131">
        <f>DATE(2020,8,1)</f>
        <v>44044</v>
      </c>
      <c r="C26" s="204">
        <v>1273813</v>
      </c>
      <c r="D26" s="204">
        <v>264520</v>
      </c>
      <c r="E26" s="204">
        <v>306469</v>
      </c>
      <c r="F26" s="132">
        <f>(+D26-E26)/E26</f>
        <v>-0.13687844447562397</v>
      </c>
      <c r="G26" s="215">
        <f>D26/C26</f>
        <v>0.20765999404936203</v>
      </c>
      <c r="H26" s="123"/>
    </row>
    <row r="27" spans="1:8" ht="15.75" x14ac:dyDescent="0.25">
      <c r="A27" s="19"/>
      <c r="B27" s="131">
        <f>DATE(2020,9,1)</f>
        <v>44075</v>
      </c>
      <c r="C27" s="204">
        <v>1439276</v>
      </c>
      <c r="D27" s="204">
        <v>282126.5</v>
      </c>
      <c r="E27" s="204">
        <v>301048.5</v>
      </c>
      <c r="F27" s="132">
        <f>(+D27-E27)/E27</f>
        <v>-6.2853659792359032E-2</v>
      </c>
      <c r="G27" s="215">
        <f>D27/C27</f>
        <v>0.19601973492228036</v>
      </c>
      <c r="H27" s="123"/>
    </row>
    <row r="28" spans="1:8" ht="15.75" x14ac:dyDescent="0.25">
      <c r="A28" s="19"/>
      <c r="B28" s="131">
        <f>DATE(2020,10,1)</f>
        <v>44105</v>
      </c>
      <c r="C28" s="204">
        <v>1274380</v>
      </c>
      <c r="D28" s="204">
        <v>409251</v>
      </c>
      <c r="E28" s="204">
        <v>332474</v>
      </c>
      <c r="F28" s="132">
        <f>(+D28-E28)/E28</f>
        <v>0.2309263280737742</v>
      </c>
      <c r="G28" s="215">
        <f>D28/C28</f>
        <v>0.32113733737189848</v>
      </c>
      <c r="H28" s="123"/>
    </row>
    <row r="29" spans="1:8" ht="15.75" x14ac:dyDescent="0.25">
      <c r="A29" s="19"/>
      <c r="B29" s="131">
        <f>DATE(2020,11,1)</f>
        <v>44136</v>
      </c>
      <c r="C29" s="204">
        <v>1032984</v>
      </c>
      <c r="D29" s="204">
        <v>302858</v>
      </c>
      <c r="E29" s="204">
        <v>408121.5</v>
      </c>
      <c r="F29" s="132">
        <f>(+D29-E29)/E29</f>
        <v>-0.25792196686525948</v>
      </c>
      <c r="G29" s="215">
        <f>D29/C29</f>
        <v>0.29318750338824223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6">
        <f>SUM(C25:C30)</f>
        <v>6290866</v>
      </c>
      <c r="D31" s="206">
        <f>SUM(D25:D30)</f>
        <v>1620824.5</v>
      </c>
      <c r="E31" s="206">
        <f>SUM(E25:E30)</f>
        <v>1641492.5</v>
      </c>
      <c r="F31" s="143">
        <f>(+D31-E31)/E31</f>
        <v>-1.2590980464424906E-2</v>
      </c>
      <c r="G31" s="217">
        <f>D31/C31</f>
        <v>0.25764727781516883</v>
      </c>
      <c r="H31" s="123"/>
    </row>
    <row r="32" spans="1:8" ht="15.75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77" t="s">
        <v>59</v>
      </c>
      <c r="B33" s="131">
        <f>DATE(2020,7,1)</f>
        <v>44013</v>
      </c>
      <c r="C33" s="204">
        <v>10382905</v>
      </c>
      <c r="D33" s="204">
        <v>1708169.06</v>
      </c>
      <c r="E33" s="204">
        <v>3167330.9</v>
      </c>
      <c r="F33" s="132">
        <f>(+D33-E33)/E33</f>
        <v>-0.46069131583315148</v>
      </c>
      <c r="G33" s="215">
        <f>D33/C33</f>
        <v>0.16451745055935696</v>
      </c>
      <c r="H33" s="123"/>
    </row>
    <row r="34" spans="1:8" ht="15.75" x14ac:dyDescent="0.25">
      <c r="A34" s="177"/>
      <c r="B34" s="131">
        <f>DATE(2020,8,1)</f>
        <v>44044</v>
      </c>
      <c r="C34" s="204">
        <v>11468634</v>
      </c>
      <c r="D34" s="204">
        <v>2028826.5</v>
      </c>
      <c r="E34" s="204">
        <v>3869820.12</v>
      </c>
      <c r="F34" s="132">
        <f>(+D34-E34)/E34</f>
        <v>-0.47573105801103749</v>
      </c>
      <c r="G34" s="215">
        <f>D34/C34</f>
        <v>0.17690219253661771</v>
      </c>
      <c r="H34" s="123"/>
    </row>
    <row r="35" spans="1:8" ht="15.75" x14ac:dyDescent="0.25">
      <c r="A35" s="177"/>
      <c r="B35" s="131">
        <f>DATE(2020,9,1)</f>
        <v>44075</v>
      </c>
      <c r="C35" s="204">
        <v>10567803</v>
      </c>
      <c r="D35" s="204">
        <v>2149169</v>
      </c>
      <c r="E35" s="204">
        <v>2776000.96</v>
      </c>
      <c r="F35" s="132">
        <f>(+D35-E35)/E35</f>
        <v>-0.22580394208509205</v>
      </c>
      <c r="G35" s="215">
        <f>D35/C35</f>
        <v>0.20336951777015524</v>
      </c>
      <c r="H35" s="123"/>
    </row>
    <row r="36" spans="1:8" ht="15.75" x14ac:dyDescent="0.25">
      <c r="A36" s="177"/>
      <c r="B36" s="131">
        <f>DATE(2020,10,1)</f>
        <v>44105</v>
      </c>
      <c r="C36" s="204">
        <v>11375206</v>
      </c>
      <c r="D36" s="204">
        <v>2042559.98</v>
      </c>
      <c r="E36" s="204">
        <v>3235048.5</v>
      </c>
      <c r="F36" s="132">
        <f>(+D36-E36)/E36</f>
        <v>-0.3686153453340808</v>
      </c>
      <c r="G36" s="215">
        <f>D36/C36</f>
        <v>0.17956246067104192</v>
      </c>
      <c r="H36" s="123"/>
    </row>
    <row r="37" spans="1:8" ht="15.75" x14ac:dyDescent="0.25">
      <c r="A37" s="177"/>
      <c r="B37" s="131">
        <f>DATE(2020,11,1)</f>
        <v>44136</v>
      </c>
      <c r="C37" s="204">
        <v>10584433</v>
      </c>
      <c r="D37" s="204">
        <v>2060677.45</v>
      </c>
      <c r="E37" s="204">
        <v>3242492.5</v>
      </c>
      <c r="F37" s="132">
        <f>(+D37-E37)/E37</f>
        <v>-0.36447734266154819</v>
      </c>
      <c r="G37" s="215">
        <f>D37/C37</f>
        <v>0.19468945100790944</v>
      </c>
      <c r="H37" s="123"/>
    </row>
    <row r="38" spans="1:8" ht="15.75" customHeight="1" thickBot="1" x14ac:dyDescent="0.25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Top="1" thickBot="1" x14ac:dyDescent="0.3">
      <c r="A39" s="141" t="s">
        <v>14</v>
      </c>
      <c r="B39" s="142"/>
      <c r="C39" s="206">
        <f>SUM(C33:C38)</f>
        <v>54378981</v>
      </c>
      <c r="D39" s="206">
        <f>SUM(D33:D38)</f>
        <v>9989401.9900000002</v>
      </c>
      <c r="E39" s="206">
        <f>SUM(E33:E38)</f>
        <v>16290692.98</v>
      </c>
      <c r="F39" s="143">
        <f>(+D39-E39)/E39</f>
        <v>-0.38680312726635158</v>
      </c>
      <c r="G39" s="217">
        <f>D39/C39</f>
        <v>0.1836996906948293</v>
      </c>
      <c r="H39" s="123"/>
    </row>
    <row r="40" spans="1:8" ht="15.75" customHeight="1" thickTop="1" x14ac:dyDescent="0.2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 x14ac:dyDescent="0.25">
      <c r="A41" s="130" t="s">
        <v>63</v>
      </c>
      <c r="B41" s="131">
        <f>DATE(2020,7,1)</f>
        <v>44013</v>
      </c>
      <c r="C41" s="204">
        <v>12794651</v>
      </c>
      <c r="D41" s="204">
        <v>2410424.5</v>
      </c>
      <c r="E41" s="204">
        <v>2665528.5</v>
      </c>
      <c r="F41" s="132">
        <f>(+D41-E41)/E41</f>
        <v>-9.5704848025447861E-2</v>
      </c>
      <c r="G41" s="215">
        <f>D41/C41</f>
        <v>0.18839314179026845</v>
      </c>
      <c r="H41" s="123"/>
    </row>
    <row r="42" spans="1:8" ht="15" customHeight="1" x14ac:dyDescent="0.25">
      <c r="A42" s="130"/>
      <c r="B42" s="131">
        <f>DATE(2020,8,1)</f>
        <v>44044</v>
      </c>
      <c r="C42" s="204">
        <v>14515756</v>
      </c>
      <c r="D42" s="204">
        <v>3089216</v>
      </c>
      <c r="E42" s="204">
        <v>3359489.5</v>
      </c>
      <c r="F42" s="132">
        <f>(+D42-E42)/E42</f>
        <v>-8.0450764915324186E-2</v>
      </c>
      <c r="G42" s="215">
        <f>D42/C42</f>
        <v>0.21281812673070558</v>
      </c>
      <c r="H42" s="123"/>
    </row>
    <row r="43" spans="1:8" ht="15" customHeight="1" x14ac:dyDescent="0.25">
      <c r="A43" s="130"/>
      <c r="B43" s="131">
        <f>DATE(2020,9,1)</f>
        <v>44075</v>
      </c>
      <c r="C43" s="204">
        <v>14427547.390000001</v>
      </c>
      <c r="D43" s="204">
        <v>3482647.89</v>
      </c>
      <c r="E43" s="204">
        <v>3201605.5</v>
      </c>
      <c r="F43" s="132">
        <f>(+D43-E43)/E43</f>
        <v>8.7781705147620515E-2</v>
      </c>
      <c r="G43" s="215">
        <f>D43/C43</f>
        <v>0.24138876801845666</v>
      </c>
      <c r="H43" s="123"/>
    </row>
    <row r="44" spans="1:8" ht="15" customHeight="1" x14ac:dyDescent="0.25">
      <c r="A44" s="130"/>
      <c r="B44" s="131">
        <f>DATE(2020,10,1)</f>
        <v>44105</v>
      </c>
      <c r="C44" s="204">
        <v>13869107</v>
      </c>
      <c r="D44" s="204">
        <v>3519544</v>
      </c>
      <c r="E44" s="204">
        <v>3223827</v>
      </c>
      <c r="F44" s="132">
        <f>(+D44-E44)/E44</f>
        <v>9.1728557394674087E-2</v>
      </c>
      <c r="G44" s="215">
        <f>D44/C44</f>
        <v>0.25376860961560105</v>
      </c>
      <c r="H44" s="123"/>
    </row>
    <row r="45" spans="1:8" ht="15" customHeight="1" x14ac:dyDescent="0.25">
      <c r="A45" s="130"/>
      <c r="B45" s="131">
        <f>DATE(2020,11,1)</f>
        <v>44136</v>
      </c>
      <c r="C45" s="204">
        <v>12007892</v>
      </c>
      <c r="D45" s="204">
        <v>2437183.5</v>
      </c>
      <c r="E45" s="204">
        <v>2721670</v>
      </c>
      <c r="F45" s="132">
        <f>(+D45-E45)/E45</f>
        <v>-0.1045264488347228</v>
      </c>
      <c r="G45" s="215">
        <f>D45/C45</f>
        <v>0.20296514159187973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7">
        <f>SUM(C41:C46)</f>
        <v>67614953.390000001</v>
      </c>
      <c r="D47" s="261">
        <f>SUM(D41:D46)</f>
        <v>14939015.890000001</v>
      </c>
      <c r="E47" s="206">
        <f>SUM(E41:E46)</f>
        <v>15172120.5</v>
      </c>
      <c r="F47" s="268">
        <f>(+D47-E47)/E47</f>
        <v>-1.5364009928605524E-2</v>
      </c>
      <c r="G47" s="267">
        <f>D47/C47</f>
        <v>0.22094248595916988</v>
      </c>
      <c r="H47" s="123"/>
    </row>
    <row r="48" spans="1:8" ht="15.75" customHeight="1" thickTop="1" x14ac:dyDescent="0.25">
      <c r="A48" s="130"/>
      <c r="B48" s="134"/>
      <c r="C48" s="204"/>
      <c r="D48" s="204"/>
      <c r="E48" s="204"/>
      <c r="F48" s="132"/>
      <c r="G48" s="218"/>
      <c r="H48" s="123"/>
    </row>
    <row r="49" spans="1:8" ht="15.75" x14ac:dyDescent="0.25">
      <c r="A49" s="130" t="s">
        <v>68</v>
      </c>
      <c r="B49" s="131">
        <f>DATE(2020,7,1)</f>
        <v>44013</v>
      </c>
      <c r="C49" s="204">
        <v>2263375</v>
      </c>
      <c r="D49" s="204">
        <v>572750</v>
      </c>
      <c r="E49" s="204">
        <v>550912.5</v>
      </c>
      <c r="F49" s="132">
        <f>(+D49-E49)/E49</f>
        <v>3.9638781113153179E-2</v>
      </c>
      <c r="G49" s="215">
        <f>D49/C49</f>
        <v>0.25305130612470317</v>
      </c>
      <c r="H49" s="123"/>
    </row>
    <row r="50" spans="1:8" ht="15.75" x14ac:dyDescent="0.25">
      <c r="A50" s="130"/>
      <c r="B50" s="131">
        <f>DATE(2020,8,1)</f>
        <v>44044</v>
      </c>
      <c r="C50" s="204">
        <v>2272442</v>
      </c>
      <c r="D50" s="204">
        <v>629353.5</v>
      </c>
      <c r="E50" s="204">
        <v>544892.5</v>
      </c>
      <c r="F50" s="132">
        <f>(+D50-E50)/E50</f>
        <v>0.15500488628490941</v>
      </c>
      <c r="G50" s="215">
        <f>D50/C50</f>
        <v>0.27695030280200772</v>
      </c>
      <c r="H50" s="123"/>
    </row>
    <row r="51" spans="1:8" ht="15.75" x14ac:dyDescent="0.25">
      <c r="A51" s="130"/>
      <c r="B51" s="131">
        <f>DATE(2020,9,1)</f>
        <v>44075</v>
      </c>
      <c r="C51" s="204">
        <v>1993931</v>
      </c>
      <c r="D51" s="204">
        <v>564621.5</v>
      </c>
      <c r="E51" s="204">
        <v>648210.4</v>
      </c>
      <c r="F51" s="132">
        <f>(+D51-E51)/E51</f>
        <v>-0.12895334601234418</v>
      </c>
      <c r="G51" s="215">
        <f>D51/C51</f>
        <v>0.2831700294543793</v>
      </c>
      <c r="H51" s="123"/>
    </row>
    <row r="52" spans="1:8" ht="15.75" x14ac:dyDescent="0.25">
      <c r="A52" s="130"/>
      <c r="B52" s="131">
        <f>DATE(2020,10,1)</f>
        <v>44105</v>
      </c>
      <c r="C52" s="204">
        <v>1898010</v>
      </c>
      <c r="D52" s="204">
        <v>553335.5</v>
      </c>
      <c r="E52" s="204">
        <v>633881.5</v>
      </c>
      <c r="F52" s="132">
        <f>(+D52-E52)/E52</f>
        <v>-0.12706791411328458</v>
      </c>
      <c r="G52" s="215">
        <f>D52/C52</f>
        <v>0.29153455461246253</v>
      </c>
      <c r="H52" s="123"/>
    </row>
    <row r="53" spans="1:8" ht="15.75" x14ac:dyDescent="0.25">
      <c r="A53" s="130"/>
      <c r="B53" s="131">
        <f>DATE(2020,11,1)</f>
        <v>44136</v>
      </c>
      <c r="C53" s="204">
        <v>2213531</v>
      </c>
      <c r="D53" s="204">
        <v>402553.5</v>
      </c>
      <c r="E53" s="204">
        <v>745956</v>
      </c>
      <c r="F53" s="132">
        <f>(+D53-E53)/E53</f>
        <v>-0.46035221916574171</v>
      </c>
      <c r="G53" s="215">
        <f>D53/C53</f>
        <v>0.18186033988229666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7">
        <f>SUM(C49:C54)</f>
        <v>10641289</v>
      </c>
      <c r="D55" s="261">
        <f>SUM(D49:D54)</f>
        <v>2722614</v>
      </c>
      <c r="E55" s="207">
        <f>SUM(E49:E54)</f>
        <v>3123852.9</v>
      </c>
      <c r="F55" s="268">
        <f>(+D55-E55)/E55</f>
        <v>-0.1284435960476884</v>
      </c>
      <c r="G55" s="267">
        <f>D55/C55</f>
        <v>0.25585377861648151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66</v>
      </c>
      <c r="B57" s="131">
        <f>DATE(2020,7,1)</f>
        <v>44013</v>
      </c>
      <c r="C57" s="204">
        <v>1014737</v>
      </c>
      <c r="D57" s="204">
        <v>248731.5</v>
      </c>
      <c r="E57" s="204">
        <v>255421</v>
      </c>
      <c r="F57" s="132">
        <f>(+D57-E57)/E57</f>
        <v>-2.6190094001667833E-2</v>
      </c>
      <c r="G57" s="215">
        <f>D57/C57</f>
        <v>0.24511917866402821</v>
      </c>
      <c r="H57" s="123"/>
    </row>
    <row r="58" spans="1:8" ht="15.75" x14ac:dyDescent="0.25">
      <c r="A58" s="130"/>
      <c r="B58" s="131">
        <f>DATE(2020,8,1)</f>
        <v>44044</v>
      </c>
      <c r="C58" s="204">
        <v>1314485</v>
      </c>
      <c r="D58" s="204">
        <v>268487</v>
      </c>
      <c r="E58" s="204">
        <v>366605.5</v>
      </c>
      <c r="F58" s="132">
        <f>(+D58-E58)/E58</f>
        <v>-0.26764055640190887</v>
      </c>
      <c r="G58" s="215">
        <f>D58/C58</f>
        <v>0.20425261604354558</v>
      </c>
      <c r="H58" s="123"/>
    </row>
    <row r="59" spans="1:8" ht="15.75" x14ac:dyDescent="0.25">
      <c r="A59" s="130"/>
      <c r="B59" s="131">
        <f>DATE(2020,9,1)</f>
        <v>44075</v>
      </c>
      <c r="C59" s="204">
        <v>1245407</v>
      </c>
      <c r="D59" s="204">
        <v>277957.5</v>
      </c>
      <c r="E59" s="204">
        <v>323382</v>
      </c>
      <c r="F59" s="132">
        <f>(+D59-E59)/E59</f>
        <v>-0.14046700187394476</v>
      </c>
      <c r="G59" s="215">
        <f>D59/C59</f>
        <v>0.22318607491366277</v>
      </c>
      <c r="H59" s="123"/>
    </row>
    <row r="60" spans="1:8" ht="15.75" x14ac:dyDescent="0.25">
      <c r="A60" s="130"/>
      <c r="B60" s="131">
        <f>DATE(2020,10,1)</f>
        <v>44105</v>
      </c>
      <c r="C60" s="204">
        <v>1388391</v>
      </c>
      <c r="D60" s="204">
        <v>307011.5</v>
      </c>
      <c r="E60" s="204">
        <v>301934</v>
      </c>
      <c r="F60" s="132">
        <f>(+D60-E60)/E60</f>
        <v>1.6816589055886386E-2</v>
      </c>
      <c r="G60" s="215">
        <f>D60/C60</f>
        <v>0.22112754980405375</v>
      </c>
      <c r="H60" s="123"/>
    </row>
    <row r="61" spans="1:8" ht="15.75" x14ac:dyDescent="0.25">
      <c r="A61" s="130"/>
      <c r="B61" s="131">
        <f>DATE(2020,11,1)</f>
        <v>44136</v>
      </c>
      <c r="C61" s="204">
        <v>1080444</v>
      </c>
      <c r="D61" s="204">
        <v>264033.5</v>
      </c>
      <c r="E61" s="204">
        <v>378106</v>
      </c>
      <c r="F61" s="132">
        <f>(+D61-E61)/E61</f>
        <v>-0.30169449836818246</v>
      </c>
      <c r="G61" s="215">
        <f>D61/C61</f>
        <v>0.24437499768613644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7">
        <f>SUM(C57:C62)</f>
        <v>6043464</v>
      </c>
      <c r="D63" s="261">
        <f>SUM(D57:D62)</f>
        <v>1366221</v>
      </c>
      <c r="E63" s="207">
        <f>SUM(E57:E62)</f>
        <v>1625448.5</v>
      </c>
      <c r="F63" s="269">
        <f>(+D63-E63)/E63</f>
        <v>-0.15948059873936332</v>
      </c>
      <c r="G63" s="267">
        <f>D63/C63</f>
        <v>0.22606587877415998</v>
      </c>
      <c r="H63" s="123"/>
    </row>
    <row r="64" spans="1:8" ht="15.75" customHeight="1" thickTop="1" x14ac:dyDescent="0.25">
      <c r="A64" s="130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52</v>
      </c>
      <c r="B65" s="131">
        <f>DATE(2020,7,1)</f>
        <v>44013</v>
      </c>
      <c r="C65" s="204">
        <v>3151915</v>
      </c>
      <c r="D65" s="204">
        <v>671384</v>
      </c>
      <c r="E65" s="204">
        <v>1702644.86</v>
      </c>
      <c r="F65" s="132">
        <f>(+D65-E65)/E65</f>
        <v>-0.60568171568086138</v>
      </c>
      <c r="G65" s="215">
        <f>D65/C65</f>
        <v>0.21300828226649512</v>
      </c>
      <c r="H65" s="123"/>
    </row>
    <row r="66" spans="1:8" ht="15.75" x14ac:dyDescent="0.25">
      <c r="A66" s="130"/>
      <c r="B66" s="131">
        <f>DATE(2020,8,1)</f>
        <v>44044</v>
      </c>
      <c r="C66" s="204">
        <v>3093947</v>
      </c>
      <c r="D66" s="204">
        <v>647438.06000000006</v>
      </c>
      <c r="E66" s="204">
        <v>2308275.88</v>
      </c>
      <c r="F66" s="132">
        <f>(+D66-E66)/E66</f>
        <v>-0.71951443689651162</v>
      </c>
      <c r="G66" s="215">
        <f>D66/C66</f>
        <v>0.2092595833089578</v>
      </c>
      <c r="H66" s="123"/>
    </row>
    <row r="67" spans="1:8" ht="15.75" x14ac:dyDescent="0.25">
      <c r="A67" s="130"/>
      <c r="B67" s="131">
        <f>DATE(2020,9,1)</f>
        <v>44075</v>
      </c>
      <c r="C67" s="204">
        <v>3761958</v>
      </c>
      <c r="D67" s="204">
        <v>476389</v>
      </c>
      <c r="E67" s="204">
        <v>1996051.56</v>
      </c>
      <c r="F67" s="132">
        <f>(+D67-E67)/E67</f>
        <v>-0.76133432144408131</v>
      </c>
      <c r="G67" s="215">
        <f>D67/C67</f>
        <v>0.12663325853186028</v>
      </c>
      <c r="H67" s="123"/>
    </row>
    <row r="68" spans="1:8" ht="15.75" x14ac:dyDescent="0.25">
      <c r="A68" s="130"/>
      <c r="B68" s="131">
        <f>DATE(2020,10,1)</f>
        <v>44105</v>
      </c>
      <c r="C68" s="204">
        <v>3789812</v>
      </c>
      <c r="D68" s="204">
        <v>822284.63</v>
      </c>
      <c r="E68" s="204">
        <v>2026195.69</v>
      </c>
      <c r="F68" s="132">
        <f>(+D68-E68)/E68</f>
        <v>-0.59417314227926332</v>
      </c>
      <c r="G68" s="215">
        <f>D68/C68</f>
        <v>0.21697240654681552</v>
      </c>
      <c r="H68" s="123"/>
    </row>
    <row r="69" spans="1:8" ht="15.75" x14ac:dyDescent="0.25">
      <c r="A69" s="130"/>
      <c r="B69" s="131">
        <f>DATE(2020,11,1)</f>
        <v>44136</v>
      </c>
      <c r="C69" s="204">
        <v>3550127</v>
      </c>
      <c r="D69" s="204">
        <v>587592.5</v>
      </c>
      <c r="E69" s="204">
        <v>1903112.96</v>
      </c>
      <c r="F69" s="132">
        <f>(+D69-E69)/E69</f>
        <v>-0.69124665096075011</v>
      </c>
      <c r="G69" s="215">
        <f>D69/C69</f>
        <v>0.16551309291188737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SUM(C65:C70)</f>
        <v>17347759</v>
      </c>
      <c r="D71" s="206">
        <f>SUM(D65:D70)</f>
        <v>3205088.19</v>
      </c>
      <c r="E71" s="206">
        <f>SUM(E65:E70)</f>
        <v>9936280.9499999993</v>
      </c>
      <c r="F71" s="143">
        <f>(+D71-E71)/E71</f>
        <v>-0.67743583277000641</v>
      </c>
      <c r="G71" s="217">
        <f>D71/C71</f>
        <v>0.1847551715469416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16</v>
      </c>
      <c r="B73" s="131">
        <f>DATE(2020,7,1)</f>
        <v>44013</v>
      </c>
      <c r="C73" s="204">
        <v>8611169</v>
      </c>
      <c r="D73" s="204">
        <v>1702806.5</v>
      </c>
      <c r="E73" s="204">
        <v>2126431.5</v>
      </c>
      <c r="F73" s="132">
        <f>(+D73-E73)/E73</f>
        <v>-0.19921873805951426</v>
      </c>
      <c r="G73" s="215">
        <f>D73/C73</f>
        <v>0.19774394161814732</v>
      </c>
      <c r="H73" s="123"/>
    </row>
    <row r="74" spans="1:8" ht="15.75" x14ac:dyDescent="0.25">
      <c r="A74" s="130"/>
      <c r="B74" s="131">
        <f>DATE(2020,8,1)</f>
        <v>44044</v>
      </c>
      <c r="C74" s="204">
        <v>7982010</v>
      </c>
      <c r="D74" s="204">
        <v>1570570.5</v>
      </c>
      <c r="E74" s="204">
        <v>2726871</v>
      </c>
      <c r="F74" s="132">
        <f>(+D74-E74)/E74</f>
        <v>-0.4240393109905089</v>
      </c>
      <c r="G74" s="215">
        <f>D74/C74</f>
        <v>0.1967637850616574</v>
      </c>
      <c r="H74" s="123"/>
    </row>
    <row r="75" spans="1:8" ht="15.75" x14ac:dyDescent="0.25">
      <c r="A75" s="130"/>
      <c r="B75" s="131">
        <f>DATE(2020,9,1)</f>
        <v>44075</v>
      </c>
      <c r="C75" s="204">
        <v>8162396</v>
      </c>
      <c r="D75" s="204">
        <v>1447626.5</v>
      </c>
      <c r="E75" s="204">
        <v>2679876</v>
      </c>
      <c r="F75" s="132">
        <f>(+D75-E75)/E75</f>
        <v>-0.45981586461463142</v>
      </c>
      <c r="G75" s="215">
        <f>D75/C75</f>
        <v>0.17735313258508897</v>
      </c>
      <c r="H75" s="123"/>
    </row>
    <row r="76" spans="1:8" ht="15.75" x14ac:dyDescent="0.25">
      <c r="A76" s="130"/>
      <c r="B76" s="131">
        <f>DATE(2020,10,1)</f>
        <v>44105</v>
      </c>
      <c r="C76" s="204">
        <v>8619144</v>
      </c>
      <c r="D76" s="204">
        <v>1659455</v>
      </c>
      <c r="E76" s="204">
        <v>3088329</v>
      </c>
      <c r="F76" s="132">
        <f>(+D76-E76)/E76</f>
        <v>-0.46266897082532332</v>
      </c>
      <c r="G76" s="215">
        <f>D76/C76</f>
        <v>0.1925313000919813</v>
      </c>
      <c r="H76" s="123"/>
    </row>
    <row r="77" spans="1:8" ht="15.75" x14ac:dyDescent="0.25">
      <c r="A77" s="130"/>
      <c r="B77" s="131">
        <f>DATE(2020,11,1)</f>
        <v>44136</v>
      </c>
      <c r="C77" s="204">
        <v>8144246</v>
      </c>
      <c r="D77" s="204">
        <v>1564224</v>
      </c>
      <c r="E77" s="204">
        <v>2810591.5</v>
      </c>
      <c r="F77" s="132">
        <f>(+D77-E77)/E77</f>
        <v>-0.44345380678764595</v>
      </c>
      <c r="G77" s="215">
        <f>D77/C77</f>
        <v>0.19206492534729427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SUM(C73:C78)</f>
        <v>41518965</v>
      </c>
      <c r="D79" s="206">
        <f>SUM(D73:D78)</f>
        <v>7944682.5</v>
      </c>
      <c r="E79" s="206">
        <f>SUM(E73:E78)</f>
        <v>13432099</v>
      </c>
      <c r="F79" s="143">
        <f>(+D79-E79)/E79</f>
        <v>-0.408530081560596</v>
      </c>
      <c r="G79" s="217">
        <f>D79/C79</f>
        <v>0.19135068757133036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54</v>
      </c>
      <c r="B81" s="131">
        <f>DATE(2020,7,1)</f>
        <v>44013</v>
      </c>
      <c r="C81" s="204">
        <v>10453635</v>
      </c>
      <c r="D81" s="204">
        <v>1923931.33</v>
      </c>
      <c r="E81" s="204">
        <v>1977732.9</v>
      </c>
      <c r="F81" s="132">
        <f>(+D81-E81)/E81</f>
        <v>-2.7203658289751784E-2</v>
      </c>
      <c r="G81" s="215">
        <f>D81/C81</f>
        <v>0.18404424202681652</v>
      </c>
      <c r="H81" s="123"/>
    </row>
    <row r="82" spans="1:8" ht="15.75" x14ac:dyDescent="0.25">
      <c r="A82" s="130"/>
      <c r="B82" s="131">
        <f>DATE(2020,8,1)</f>
        <v>44044</v>
      </c>
      <c r="C82" s="204">
        <v>12051254</v>
      </c>
      <c r="D82" s="204">
        <v>2707272.86</v>
      </c>
      <c r="E82" s="204">
        <v>2646777.5</v>
      </c>
      <c r="F82" s="132">
        <f>(+D82-E82)/E82</f>
        <v>2.2856231776188164E-2</v>
      </c>
      <c r="G82" s="215">
        <f>D82/C82</f>
        <v>0.2246465687305238</v>
      </c>
      <c r="H82" s="123"/>
    </row>
    <row r="83" spans="1:8" ht="15.75" x14ac:dyDescent="0.25">
      <c r="A83" s="130"/>
      <c r="B83" s="131">
        <f>DATE(2020,9,1)</f>
        <v>44075</v>
      </c>
      <c r="C83" s="204">
        <v>11460638</v>
      </c>
      <c r="D83" s="204">
        <v>2773332.44</v>
      </c>
      <c r="E83" s="204">
        <v>2514781.23</v>
      </c>
      <c r="F83" s="132">
        <f>(+D83-E83)/E83</f>
        <v>0.10281260529370181</v>
      </c>
      <c r="G83" s="215">
        <f>D83/C83</f>
        <v>0.24198761360405938</v>
      </c>
      <c r="H83" s="123"/>
    </row>
    <row r="84" spans="1:8" ht="15.75" x14ac:dyDescent="0.25">
      <c r="A84" s="130"/>
      <c r="B84" s="131">
        <f>DATE(2020,10,1)</f>
        <v>44105</v>
      </c>
      <c r="C84" s="204">
        <v>11609263</v>
      </c>
      <c r="D84" s="204">
        <v>2099358.0099999998</v>
      </c>
      <c r="E84" s="204">
        <v>2541006.48</v>
      </c>
      <c r="F84" s="132">
        <f>(+D84-E84)/E84</f>
        <v>-0.17380847844197556</v>
      </c>
      <c r="G84" s="215">
        <f>D84/C84</f>
        <v>0.18083473602071035</v>
      </c>
      <c r="H84" s="123"/>
    </row>
    <row r="85" spans="1:8" ht="15.75" x14ac:dyDescent="0.25">
      <c r="A85" s="130"/>
      <c r="B85" s="131">
        <f>DATE(2020,11,1)</f>
        <v>44136</v>
      </c>
      <c r="C85" s="204">
        <v>11563380</v>
      </c>
      <c r="D85" s="204">
        <v>2138602.36</v>
      </c>
      <c r="E85" s="204">
        <v>2692124.24</v>
      </c>
      <c r="F85" s="132">
        <f>(+D85-E85)/E85</f>
        <v>-0.20560785114434404</v>
      </c>
      <c r="G85" s="215">
        <f>D85/C85</f>
        <v>0.18494612820818826</v>
      </c>
      <c r="H85" s="123"/>
    </row>
    <row r="86" spans="1:8" ht="15.75" thickBot="1" x14ac:dyDescent="0.25">
      <c r="A86" s="133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7">
        <f>SUM(C81:C86)</f>
        <v>57138170</v>
      </c>
      <c r="D87" s="207">
        <f>SUM(D81:D86)</f>
        <v>11642496.999999998</v>
      </c>
      <c r="E87" s="207">
        <f>SUM(E81:E86)</f>
        <v>12372422.350000001</v>
      </c>
      <c r="F87" s="143">
        <f>(+D87-E87)/E87</f>
        <v>-5.8996155267848842E-2</v>
      </c>
      <c r="G87" s="267">
        <f>D87/C87</f>
        <v>0.20376041094770794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9"/>
      <c r="H88" s="123"/>
    </row>
    <row r="89" spans="1:8" ht="15.75" x14ac:dyDescent="0.25">
      <c r="A89" s="130" t="s">
        <v>55</v>
      </c>
      <c r="B89" s="131">
        <f>DATE(2020,7,1)</f>
        <v>44013</v>
      </c>
      <c r="C89" s="204">
        <v>472126</v>
      </c>
      <c r="D89" s="204">
        <v>188605.5</v>
      </c>
      <c r="E89" s="204">
        <v>135934</v>
      </c>
      <c r="F89" s="132">
        <f>(+D89-E89)/E89</f>
        <v>0.38747848220459929</v>
      </c>
      <c r="G89" s="215">
        <f>D89/C89</f>
        <v>0.39948128253898324</v>
      </c>
      <c r="H89" s="123"/>
    </row>
    <row r="90" spans="1:8" ht="15.75" x14ac:dyDescent="0.25">
      <c r="A90" s="130"/>
      <c r="B90" s="131">
        <f>DATE(2020,8,1)</f>
        <v>44044</v>
      </c>
      <c r="C90" s="204">
        <v>370157</v>
      </c>
      <c r="D90" s="204">
        <v>111546</v>
      </c>
      <c r="E90" s="204">
        <v>134255.5</v>
      </c>
      <c r="F90" s="132">
        <f>(+D90-E90)/E90</f>
        <v>-0.16915135692764915</v>
      </c>
      <c r="G90" s="215">
        <f>D90/C90</f>
        <v>0.3013478064713081</v>
      </c>
      <c r="H90" s="123"/>
    </row>
    <row r="91" spans="1:8" ht="15.75" x14ac:dyDescent="0.25">
      <c r="A91" s="130"/>
      <c r="B91" s="131">
        <f>DATE(2020,9,1)</f>
        <v>44075</v>
      </c>
      <c r="C91" s="204">
        <v>425232</v>
      </c>
      <c r="D91" s="204">
        <v>108554</v>
      </c>
      <c r="E91" s="204">
        <v>147952</v>
      </c>
      <c r="F91" s="132">
        <f>(+D91-E91)/E91</f>
        <v>-0.26628906672434305</v>
      </c>
      <c r="G91" s="215">
        <f>D91/C91</f>
        <v>0.25528182262858862</v>
      </c>
      <c r="H91" s="123"/>
    </row>
    <row r="92" spans="1:8" ht="15.75" x14ac:dyDescent="0.25">
      <c r="A92" s="130"/>
      <c r="B92" s="131">
        <f>DATE(2020,10,1)</f>
        <v>44105</v>
      </c>
      <c r="C92" s="204">
        <v>382275</v>
      </c>
      <c r="D92" s="204">
        <v>95084.5</v>
      </c>
      <c r="E92" s="204">
        <v>160874.5</v>
      </c>
      <c r="F92" s="132">
        <f>(+D92-E92)/E92</f>
        <v>-0.40895231997613046</v>
      </c>
      <c r="G92" s="215">
        <f>D92/C92</f>
        <v>0.24873324177620823</v>
      </c>
      <c r="H92" s="123"/>
    </row>
    <row r="93" spans="1:8" ht="15.75" x14ac:dyDescent="0.25">
      <c r="A93" s="130"/>
      <c r="B93" s="131">
        <f>DATE(2020,11,1)</f>
        <v>44136</v>
      </c>
      <c r="C93" s="204">
        <v>348011</v>
      </c>
      <c r="D93" s="204">
        <v>102680.5</v>
      </c>
      <c r="E93" s="204">
        <v>171123.5</v>
      </c>
      <c r="F93" s="132">
        <f>(+D93-E93)/E93</f>
        <v>-0.39996260011044654</v>
      </c>
      <c r="G93" s="215">
        <f>D93/C93</f>
        <v>0.29504958176609358</v>
      </c>
      <c r="H93" s="123"/>
    </row>
    <row r="94" spans="1:8" ht="15.75" thickBot="1" x14ac:dyDescent="0.25">
      <c r="A94" s="133"/>
      <c r="B94" s="134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4" t="s">
        <v>14</v>
      </c>
      <c r="B95" s="145"/>
      <c r="C95" s="207">
        <f>SUM(C89:C94)</f>
        <v>1997801</v>
      </c>
      <c r="D95" s="207">
        <f>SUM(D89:D94)</f>
        <v>606470.5</v>
      </c>
      <c r="E95" s="207">
        <f>SUM(E89:E94)</f>
        <v>750139.5</v>
      </c>
      <c r="F95" s="143">
        <f>(+D95-E95)/E95</f>
        <v>-0.19152304338059786</v>
      </c>
      <c r="G95" s="217">
        <f>D95/C95</f>
        <v>0.30356902414204417</v>
      </c>
      <c r="H95" s="123"/>
    </row>
    <row r="96" spans="1:8" ht="15.75" customHeight="1" thickTop="1" x14ac:dyDescent="0.25">
      <c r="A96" s="130"/>
      <c r="B96" s="134"/>
      <c r="C96" s="204"/>
      <c r="D96" s="204"/>
      <c r="E96" s="204"/>
      <c r="F96" s="132"/>
      <c r="G96" s="218"/>
      <c r="H96" s="123"/>
    </row>
    <row r="97" spans="1:8" ht="15.75" x14ac:dyDescent="0.25">
      <c r="A97" s="130" t="s">
        <v>37</v>
      </c>
      <c r="B97" s="131">
        <f>DATE(2020,7,1)</f>
        <v>44013</v>
      </c>
      <c r="C97" s="204">
        <v>18681267</v>
      </c>
      <c r="D97" s="204">
        <v>4944391.55</v>
      </c>
      <c r="E97" s="204">
        <v>3678875.65</v>
      </c>
      <c r="F97" s="132">
        <f>(+D97-E97)/E97</f>
        <v>0.34399529106127846</v>
      </c>
      <c r="G97" s="215">
        <f>D97/C97</f>
        <v>0.26467110341070549</v>
      </c>
      <c r="H97" s="123"/>
    </row>
    <row r="98" spans="1:8" ht="15.75" x14ac:dyDescent="0.25">
      <c r="A98" s="130"/>
      <c r="B98" s="131">
        <f>DATE(2020,8,1)</f>
        <v>44044</v>
      </c>
      <c r="C98" s="204">
        <v>17505825</v>
      </c>
      <c r="D98" s="204">
        <v>3489579.3</v>
      </c>
      <c r="E98" s="204">
        <v>3806318.41</v>
      </c>
      <c r="F98" s="132">
        <f>(+D98-E98)/E98</f>
        <v>-8.3214034109143367E-2</v>
      </c>
      <c r="G98" s="215">
        <f>D98/C98</f>
        <v>0.19933818029141728</v>
      </c>
      <c r="H98" s="123"/>
    </row>
    <row r="99" spans="1:8" ht="15.75" x14ac:dyDescent="0.25">
      <c r="A99" s="130"/>
      <c r="B99" s="131">
        <f>DATE(2020,9,1)</f>
        <v>44075</v>
      </c>
      <c r="C99" s="204">
        <v>17711205.5</v>
      </c>
      <c r="D99" s="204">
        <v>3694673.89</v>
      </c>
      <c r="E99" s="204">
        <v>3987675.53</v>
      </c>
      <c r="F99" s="132">
        <f>(+D99-E99)/E99</f>
        <v>-7.3476800656346195E-2</v>
      </c>
      <c r="G99" s="215">
        <f>D99/C99</f>
        <v>0.20860657339219513</v>
      </c>
      <c r="H99" s="123"/>
    </row>
    <row r="100" spans="1:8" ht="15.75" x14ac:dyDescent="0.25">
      <c r="A100" s="130"/>
      <c r="B100" s="131">
        <f>DATE(2020,10,1)</f>
        <v>44105</v>
      </c>
      <c r="C100" s="204">
        <v>17114468.25</v>
      </c>
      <c r="D100" s="204">
        <v>4167594.55</v>
      </c>
      <c r="E100" s="204">
        <v>3485177.78</v>
      </c>
      <c r="F100" s="132">
        <f>(+D100-E100)/E100</f>
        <v>0.19580544037555525</v>
      </c>
      <c r="G100" s="215">
        <f>D100/C100</f>
        <v>0.24351294408460514</v>
      </c>
      <c r="H100" s="123"/>
    </row>
    <row r="101" spans="1:8" ht="15.75" x14ac:dyDescent="0.25">
      <c r="A101" s="130"/>
      <c r="B101" s="131">
        <f>DATE(2020,11,1)</f>
        <v>44136</v>
      </c>
      <c r="C101" s="204">
        <v>17014102</v>
      </c>
      <c r="D101" s="204">
        <v>3752761.48</v>
      </c>
      <c r="E101" s="204">
        <v>3099140.29</v>
      </c>
      <c r="F101" s="132">
        <f>(+D101-E101)/E101</f>
        <v>0.21090403429268442</v>
      </c>
      <c r="G101" s="215">
        <f>D101/C101</f>
        <v>0.22056770789313476</v>
      </c>
      <c r="H101" s="123"/>
    </row>
    <row r="102" spans="1:8" ht="15.75" thickBot="1" x14ac:dyDescent="0.25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SUM(C97:C102)</f>
        <v>88026867.75</v>
      </c>
      <c r="D103" s="207">
        <f>SUM(D97:D102)</f>
        <v>20049000.77</v>
      </c>
      <c r="E103" s="206">
        <f>SUM(E97:E102)</f>
        <v>18057187.66</v>
      </c>
      <c r="F103" s="143">
        <f>(+D103-E103)/E103</f>
        <v>0.11030583208769729</v>
      </c>
      <c r="G103" s="217">
        <f>D103/C103</f>
        <v>0.22776001557774386</v>
      </c>
      <c r="H103" s="123"/>
    </row>
    <row r="104" spans="1:8" ht="15.75" customHeight="1" thickTop="1" x14ac:dyDescent="0.25">
      <c r="A104" s="130"/>
      <c r="B104" s="134"/>
      <c r="C104" s="204"/>
      <c r="D104" s="204"/>
      <c r="E104" s="204"/>
      <c r="F104" s="132"/>
      <c r="G104" s="218"/>
      <c r="H104" s="123"/>
    </row>
    <row r="105" spans="1:8" ht="15.75" x14ac:dyDescent="0.25">
      <c r="A105" s="130" t="s">
        <v>58</v>
      </c>
      <c r="B105" s="131">
        <f>DATE(2020,7,1)</f>
        <v>44013</v>
      </c>
      <c r="C105" s="204">
        <v>674370</v>
      </c>
      <c r="D105" s="204">
        <v>155770.5</v>
      </c>
      <c r="E105" s="204">
        <v>102948</v>
      </c>
      <c r="F105" s="132">
        <f>(+D105-E105)/E105</f>
        <v>0.51309884601934952</v>
      </c>
      <c r="G105" s="215">
        <f>D105/C105</f>
        <v>0.23098669869656124</v>
      </c>
      <c r="H105" s="123"/>
    </row>
    <row r="106" spans="1:8" ht="15.75" x14ac:dyDescent="0.25">
      <c r="A106" s="130"/>
      <c r="B106" s="131">
        <f>DATE(2020,8,1)</f>
        <v>44044</v>
      </c>
      <c r="C106" s="204">
        <v>698636</v>
      </c>
      <c r="D106" s="204">
        <v>187855</v>
      </c>
      <c r="E106" s="204">
        <v>208443.5</v>
      </c>
      <c r="F106" s="132">
        <f>(+D106-E106)/E106</f>
        <v>-9.8772569065478169E-2</v>
      </c>
      <c r="G106" s="215">
        <f>D106/C106</f>
        <v>0.26888823364384312</v>
      </c>
      <c r="H106" s="123"/>
    </row>
    <row r="107" spans="1:8" ht="15.75" x14ac:dyDescent="0.25">
      <c r="A107" s="130"/>
      <c r="B107" s="131">
        <f>DATE(2020,9,1)</f>
        <v>44075</v>
      </c>
      <c r="C107" s="204">
        <v>619816</v>
      </c>
      <c r="D107" s="204">
        <v>175772.5</v>
      </c>
      <c r="E107" s="204">
        <v>206651.5</v>
      </c>
      <c r="F107" s="132">
        <f>(+D107-E107)/E107</f>
        <v>-0.14942548203134262</v>
      </c>
      <c r="G107" s="215">
        <f>D107/C107</f>
        <v>0.28358819391561368</v>
      </c>
      <c r="H107" s="123"/>
    </row>
    <row r="108" spans="1:8" ht="15.75" x14ac:dyDescent="0.25">
      <c r="A108" s="130"/>
      <c r="B108" s="131">
        <f>DATE(2020,10,1)</f>
        <v>44105</v>
      </c>
      <c r="C108" s="204">
        <v>525356</v>
      </c>
      <c r="D108" s="204">
        <v>128393</v>
      </c>
      <c r="E108" s="204">
        <v>159975</v>
      </c>
      <c r="F108" s="132">
        <f>(+D108-E108)/E108</f>
        <v>-0.19741834661665886</v>
      </c>
      <c r="G108" s="215">
        <f>D108/C108</f>
        <v>0.2443923739331044</v>
      </c>
      <c r="H108" s="123"/>
    </row>
    <row r="109" spans="1:8" ht="15.75" x14ac:dyDescent="0.25">
      <c r="A109" s="130"/>
      <c r="B109" s="131">
        <f>DATE(2020,11,1)</f>
        <v>44136</v>
      </c>
      <c r="C109" s="204">
        <v>526166</v>
      </c>
      <c r="D109" s="204">
        <v>162751.5</v>
      </c>
      <c r="E109" s="204">
        <v>185433.5</v>
      </c>
      <c r="F109" s="132">
        <f>(+D109-E109)/E109</f>
        <v>-0.12231878274421827</v>
      </c>
      <c r="G109" s="215">
        <f>D109/C109</f>
        <v>0.30931588129981791</v>
      </c>
      <c r="H109" s="123"/>
    </row>
    <row r="110" spans="1:8" ht="15.75" thickBot="1" x14ac:dyDescent="0.25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35" t="s">
        <v>14</v>
      </c>
      <c r="B111" s="136"/>
      <c r="C111" s="201">
        <f>SUM(C105:C110)</f>
        <v>3044344</v>
      </c>
      <c r="D111" s="207">
        <f>SUM(D105:D110)</f>
        <v>810542.5</v>
      </c>
      <c r="E111" s="207">
        <f>SUM(E105:E110)</f>
        <v>863451.5</v>
      </c>
      <c r="F111" s="143">
        <f>(+D111-E111)/E111</f>
        <v>-6.1276168956797224E-2</v>
      </c>
      <c r="G111" s="217">
        <f>D111/C111</f>
        <v>0.26624537174511159</v>
      </c>
      <c r="H111" s="123"/>
    </row>
    <row r="112" spans="1:8" ht="16.5" thickTop="1" thickBot="1" x14ac:dyDescent="0.25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Top="1" thickBot="1" x14ac:dyDescent="0.3">
      <c r="A113" s="147" t="s">
        <v>38</v>
      </c>
      <c r="B113" s="121"/>
      <c r="C113" s="201">
        <f>C111+C103+C79+C63+C47+C31+C15+C39+C95+C23+C71+C87+C55</f>
        <v>408692855.54999995</v>
      </c>
      <c r="D113" s="201">
        <f>D111+D103+D79+D63+D47+D31+D15+D39+D95+D23+D71+D87+D55</f>
        <v>85367439.25</v>
      </c>
      <c r="E113" s="201">
        <f>E111+E103+E79+E63+E47+E31+E15+E39+E95+E23+E71+E87+E55</f>
        <v>105685087.34</v>
      </c>
      <c r="F113" s="137">
        <f>(+D113-E113)/E113</f>
        <v>-0.19224706721995696</v>
      </c>
      <c r="G113" s="212">
        <f>D113/C113</f>
        <v>0.20887920620759676</v>
      </c>
      <c r="H113" s="123"/>
    </row>
    <row r="114" spans="1:8" ht="17.25" thickTop="1" thickBot="1" x14ac:dyDescent="0.3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Top="1" thickBot="1" x14ac:dyDescent="0.3">
      <c r="A115" s="265" t="s">
        <v>39</v>
      </c>
      <c r="B115" s="266"/>
      <c r="C115" s="206">
        <f>SUM(C13+C21+C29+C37+C45+C53+C61+C69+C77+C85+C93+C101+C109)</f>
        <v>78590011</v>
      </c>
      <c r="D115" s="206">
        <f>SUM(D13+D21+D29+D37+D45+D53+D61+D69+D77+D85+D93+D101+D109)</f>
        <v>15757367.789999999</v>
      </c>
      <c r="E115" s="206">
        <f>SUM(E13+E21+E29+E37+E45+E53+E61+E69+E77+E85+E93+E101+E109)</f>
        <v>20580857.490000002</v>
      </c>
      <c r="F115" s="143">
        <f>(+D115-E115)/E115</f>
        <v>-0.23436777123322874</v>
      </c>
      <c r="G115" s="217">
        <f>D115/C115</f>
        <v>0.20050089813576943</v>
      </c>
      <c r="H115" s="123"/>
    </row>
    <row r="116" spans="1:8" ht="16.5" thickTop="1" x14ac:dyDescent="0.25">
      <c r="A116" s="256"/>
      <c r="B116" s="258"/>
      <c r="C116" s="259"/>
      <c r="D116" s="259"/>
      <c r="E116" s="259"/>
      <c r="F116" s="260"/>
      <c r="G116" s="257"/>
      <c r="H116" s="257"/>
    </row>
    <row r="117" spans="1:8" ht="18.75" x14ac:dyDescent="0.3">
      <c r="A117" s="263" t="s">
        <v>40</v>
      </c>
      <c r="B117" s="117"/>
      <c r="C117" s="208"/>
      <c r="D117" s="208"/>
      <c r="E117" s="208"/>
      <c r="F117" s="148"/>
      <c r="G117" s="220"/>
    </row>
    <row r="118" spans="1:8" ht="15.75" x14ac:dyDescent="0.25">
      <c r="A118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7" max="7" man="1"/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zoomScale="60" zoomScaleNormal="100" workbookViewId="0">
      <selection activeCell="E44" sqref="E44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thickBot="1" x14ac:dyDescent="0.25">
      <c r="A15" s="167"/>
      <c r="B15" s="168"/>
      <c r="C15" s="226"/>
      <c r="D15" s="226"/>
      <c r="E15" s="226"/>
      <c r="F15" s="166"/>
      <c r="G15" s="241"/>
      <c r="H15" s="242"/>
    </row>
    <row r="16" spans="1:8" ht="17.25" thickTop="1" thickBot="1" x14ac:dyDescent="0.3">
      <c r="A16" s="169" t="s">
        <v>14</v>
      </c>
      <c r="B16" s="155"/>
      <c r="C16" s="223">
        <f>SUM(C10:C15)</f>
        <v>0</v>
      </c>
      <c r="D16" s="223">
        <f>SUM(D10:D15)</f>
        <v>0</v>
      </c>
      <c r="E16" s="223">
        <f>SUM(E10:E15)</f>
        <v>0</v>
      </c>
      <c r="F16" s="170">
        <v>0</v>
      </c>
      <c r="G16" s="236">
        <v>0</v>
      </c>
      <c r="H16" s="237">
        <v>0</v>
      </c>
    </row>
    <row r="17" spans="1:8" ht="15.75" thickTop="1" x14ac:dyDescent="0.2">
      <c r="A17" s="171"/>
      <c r="B17" s="172"/>
      <c r="C17" s="227"/>
      <c r="D17" s="227"/>
      <c r="E17" s="227"/>
      <c r="F17" s="173"/>
      <c r="G17" s="243"/>
      <c r="H17" s="244"/>
    </row>
    <row r="18" spans="1:8" ht="15.75" x14ac:dyDescent="0.25">
      <c r="A18" s="19" t="s">
        <v>48</v>
      </c>
      <c r="B18" s="165">
        <f>DATE(20,7,1)</f>
        <v>7488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DATE(20,8,1)</f>
        <v>7519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DATE(20,9,1)</f>
        <v>7550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DATE(20,10,1)</f>
        <v>7580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DATE(20,11,1)</f>
        <v>7611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thickBot="1" x14ac:dyDescent="0.25">
      <c r="A23" s="167"/>
      <c r="B23" s="165"/>
      <c r="C23" s="226"/>
      <c r="D23" s="226"/>
      <c r="E23" s="226"/>
      <c r="F23" s="166"/>
      <c r="G23" s="241"/>
      <c r="H23" s="242"/>
    </row>
    <row r="24" spans="1:8" ht="17.25" thickTop="1" thickBot="1" x14ac:dyDescent="0.3">
      <c r="A24" s="169" t="s">
        <v>14</v>
      </c>
      <c r="B24" s="155"/>
      <c r="C24" s="223">
        <f>SUM(C18:C23)</f>
        <v>0</v>
      </c>
      <c r="D24" s="223">
        <f>SUM(D18:D23)</f>
        <v>0</v>
      </c>
      <c r="E24" s="223">
        <f>SUM(E18:E23)</f>
        <v>0</v>
      </c>
      <c r="F24" s="170">
        <v>0</v>
      </c>
      <c r="G24" s="236">
        <v>0</v>
      </c>
      <c r="H24" s="237">
        <v>0</v>
      </c>
    </row>
    <row r="25" spans="1:8" ht="15.75" thickTop="1" x14ac:dyDescent="0.2">
      <c r="A25" s="171"/>
      <c r="B25" s="172"/>
      <c r="C25" s="227"/>
      <c r="D25" s="227"/>
      <c r="E25" s="227"/>
      <c r="F25" s="173"/>
      <c r="G25" s="243"/>
      <c r="H25" s="244"/>
    </row>
    <row r="26" spans="1:8" ht="15.75" x14ac:dyDescent="0.25">
      <c r="A26" s="19" t="s">
        <v>65</v>
      </c>
      <c r="B26" s="165">
        <f>DATE(20,7,1)</f>
        <v>7488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DATE(20,8,1)</f>
        <v>7519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DATE(20,9,1)</f>
        <v>7550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DATE(20,10,1)</f>
        <v>7580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DATE(20,11,1)</f>
        <v>7611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5"/>
      <c r="C32" s="228">
        <f>SUM(C26:C31)</f>
        <v>0</v>
      </c>
      <c r="D32" s="228">
        <f>SUM(D26:D31)</f>
        <v>0</v>
      </c>
      <c r="E32" s="228">
        <f>SUM(E26:E31)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77" t="s">
        <v>59</v>
      </c>
      <c r="B34" s="165">
        <f>DATE(20,7,1)</f>
        <v>7488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77"/>
      <c r="B35" s="165">
        <f>DATE(20,8,1)</f>
        <v>7519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77"/>
      <c r="B36" s="165">
        <f>DATE(20,9,1)</f>
        <v>7550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77"/>
      <c r="B37" s="165">
        <f>DATE(20,10,1)</f>
        <v>7580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77"/>
      <c r="B38" s="165">
        <f>DATE(20,11,1)</f>
        <v>7611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thickBot="1" x14ac:dyDescent="0.25">
      <c r="A39" s="167"/>
      <c r="B39" s="168"/>
      <c r="C39" s="226"/>
      <c r="D39" s="226"/>
      <c r="E39" s="226"/>
      <c r="F39" s="166"/>
      <c r="G39" s="241"/>
      <c r="H39" s="242"/>
    </row>
    <row r="40" spans="1:8" ht="17.25" thickTop="1" thickBot="1" x14ac:dyDescent="0.3">
      <c r="A40" s="174" t="s">
        <v>14</v>
      </c>
      <c r="B40" s="178"/>
      <c r="C40" s="228">
        <f>SUM(C34:C39)</f>
        <v>0</v>
      </c>
      <c r="D40" s="228">
        <f>SUM(D34:D39)</f>
        <v>0</v>
      </c>
      <c r="E40" s="228">
        <f>SUM(E34:E39)</f>
        <v>0</v>
      </c>
      <c r="F40" s="176">
        <v>0</v>
      </c>
      <c r="G40" s="245">
        <v>0</v>
      </c>
      <c r="H40" s="246">
        <v>0</v>
      </c>
    </row>
    <row r="41" spans="1:8" ht="15.75" thickTop="1" x14ac:dyDescent="0.2">
      <c r="A41" s="167"/>
      <c r="B41" s="168"/>
      <c r="C41" s="226"/>
      <c r="D41" s="226"/>
      <c r="E41" s="226"/>
      <c r="F41" s="166"/>
      <c r="G41" s="241"/>
      <c r="H41" s="242"/>
    </row>
    <row r="42" spans="1:8" ht="15.75" x14ac:dyDescent="0.25">
      <c r="A42" s="164" t="s">
        <v>63</v>
      </c>
      <c r="B42" s="165">
        <f>DATE(20,7,1)</f>
        <v>7488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64"/>
      <c r="B43" s="165">
        <f>DATE(20,8,1)</f>
        <v>7519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64"/>
      <c r="B44" s="165">
        <f>DATE(20,9,1)</f>
        <v>7550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64"/>
      <c r="B45" s="165">
        <f>DATE(20,10,1)</f>
        <v>7580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DATE(20,11,1)</f>
        <v>7611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SUM(C42:C47)</f>
        <v>0</v>
      </c>
      <c r="D48" s="230">
        <f>SUM(D42:D47)</f>
        <v>0</v>
      </c>
      <c r="E48" s="271">
        <f>SUM(E42:E47)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68</v>
      </c>
      <c r="B50" s="165">
        <f>DATE(20,7,1)</f>
        <v>7488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DATE(20,8,1)</f>
        <v>7519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64"/>
      <c r="B52" s="165">
        <f>DATE(20,9,1)</f>
        <v>7550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DATE(20,10,1)</f>
        <v>7580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DATE(20,11,1)</f>
        <v>7611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SUM(C50:C55)</f>
        <v>0</v>
      </c>
      <c r="D56" s="230">
        <f>SUM(D50:D55)</f>
        <v>0</v>
      </c>
      <c r="E56" s="271">
        <f>SUM(E50:E55)</f>
        <v>0</v>
      </c>
      <c r="F56" s="176">
        <v>0</v>
      </c>
      <c r="G56" s="245">
        <v>0</v>
      </c>
      <c r="H56" s="246">
        <v>0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66</v>
      </c>
      <c r="B58" s="165">
        <f>DATE(20,7,1)</f>
        <v>7488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DATE(20,8,1)</f>
        <v>7519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DATE(20,9,1)</f>
        <v>7550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DATE(20,10,1)</f>
        <v>7580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DATE(20,11,1)</f>
        <v>7611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SUM(C58:C63)</f>
        <v>0</v>
      </c>
      <c r="D64" s="230">
        <f>SUM(D58:D63)</f>
        <v>0</v>
      </c>
      <c r="E64" s="271">
        <f>SUM(E58:E63)</f>
        <v>0</v>
      </c>
      <c r="F64" s="176">
        <v>0</v>
      </c>
      <c r="G64" s="245">
        <v>0</v>
      </c>
      <c r="H64" s="246">
        <v>0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60</v>
      </c>
      <c r="B66" s="165">
        <f>DATE(20,7,1)</f>
        <v>7488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DATE(20,8,1)</f>
        <v>7519</v>
      </c>
      <c r="C67" s="226">
        <v>2426243.5</v>
      </c>
      <c r="D67" s="226">
        <v>118455</v>
      </c>
      <c r="E67" s="226">
        <v>0</v>
      </c>
      <c r="F67" s="166">
        <v>1</v>
      </c>
      <c r="G67" s="241">
        <f>D67/C67</f>
        <v>4.8822387365489078E-2</v>
      </c>
      <c r="H67" s="242">
        <f>1-G67</f>
        <v>0.95117761263451095</v>
      </c>
    </row>
    <row r="68" spans="1:8" ht="15.75" x14ac:dyDescent="0.25">
      <c r="A68" s="164"/>
      <c r="B68" s="165">
        <f>DATE(20,9,1)</f>
        <v>7550</v>
      </c>
      <c r="C68" s="226">
        <v>1791988</v>
      </c>
      <c r="D68" s="226">
        <v>106241</v>
      </c>
      <c r="E68" s="226">
        <v>0</v>
      </c>
      <c r="F68" s="166">
        <v>1</v>
      </c>
      <c r="G68" s="241">
        <f>D68/C68</f>
        <v>5.9286669330374978E-2</v>
      </c>
      <c r="H68" s="242">
        <f>1-G68</f>
        <v>0.94071333066962504</v>
      </c>
    </row>
    <row r="69" spans="1:8" ht="15.75" x14ac:dyDescent="0.25">
      <c r="A69" s="164"/>
      <c r="B69" s="165">
        <f>DATE(20,10,1)</f>
        <v>7580</v>
      </c>
      <c r="C69" s="226">
        <v>1843163.5</v>
      </c>
      <c r="D69" s="226">
        <v>82618</v>
      </c>
      <c r="E69" s="226">
        <v>0</v>
      </c>
      <c r="F69" s="166">
        <v>1</v>
      </c>
      <c r="G69" s="241">
        <f>D69/C69</f>
        <v>4.4824021309015721E-2</v>
      </c>
      <c r="H69" s="242">
        <f>1-G69</f>
        <v>0.95517597869098425</v>
      </c>
    </row>
    <row r="70" spans="1:8" ht="15.75" x14ac:dyDescent="0.25">
      <c r="A70" s="164"/>
      <c r="B70" s="165">
        <f>DATE(20,11,1)</f>
        <v>7611</v>
      </c>
      <c r="C70" s="226">
        <v>1486394.5</v>
      </c>
      <c r="D70" s="226">
        <v>81702.080000000002</v>
      </c>
      <c r="E70" s="226">
        <v>0</v>
      </c>
      <c r="F70" s="166">
        <v>1</v>
      </c>
      <c r="G70" s="241">
        <f>D70/C70</f>
        <v>5.4966618888861604E-2</v>
      </c>
      <c r="H70" s="242">
        <f>1-G70</f>
        <v>0.94503338111113844</v>
      </c>
    </row>
    <row r="71" spans="1:8" ht="15.75" thickBot="1" x14ac:dyDescent="0.25">
      <c r="A71" s="167"/>
      <c r="B71" s="165"/>
      <c r="C71" s="226"/>
      <c r="D71" s="226"/>
      <c r="E71" s="226"/>
      <c r="F71" s="166"/>
      <c r="G71" s="241"/>
      <c r="H71" s="242"/>
    </row>
    <row r="72" spans="1:8" ht="17.25" thickTop="1" thickBot="1" x14ac:dyDescent="0.3">
      <c r="A72" s="174" t="s">
        <v>14</v>
      </c>
      <c r="B72" s="175"/>
      <c r="C72" s="228">
        <f>SUM(C66:C71)</f>
        <v>7547789.5</v>
      </c>
      <c r="D72" s="230">
        <f>SUM(D66:D71)</f>
        <v>389016.08</v>
      </c>
      <c r="E72" s="271">
        <f>SUM(E66:E71)</f>
        <v>0</v>
      </c>
      <c r="F72" s="176">
        <v>1</v>
      </c>
      <c r="G72" s="249">
        <f>D72/C72</f>
        <v>5.1540398682289698E-2</v>
      </c>
      <c r="H72" s="270">
        <f>1-G72</f>
        <v>0.94845960131771034</v>
      </c>
    </row>
    <row r="73" spans="1:8" ht="15.75" thickTop="1" x14ac:dyDescent="0.2">
      <c r="A73" s="167"/>
      <c r="B73" s="179"/>
      <c r="C73" s="229"/>
      <c r="D73" s="229"/>
      <c r="E73" s="229"/>
      <c r="F73" s="180"/>
      <c r="G73" s="247"/>
      <c r="H73" s="248"/>
    </row>
    <row r="74" spans="1:8" ht="15.75" x14ac:dyDescent="0.25">
      <c r="A74" s="164" t="s">
        <v>16</v>
      </c>
      <c r="B74" s="165">
        <f>DATE(20,7,1)</f>
        <v>7488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DATE(20,8,1)</f>
        <v>7519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DATE(20,9,1)</f>
        <v>7550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DATE(20,10,1)</f>
        <v>7580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DATE(20,11,1)</f>
        <v>7611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6.5" thickBot="1" x14ac:dyDescent="0.3">
      <c r="A79" s="164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81"/>
      <c r="C80" s="228">
        <f>SUM(C74:C79)</f>
        <v>0</v>
      </c>
      <c r="D80" s="228">
        <f>SUM(D74:D79)</f>
        <v>0</v>
      </c>
      <c r="E80" s="228">
        <f>SUM(E74:E79)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71"/>
      <c r="B81" s="172"/>
      <c r="C81" s="227"/>
      <c r="D81" s="227"/>
      <c r="E81" s="227"/>
      <c r="F81" s="173"/>
      <c r="G81" s="243"/>
      <c r="H81" s="244"/>
    </row>
    <row r="82" spans="1:8" ht="15.75" x14ac:dyDescent="0.25">
      <c r="A82" s="164" t="s">
        <v>54</v>
      </c>
      <c r="B82" s="165">
        <f>DATE(20,7,1)</f>
        <v>7488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DATE(20,8,1)</f>
        <v>7519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DATE(20,9,1)</f>
        <v>7550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DATE(20,10,1)</f>
        <v>7580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DATE(20,11,1)</f>
        <v>7611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thickBot="1" x14ac:dyDescent="0.25">
      <c r="A87" s="167"/>
      <c r="B87" s="168"/>
      <c r="C87" s="226"/>
      <c r="D87" s="226"/>
      <c r="E87" s="226"/>
      <c r="F87" s="166"/>
      <c r="G87" s="241"/>
      <c r="H87" s="242"/>
    </row>
    <row r="88" spans="1:8" ht="17.25" thickTop="1" thickBot="1" x14ac:dyDescent="0.3">
      <c r="A88" s="174" t="s">
        <v>14</v>
      </c>
      <c r="B88" s="175"/>
      <c r="C88" s="228">
        <f>SUM(C82:C87)</f>
        <v>0</v>
      </c>
      <c r="D88" s="228">
        <f>SUM(D82:D87)</f>
        <v>0</v>
      </c>
      <c r="E88" s="228">
        <f>SUM(E82:E87)</f>
        <v>0</v>
      </c>
      <c r="F88" s="176">
        <v>0</v>
      </c>
      <c r="G88" s="245">
        <v>0</v>
      </c>
      <c r="H88" s="246">
        <v>0</v>
      </c>
    </row>
    <row r="89" spans="1:8" ht="15.75" thickTop="1" x14ac:dyDescent="0.2">
      <c r="A89" s="167"/>
      <c r="B89" s="168"/>
      <c r="C89" s="226"/>
      <c r="D89" s="226"/>
      <c r="E89" s="226"/>
      <c r="F89" s="166"/>
      <c r="G89" s="241"/>
      <c r="H89" s="242"/>
    </row>
    <row r="90" spans="1:8" ht="15.75" x14ac:dyDescent="0.25">
      <c r="A90" s="164" t="s">
        <v>55</v>
      </c>
      <c r="B90" s="165">
        <f>DATE(20,7,1)</f>
        <v>7488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DATE(20,8,1)</f>
        <v>7519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DATE(20,9,1)</f>
        <v>7550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DATE(20,10,1)</f>
        <v>7580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DATE(20,11,1)</f>
        <v>7611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thickBot="1" x14ac:dyDescent="0.25">
      <c r="A95" s="167"/>
      <c r="B95" s="168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82" t="s">
        <v>14</v>
      </c>
      <c r="B96" s="183"/>
      <c r="C96" s="230">
        <f>SUM(C90:C95)</f>
        <v>0</v>
      </c>
      <c r="D96" s="230">
        <f>SUM(D90:D95)</f>
        <v>0</v>
      </c>
      <c r="E96" s="230">
        <f>SUM(E90:E95)</f>
        <v>0</v>
      </c>
      <c r="F96" s="176">
        <v>0</v>
      </c>
      <c r="G96" s="245">
        <v>0</v>
      </c>
      <c r="H96" s="246">
        <v>0</v>
      </c>
    </row>
    <row r="97" spans="1:8" ht="15.75" thickTop="1" x14ac:dyDescent="0.2">
      <c r="A97" s="167"/>
      <c r="B97" s="168"/>
      <c r="C97" s="226"/>
      <c r="D97" s="226"/>
      <c r="E97" s="226"/>
      <c r="F97" s="166"/>
      <c r="G97" s="241"/>
      <c r="H97" s="242"/>
    </row>
    <row r="98" spans="1:8" ht="15.75" x14ac:dyDescent="0.25">
      <c r="A98" s="164" t="s">
        <v>37</v>
      </c>
      <c r="B98" s="165">
        <f>DATE(20,7,1)</f>
        <v>7488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DATE(20,8,1)</f>
        <v>7519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DATE(20,9,1)</f>
        <v>7550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DATE(20,10,1)</f>
        <v>7580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DATE(20,11,1)</f>
        <v>7611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thickBot="1" x14ac:dyDescent="0.25">
      <c r="A103" s="167"/>
      <c r="B103" s="168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SUM(C98:C103)</f>
        <v>0</v>
      </c>
      <c r="D104" s="228">
        <f>SUM(D98:D103)</f>
        <v>0</v>
      </c>
      <c r="E104" s="228">
        <f>SUM(E98:E103)</f>
        <v>0</v>
      </c>
      <c r="F104" s="176">
        <v>0</v>
      </c>
      <c r="G104" s="245">
        <v>0</v>
      </c>
      <c r="H104" s="246">
        <v>0</v>
      </c>
    </row>
    <row r="105" spans="1:8" ht="15.75" thickTop="1" x14ac:dyDescent="0.2">
      <c r="A105" s="167"/>
      <c r="B105" s="168"/>
      <c r="C105" s="226"/>
      <c r="D105" s="226"/>
      <c r="E105" s="226"/>
      <c r="F105" s="166"/>
      <c r="G105" s="241"/>
      <c r="H105" s="242"/>
    </row>
    <row r="106" spans="1:8" ht="15.75" x14ac:dyDescent="0.25">
      <c r="A106" s="164" t="s">
        <v>58</v>
      </c>
      <c r="B106" s="165">
        <f>DATE(20,7,1)</f>
        <v>7488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DATE(20,8,1)</f>
        <v>7519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DATE(20,9,1)</f>
        <v>7550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DATE(20,10,1)</f>
        <v>7580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DATE(20,11,1)</f>
        <v>7611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thickBot="1" x14ac:dyDescent="0.25">
      <c r="A111" s="167"/>
      <c r="B111" s="168"/>
      <c r="C111" s="226"/>
      <c r="D111" s="226"/>
      <c r="E111" s="226"/>
      <c r="F111" s="166"/>
      <c r="G111" s="241"/>
      <c r="H111" s="242"/>
    </row>
    <row r="112" spans="1:8" ht="17.25" thickTop="1" thickBot="1" x14ac:dyDescent="0.3">
      <c r="A112" s="169" t="s">
        <v>14</v>
      </c>
      <c r="B112" s="155"/>
      <c r="C112" s="223">
        <f>SUM(C106:C111)</f>
        <v>0</v>
      </c>
      <c r="D112" s="223">
        <f>SUM(D106:D111)</f>
        <v>0</v>
      </c>
      <c r="E112" s="223">
        <f>SUM(E106:E111)</f>
        <v>0</v>
      </c>
      <c r="F112" s="176">
        <v>0</v>
      </c>
      <c r="G112" s="245">
        <v>0</v>
      </c>
      <c r="H112" s="246">
        <v>0</v>
      </c>
    </row>
    <row r="113" spans="1:8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</row>
    <row r="114" spans="1:8" ht="17.25" thickTop="1" thickBot="1" x14ac:dyDescent="0.3">
      <c r="A114" s="184" t="s">
        <v>38</v>
      </c>
      <c r="B114" s="155"/>
      <c r="C114" s="223">
        <f>C112+C104+C80+C64+C48+C32+C16+C40+C96+C24+C72+C88+C56</f>
        <v>7547789.5</v>
      </c>
      <c r="D114" s="223">
        <f>D112+D104+D80+D64+D48+D32+D16+D40+D96+D24+D72+D88+D56</f>
        <v>389016.08</v>
      </c>
      <c r="E114" s="223">
        <f>E112+E104+E80+E64+E48+E32+E16+E40+E96+E24+E72+E88+E56</f>
        <v>0</v>
      </c>
      <c r="F114" s="170">
        <v>1</v>
      </c>
      <c r="G114" s="236">
        <f>D114/C114</f>
        <v>5.1540398682289698E-2</v>
      </c>
      <c r="H114" s="237">
        <f>1-G114</f>
        <v>0.94845960131771034</v>
      </c>
    </row>
    <row r="115" spans="1:8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</row>
    <row r="116" spans="1:8" ht="17.25" thickTop="1" thickBot="1" x14ac:dyDescent="0.3">
      <c r="A116" s="184" t="s">
        <v>39</v>
      </c>
      <c r="B116" s="155"/>
      <c r="C116" s="223">
        <f>SUM(C14+C22+C30+C38+C46+C54+C62+C70+C78+C86+C94+C102+C110)</f>
        <v>1486394.5</v>
      </c>
      <c r="D116" s="223">
        <f>SUM(D14+D22+D30+D38+D46+D54+D62+D70+D78+D86+D94+D102+D110)</f>
        <v>81702.080000000002</v>
      </c>
      <c r="E116" s="223">
        <f>SUM(E11+E19+E27+E35+E43+E51+E59+E67+E75+E83+E91+E99+E107)</f>
        <v>0</v>
      </c>
      <c r="F116" s="170">
        <v>1</v>
      </c>
      <c r="G116" s="236">
        <f>D116/C116</f>
        <v>5.4966618888861604E-2</v>
      </c>
      <c r="H116" s="246">
        <f>1-G116</f>
        <v>0.94503338111113844</v>
      </c>
    </row>
    <row r="117" spans="1:8" ht="16.5" thickTop="1" x14ac:dyDescent="0.25">
      <c r="A117" s="185"/>
      <c r="B117" s="186"/>
      <c r="C117" s="231"/>
      <c r="D117" s="231"/>
      <c r="E117" s="231"/>
      <c r="F117" s="187"/>
      <c r="G117" s="250"/>
      <c r="H117" s="250"/>
    </row>
    <row r="118" spans="1:8" ht="18.75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</row>
    <row r="119" spans="1:8" ht="15.75" x14ac:dyDescent="0.25">
      <c r="A119" s="191"/>
      <c r="B119" s="189"/>
      <c r="C119" s="232"/>
      <c r="D119" s="232"/>
      <c r="E119" s="232"/>
      <c r="F119" s="190"/>
      <c r="G119" s="257"/>
      <c r="H119" s="257"/>
    </row>
  </sheetData>
  <printOptions horizontalCentered="1"/>
  <pageMargins left="0.7" right="0.45" top="0.25" bottom="0.25" header="0.3" footer="0.3"/>
  <pageSetup scale="64" orientation="landscape" r:id="rId1"/>
  <rowBreaks count="2" manualBreakCount="2">
    <brk id="48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0"/>
  <sheetViews>
    <sheetView showOutlineSymbols="0" view="pageBreakPreview" topLeftCell="A58" zoomScale="6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>(+D10-E10)/E10</f>
        <v>-6.0056695617709627E-2</v>
      </c>
      <c r="G10" s="241">
        <f>D10/C10</f>
        <v>9.8905631427633423E-2</v>
      </c>
      <c r="H10" s="242">
        <f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>(+D11-E11)/E11</f>
        <v>-0.12639918002058387</v>
      </c>
      <c r="G11" s="241">
        <f>D11/C11</f>
        <v>9.6630672307611229E-2</v>
      </c>
      <c r="H11" s="242">
        <f>1-G11</f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>(+D12-E12)/E12</f>
        <v>-1.7634032631991081E-3</v>
      </c>
      <c r="G12" s="241">
        <f>D12/C12</f>
        <v>9.6757913761272615E-2</v>
      </c>
      <c r="H12" s="242">
        <f>1-G12</f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>(+D13-E13)/E13</f>
        <v>-8.5177692790201417E-3</v>
      </c>
      <c r="G13" s="241">
        <f>D13/C13</f>
        <v>9.8420048619333081E-2</v>
      </c>
      <c r="H13" s="242">
        <f>1-G13</f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>(+D14-E14)/E14</f>
        <v>-0.19896204819209515</v>
      </c>
      <c r="G14" s="241">
        <f>D14/C14</f>
        <v>9.6089986271280028E-2</v>
      </c>
      <c r="H14" s="242">
        <f>1-G14</f>
        <v>0.90391001372871993</v>
      </c>
      <c r="I14" s="157"/>
    </row>
    <row r="15" spans="1:9" ht="15.75" thickBot="1" x14ac:dyDescent="0.25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SUM(C10:C15)</f>
        <v>564947130.5</v>
      </c>
      <c r="D16" s="223">
        <f>SUM(D10:D15)</f>
        <v>55026377.07</v>
      </c>
      <c r="E16" s="223">
        <f>SUM(E10:E15)</f>
        <v>59930439.949999996</v>
      </c>
      <c r="F16" s="170">
        <f>(+D16-E16)/E16</f>
        <v>-8.182924877727342E-2</v>
      </c>
      <c r="G16" s="236">
        <f>D16/C16</f>
        <v>9.7400932050578842E-2</v>
      </c>
      <c r="H16" s="237">
        <f>1-G16</f>
        <v>0.90259906794942113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48</v>
      </c>
      <c r="B18" s="165">
        <f>DATE(20,7,1)</f>
        <v>7488</v>
      </c>
      <c r="C18" s="226">
        <v>50404182.520000003</v>
      </c>
      <c r="D18" s="226">
        <v>5066109.03</v>
      </c>
      <c r="E18" s="226">
        <v>6237251.8300000001</v>
      </c>
      <c r="F18" s="166">
        <f>(+D18-E18)/E18</f>
        <v>-0.1877658353262289</v>
      </c>
      <c r="G18" s="241">
        <f>D18/C18</f>
        <v>0.10050969536089205</v>
      </c>
      <c r="H18" s="242">
        <f>1-G18</f>
        <v>0.89949030463910795</v>
      </c>
      <c r="I18" s="157"/>
    </row>
    <row r="19" spans="1:9" ht="15.75" x14ac:dyDescent="0.25">
      <c r="A19" s="19"/>
      <c r="B19" s="165">
        <f>DATE(20,8,1)</f>
        <v>7519</v>
      </c>
      <c r="C19" s="226">
        <v>55094697.780000001</v>
      </c>
      <c r="D19" s="226">
        <v>5468550.7300000004</v>
      </c>
      <c r="E19" s="226">
        <v>6248302.3499999996</v>
      </c>
      <c r="F19" s="166">
        <f>(+D19-E19)/E19</f>
        <v>-0.12479415628790742</v>
      </c>
      <c r="G19" s="241">
        <f>D19/C19</f>
        <v>9.925729608022546E-2</v>
      </c>
      <c r="H19" s="242">
        <f>1-G19</f>
        <v>0.90074270391977451</v>
      </c>
      <c r="I19" s="157"/>
    </row>
    <row r="20" spans="1:9" ht="15.75" x14ac:dyDescent="0.25">
      <c r="A20" s="19"/>
      <c r="B20" s="165">
        <f>DATE(20,9,1)</f>
        <v>7550</v>
      </c>
      <c r="C20" s="226">
        <v>55214801.950000003</v>
      </c>
      <c r="D20" s="226">
        <v>5506925.1600000001</v>
      </c>
      <c r="E20" s="226">
        <v>5841517.5999999996</v>
      </c>
      <c r="F20" s="166">
        <f>(+D20-E20)/E20</f>
        <v>-5.727834150495404E-2</v>
      </c>
      <c r="G20" s="241">
        <f>D20/C20</f>
        <v>9.9736392516391159E-2</v>
      </c>
      <c r="H20" s="242">
        <f>1-G20</f>
        <v>0.90026360748360879</v>
      </c>
      <c r="I20" s="157"/>
    </row>
    <row r="21" spans="1:9" ht="15.75" x14ac:dyDescent="0.25">
      <c r="A21" s="19"/>
      <c r="B21" s="165">
        <f>DATE(20,10,1)</f>
        <v>7580</v>
      </c>
      <c r="C21" s="226">
        <v>53988473.469999999</v>
      </c>
      <c r="D21" s="226">
        <v>5104255.3899999997</v>
      </c>
      <c r="E21" s="226">
        <v>5457854.2400000002</v>
      </c>
      <c r="F21" s="166">
        <f>(+D21-E21)/E21</f>
        <v>-6.4787155253893433E-2</v>
      </c>
      <c r="G21" s="241">
        <f>D21/C21</f>
        <v>9.4543428660495518E-2</v>
      </c>
      <c r="H21" s="242">
        <f>1-G21</f>
        <v>0.90545657133950452</v>
      </c>
      <c r="I21" s="157"/>
    </row>
    <row r="22" spans="1:9" ht="15.75" x14ac:dyDescent="0.25">
      <c r="A22" s="19"/>
      <c r="B22" s="165">
        <f>DATE(20,11,1)</f>
        <v>7611</v>
      </c>
      <c r="C22" s="226">
        <v>49119685.869999997</v>
      </c>
      <c r="D22" s="226">
        <v>4814628.37</v>
      </c>
      <c r="E22" s="226">
        <v>5836194.6699999999</v>
      </c>
      <c r="F22" s="166">
        <f>(+D22-E22)/E22</f>
        <v>-0.17503979181009735</v>
      </c>
      <c r="G22" s="241">
        <f>D22/C22</f>
        <v>9.8018305384573914E-2</v>
      </c>
      <c r="H22" s="242">
        <f>1-G22</f>
        <v>0.9019816946154261</v>
      </c>
      <c r="I22" s="157"/>
    </row>
    <row r="23" spans="1:9" ht="15.75" thickBot="1" x14ac:dyDescent="0.25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69" t="s">
        <v>14</v>
      </c>
      <c r="B24" s="155"/>
      <c r="C24" s="223">
        <f>SUM(C18:C23)</f>
        <v>263821841.59</v>
      </c>
      <c r="D24" s="223">
        <f>SUM(D18:D23)</f>
        <v>25960468.680000003</v>
      </c>
      <c r="E24" s="223">
        <f>SUM(E18:E23)</f>
        <v>29621120.690000005</v>
      </c>
      <c r="F24" s="170">
        <f>(+D24-E24)/E24</f>
        <v>-0.12358249535223784</v>
      </c>
      <c r="G24" s="236">
        <f>D24/C24</f>
        <v>9.8401514156453443E-2</v>
      </c>
      <c r="H24" s="237">
        <f>1-G24</f>
        <v>0.90159848584354652</v>
      </c>
      <c r="I24" s="157"/>
    </row>
    <row r="25" spans="1:9" ht="15.75" thickTop="1" x14ac:dyDescent="0.2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 x14ac:dyDescent="0.25">
      <c r="A26" s="19" t="s">
        <v>65</v>
      </c>
      <c r="B26" s="165">
        <f>DATE(20,7,1)</f>
        <v>7488</v>
      </c>
      <c r="C26" s="226">
        <v>28855708.969999999</v>
      </c>
      <c r="D26" s="226">
        <v>3105687.6</v>
      </c>
      <c r="E26" s="226">
        <v>2967073.27</v>
      </c>
      <c r="F26" s="166">
        <f>(+D26-E26)/E26</f>
        <v>4.6717528482200267E-2</v>
      </c>
      <c r="G26" s="241">
        <f>D26/C26</f>
        <v>0.10762818557772556</v>
      </c>
      <c r="H26" s="242">
        <f>1-G26</f>
        <v>0.89237181442227442</v>
      </c>
      <c r="I26" s="157"/>
    </row>
    <row r="27" spans="1:9" ht="15.75" x14ac:dyDescent="0.25">
      <c r="A27" s="19"/>
      <c r="B27" s="165">
        <f>DATE(20,8,1)</f>
        <v>7519</v>
      </c>
      <c r="C27" s="226">
        <v>29064729.829999998</v>
      </c>
      <c r="D27" s="226">
        <v>3031801</v>
      </c>
      <c r="E27" s="226">
        <v>2916117.84</v>
      </c>
      <c r="F27" s="166">
        <f>(+D27-E27)/E27</f>
        <v>3.9670262433564807E-2</v>
      </c>
      <c r="G27" s="241">
        <f>D27/C27</f>
        <v>0.10431203103325046</v>
      </c>
      <c r="H27" s="242">
        <f>1-G27</f>
        <v>0.89568796896674951</v>
      </c>
      <c r="I27" s="157"/>
    </row>
    <row r="28" spans="1:9" ht="15.75" x14ac:dyDescent="0.25">
      <c r="A28" s="19"/>
      <c r="B28" s="165">
        <f>DATE(20,9,1)</f>
        <v>7550</v>
      </c>
      <c r="C28" s="226">
        <v>27838192.809999999</v>
      </c>
      <c r="D28" s="226">
        <v>2818231.18</v>
      </c>
      <c r="E28" s="226">
        <v>2810959.49</v>
      </c>
      <c r="F28" s="166">
        <f>(+D28-E28)/E28</f>
        <v>2.5869067220175212E-3</v>
      </c>
      <c r="G28" s="241">
        <f>D28/C28</f>
        <v>0.10123613983259858</v>
      </c>
      <c r="H28" s="242">
        <f>1-G28</f>
        <v>0.8987638601674014</v>
      </c>
      <c r="I28" s="157"/>
    </row>
    <row r="29" spans="1:9" ht="15.75" x14ac:dyDescent="0.25">
      <c r="A29" s="19"/>
      <c r="B29" s="165">
        <f>DATE(20,10,1)</f>
        <v>7580</v>
      </c>
      <c r="C29" s="226">
        <v>28682754.149999999</v>
      </c>
      <c r="D29" s="226">
        <v>2969140.93</v>
      </c>
      <c r="E29" s="226">
        <v>2793135.18</v>
      </c>
      <c r="F29" s="166">
        <f>(+D29-E29)/E29</f>
        <v>6.3013688438810181E-2</v>
      </c>
      <c r="G29" s="241">
        <f>D29/C29</f>
        <v>0.10351659099654488</v>
      </c>
      <c r="H29" s="242">
        <f>1-G29</f>
        <v>0.89648340900345513</v>
      </c>
      <c r="I29" s="157"/>
    </row>
    <row r="30" spans="1:9" ht="15.75" x14ac:dyDescent="0.25">
      <c r="A30" s="19"/>
      <c r="B30" s="165">
        <f>DATE(20,11,1)</f>
        <v>7611</v>
      </c>
      <c r="C30" s="226">
        <v>25814394.190000001</v>
      </c>
      <c r="D30" s="226">
        <v>2745164.62</v>
      </c>
      <c r="E30" s="226">
        <v>2801393.45</v>
      </c>
      <c r="F30" s="166">
        <f>(+D30-E30)/E30</f>
        <v>-2.007173608548277E-2</v>
      </c>
      <c r="G30" s="241">
        <f>D30/C30</f>
        <v>0.10634239950761362</v>
      </c>
      <c r="H30" s="242">
        <f>1-G30</f>
        <v>0.89365760049238641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SUM(C26:C31)</f>
        <v>140255779.94999999</v>
      </c>
      <c r="D32" s="228">
        <f>SUM(D26:D31)</f>
        <v>14670025.329999998</v>
      </c>
      <c r="E32" s="228">
        <f>SUM(E26:E31)</f>
        <v>14288679.23</v>
      </c>
      <c r="F32" s="176">
        <f>(+D32-E32)/E32</f>
        <v>2.6688687866918945E-2</v>
      </c>
      <c r="G32" s="245">
        <f>D32/C32</f>
        <v>0.10459480055103426</v>
      </c>
      <c r="H32" s="246">
        <f>1-G32</f>
        <v>0.89540519944896579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77" t="s">
        <v>59</v>
      </c>
      <c r="B34" s="165">
        <f>DATE(20,7,1)</f>
        <v>7488</v>
      </c>
      <c r="C34" s="226">
        <v>143439230.22</v>
      </c>
      <c r="D34" s="226">
        <v>12870761.890000001</v>
      </c>
      <c r="E34" s="226">
        <v>17279710.350000001</v>
      </c>
      <c r="F34" s="166">
        <f>(+D34-E34)/E34</f>
        <v>-0.2551517572168101</v>
      </c>
      <c r="G34" s="241">
        <f>D34/C34</f>
        <v>8.9729719479527764E-2</v>
      </c>
      <c r="H34" s="242">
        <f>1-G34</f>
        <v>0.91027028052047221</v>
      </c>
      <c r="I34" s="157"/>
    </row>
    <row r="35" spans="1:9" ht="15.75" x14ac:dyDescent="0.25">
      <c r="A35" s="177"/>
      <c r="B35" s="165">
        <f>DATE(20,8,1)</f>
        <v>7519</v>
      </c>
      <c r="C35" s="226">
        <v>144700809.44999999</v>
      </c>
      <c r="D35" s="226">
        <v>13070251.67</v>
      </c>
      <c r="E35" s="226">
        <v>17467037.460000001</v>
      </c>
      <c r="F35" s="166">
        <f>(+D35-E35)/E35</f>
        <v>-0.25171903364086567</v>
      </c>
      <c r="G35" s="241">
        <f>D35/C35</f>
        <v>9.0326043922486166E-2</v>
      </c>
      <c r="H35" s="242">
        <f>1-G35</f>
        <v>0.90967395607751378</v>
      </c>
      <c r="I35" s="157"/>
    </row>
    <row r="36" spans="1:9" ht="15.75" x14ac:dyDescent="0.25">
      <c r="A36" s="177"/>
      <c r="B36" s="165">
        <f>DATE(20,9,1)</f>
        <v>7550</v>
      </c>
      <c r="C36" s="226">
        <v>139818303.37</v>
      </c>
      <c r="D36" s="226">
        <v>12783360.18</v>
      </c>
      <c r="E36" s="226">
        <v>16156127.949999999</v>
      </c>
      <c r="F36" s="166">
        <f>(+D36-E36)/E36</f>
        <v>-0.20876089744015675</v>
      </c>
      <c r="G36" s="241">
        <f>D36/C36</f>
        <v>9.1428374339313084E-2</v>
      </c>
      <c r="H36" s="242">
        <f>1-G36</f>
        <v>0.90857162566068694</v>
      </c>
      <c r="I36" s="157"/>
    </row>
    <row r="37" spans="1:9" ht="15.75" x14ac:dyDescent="0.25">
      <c r="A37" s="177"/>
      <c r="B37" s="165">
        <f>DATE(20,10,1)</f>
        <v>7580</v>
      </c>
      <c r="C37" s="226">
        <v>145940508.44</v>
      </c>
      <c r="D37" s="226">
        <v>13838790.18</v>
      </c>
      <c r="E37" s="226">
        <v>15798088.050000001</v>
      </c>
      <c r="F37" s="166">
        <f>(+D37-E37)/E37</f>
        <v>-0.12402120204666164</v>
      </c>
      <c r="G37" s="241">
        <f>D37/C37</f>
        <v>9.4824873011111185E-2</v>
      </c>
      <c r="H37" s="242">
        <f>1-G37</f>
        <v>0.9051751269888888</v>
      </c>
      <c r="I37" s="157"/>
    </row>
    <row r="38" spans="1:9" ht="15.75" x14ac:dyDescent="0.25">
      <c r="A38" s="177"/>
      <c r="B38" s="165">
        <f>DATE(20,11,1)</f>
        <v>7611</v>
      </c>
      <c r="C38" s="226">
        <v>125885717.19</v>
      </c>
      <c r="D38" s="226">
        <v>11508836.74</v>
      </c>
      <c r="E38" s="226">
        <v>16997575.629999999</v>
      </c>
      <c r="F38" s="166">
        <f>(+D38-E38)/E38</f>
        <v>-0.3229130441586392</v>
      </c>
      <c r="G38" s="241">
        <f>D38/C38</f>
        <v>9.1422895280722352E-2</v>
      </c>
      <c r="H38" s="242">
        <f>1-G38</f>
        <v>0.90857710471927766</v>
      </c>
      <c r="I38" s="157"/>
    </row>
    <row r="39" spans="1:9" ht="15.75" thickBot="1" x14ac:dyDescent="0.25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8"/>
      <c r="C40" s="228">
        <f>SUM(C34:C39)</f>
        <v>699784568.67000008</v>
      </c>
      <c r="D40" s="228">
        <f>SUM(D34:D39)</f>
        <v>64072000.660000004</v>
      </c>
      <c r="E40" s="228">
        <f>SUM(E34:E39)</f>
        <v>83698539.439999998</v>
      </c>
      <c r="F40" s="176">
        <f>(+D40-E40)/E40</f>
        <v>-0.2344908156261131</v>
      </c>
      <c r="G40" s="245">
        <f>D40/C40</f>
        <v>9.1559607811550162E-2</v>
      </c>
      <c r="H40" s="246">
        <f>1-G40</f>
        <v>0.90844039218844985</v>
      </c>
      <c r="I40" s="157"/>
    </row>
    <row r="41" spans="1:9" ht="15.75" thickTop="1" x14ac:dyDescent="0.2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 x14ac:dyDescent="0.25">
      <c r="A42" s="164" t="s">
        <v>63</v>
      </c>
      <c r="B42" s="165">
        <f>DATE(20,7,1)</f>
        <v>7488</v>
      </c>
      <c r="C42" s="226">
        <v>129097611.84999999</v>
      </c>
      <c r="D42" s="226">
        <v>13388447.99</v>
      </c>
      <c r="E42" s="226">
        <v>11411946.24</v>
      </c>
      <c r="F42" s="166">
        <f>(+D42-E42)/E42</f>
        <v>0.17319585182343095</v>
      </c>
      <c r="G42" s="241">
        <f>D42/C42</f>
        <v>0.10370794469502807</v>
      </c>
      <c r="H42" s="242">
        <f>1-G42</f>
        <v>0.89629205530497191</v>
      </c>
      <c r="I42" s="157"/>
    </row>
    <row r="43" spans="1:9" ht="15.75" x14ac:dyDescent="0.25">
      <c r="A43" s="164"/>
      <c r="B43" s="165">
        <f>DATE(20,8,1)</f>
        <v>7519</v>
      </c>
      <c r="C43" s="226">
        <v>126740821.34999999</v>
      </c>
      <c r="D43" s="226">
        <v>12503132.880000001</v>
      </c>
      <c r="E43" s="226">
        <v>12220877.76</v>
      </c>
      <c r="F43" s="166">
        <f>(+D43-E43)/E43</f>
        <v>2.3096141336414206E-2</v>
      </c>
      <c r="G43" s="241">
        <f>D43/C43</f>
        <v>9.8651190254417598E-2</v>
      </c>
      <c r="H43" s="242">
        <f>1-G43</f>
        <v>0.9013488097455824</v>
      </c>
      <c r="I43" s="157"/>
    </row>
    <row r="44" spans="1:9" ht="15.75" x14ac:dyDescent="0.25">
      <c r="A44" s="164"/>
      <c r="B44" s="165">
        <f>DATE(20,9,1)</f>
        <v>7550</v>
      </c>
      <c r="C44" s="226">
        <v>113747305.23</v>
      </c>
      <c r="D44" s="226">
        <v>11218535.91</v>
      </c>
      <c r="E44" s="226">
        <v>11441576.98</v>
      </c>
      <c r="F44" s="166">
        <f>(+D44-E44)/E44</f>
        <v>-1.9493909833397834E-2</v>
      </c>
      <c r="G44" s="241">
        <f>D44/C44</f>
        <v>9.8626828014218265E-2</v>
      </c>
      <c r="H44" s="242">
        <f>1-G44</f>
        <v>0.90137317198578171</v>
      </c>
      <c r="I44" s="157"/>
    </row>
    <row r="45" spans="1:9" ht="15.75" x14ac:dyDescent="0.25">
      <c r="A45" s="164"/>
      <c r="B45" s="165">
        <f>DATE(20,10,1)</f>
        <v>7580</v>
      </c>
      <c r="C45" s="226">
        <v>112893213.81</v>
      </c>
      <c r="D45" s="226">
        <v>11439504.380000001</v>
      </c>
      <c r="E45" s="226">
        <v>11451574.32</v>
      </c>
      <c r="F45" s="166">
        <f>(+D45-E45)/E45</f>
        <v>-1.0539983117360127E-3</v>
      </c>
      <c r="G45" s="241">
        <f>D45/C45</f>
        <v>0.10133031024568721</v>
      </c>
      <c r="H45" s="242">
        <f>1-G45</f>
        <v>0.89866968975431283</v>
      </c>
      <c r="I45" s="157"/>
    </row>
    <row r="46" spans="1:9" ht="15.75" x14ac:dyDescent="0.25">
      <c r="A46" s="164"/>
      <c r="B46" s="165">
        <f>DATE(20,11,1)</f>
        <v>7611</v>
      </c>
      <c r="C46" s="226">
        <v>102860879.98999999</v>
      </c>
      <c r="D46" s="226">
        <v>10067796.140000001</v>
      </c>
      <c r="E46" s="226">
        <v>11824386.49</v>
      </c>
      <c r="F46" s="166">
        <f>(+D46-E46)/E46</f>
        <v>-0.14855657428700977</v>
      </c>
      <c r="G46" s="241">
        <f>D46/C46</f>
        <v>9.787779514407012E-2</v>
      </c>
      <c r="H46" s="242">
        <f>1-G46</f>
        <v>0.90212220485592987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SUM(C42:C47)</f>
        <v>585339832.23000002</v>
      </c>
      <c r="D48" s="230">
        <f>SUM(D42:D47)</f>
        <v>58617417.300000004</v>
      </c>
      <c r="E48" s="271">
        <f>SUM(E42:E47)</f>
        <v>58350361.790000007</v>
      </c>
      <c r="F48" s="272">
        <f>(+D48-E48)/E48</f>
        <v>4.5767584262993459E-3</v>
      </c>
      <c r="G48" s="249">
        <f>D48/C48</f>
        <v>0.10014253955122469</v>
      </c>
      <c r="H48" s="270">
        <f>1-G48</f>
        <v>0.89985746044877535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68</v>
      </c>
      <c r="B50" s="165">
        <f>DATE(20,7,1)</f>
        <v>7488</v>
      </c>
      <c r="C50" s="226">
        <v>42751040.829999998</v>
      </c>
      <c r="D50" s="226">
        <v>4434379.57</v>
      </c>
      <c r="E50" s="226">
        <v>3906046.69</v>
      </c>
      <c r="F50" s="166">
        <f>(+D50-E50)/E50</f>
        <v>0.13526025721930127</v>
      </c>
      <c r="G50" s="241">
        <f>D50/C50</f>
        <v>0.10372565167789391</v>
      </c>
      <c r="H50" s="242">
        <f>1-G50</f>
        <v>0.89627434832210606</v>
      </c>
      <c r="I50" s="157"/>
    </row>
    <row r="51" spans="1:9" ht="15.75" x14ac:dyDescent="0.25">
      <c r="A51" s="164"/>
      <c r="B51" s="165">
        <f>DATE(20,8,1)</f>
        <v>7519</v>
      </c>
      <c r="C51" s="226">
        <v>42673866.380000003</v>
      </c>
      <c r="D51" s="226">
        <v>4333573.3</v>
      </c>
      <c r="E51" s="226">
        <v>4670857.45</v>
      </c>
      <c r="F51" s="166">
        <f>(+D51-E51)/E51</f>
        <v>-7.2210328319910588E-2</v>
      </c>
      <c r="G51" s="241">
        <f>D51/C51</f>
        <v>0.1015509881717917</v>
      </c>
      <c r="H51" s="242">
        <f>1-G51</f>
        <v>0.89844901182820824</v>
      </c>
      <c r="I51" s="157"/>
    </row>
    <row r="52" spans="1:9" ht="15.75" x14ac:dyDescent="0.25">
      <c r="A52" s="164"/>
      <c r="B52" s="165">
        <f>DATE(20,9,1)</f>
        <v>7550</v>
      </c>
      <c r="C52" s="226">
        <v>41605422.850000001</v>
      </c>
      <c r="D52" s="226">
        <v>4417017.5599999996</v>
      </c>
      <c r="E52" s="226">
        <v>4421418.32</v>
      </c>
      <c r="F52" s="166">
        <f>(+D52-E52)/E52</f>
        <v>-9.9532767123485097E-4</v>
      </c>
      <c r="G52" s="241">
        <f>D52/C52</f>
        <v>0.10616446745234796</v>
      </c>
      <c r="H52" s="242">
        <f>1-G52</f>
        <v>0.89383553254765202</v>
      </c>
      <c r="I52" s="157"/>
    </row>
    <row r="53" spans="1:9" ht="15.75" x14ac:dyDescent="0.25">
      <c r="A53" s="164"/>
      <c r="B53" s="165">
        <f>DATE(20,10,1)</f>
        <v>7580</v>
      </c>
      <c r="C53" s="226">
        <v>43714895.32</v>
      </c>
      <c r="D53" s="226">
        <v>4440838.8899999997</v>
      </c>
      <c r="E53" s="226">
        <v>4469558.96</v>
      </c>
      <c r="F53" s="166">
        <f>(+D53-E53)/E53</f>
        <v>-6.4257055913186341E-3</v>
      </c>
      <c r="G53" s="241">
        <f>D53/C53</f>
        <v>0.10158640109949597</v>
      </c>
      <c r="H53" s="242">
        <f>1-G53</f>
        <v>0.89841359890050398</v>
      </c>
      <c r="I53" s="157"/>
    </row>
    <row r="54" spans="1:9" ht="15.75" x14ac:dyDescent="0.25">
      <c r="A54" s="164"/>
      <c r="B54" s="165">
        <f>DATE(20,11,1)</f>
        <v>7611</v>
      </c>
      <c r="C54" s="226">
        <v>40694520.390000001</v>
      </c>
      <c r="D54" s="226">
        <v>4093288.05</v>
      </c>
      <c r="E54" s="226">
        <v>4362721.83</v>
      </c>
      <c r="F54" s="166">
        <f>(+D54-E54)/E54</f>
        <v>-6.1758184568920876E-2</v>
      </c>
      <c r="G54" s="241">
        <f>D54/C54</f>
        <v>0.10058573023521508</v>
      </c>
      <c r="H54" s="242">
        <f>1-G54</f>
        <v>0.89941426976478489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SUM(C50:C55)</f>
        <v>211439745.76999998</v>
      </c>
      <c r="D56" s="230">
        <f>SUM(D50:D55)</f>
        <v>21719097.370000001</v>
      </c>
      <c r="E56" s="271">
        <f>SUM(E50:E55)</f>
        <v>21830603.25</v>
      </c>
      <c r="F56" s="272">
        <f>(+D56-E56)/E56</f>
        <v>-5.1077782287119785E-3</v>
      </c>
      <c r="G56" s="249">
        <f>D56/C56</f>
        <v>0.10272003161423401</v>
      </c>
      <c r="H56" s="270">
        <f>1-G56</f>
        <v>0.89727996838576596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66</v>
      </c>
      <c r="B58" s="165">
        <f>DATE(20,7,1)</f>
        <v>7488</v>
      </c>
      <c r="C58" s="226">
        <v>39014288.030000001</v>
      </c>
      <c r="D58" s="226">
        <v>4303428.05</v>
      </c>
      <c r="E58" s="226">
        <v>4987956.2</v>
      </c>
      <c r="F58" s="166">
        <f>(+D58-E58)/E58</f>
        <v>-0.13723619906686438</v>
      </c>
      <c r="G58" s="241">
        <f>D58/C58</f>
        <v>0.11030389806654636</v>
      </c>
      <c r="H58" s="242">
        <f>1-G58</f>
        <v>0.88969610193345361</v>
      </c>
      <c r="I58" s="157"/>
    </row>
    <row r="59" spans="1:9" ht="15.75" x14ac:dyDescent="0.25">
      <c r="A59" s="164"/>
      <c r="B59" s="165">
        <f>DATE(20,8,1)</f>
        <v>7519</v>
      </c>
      <c r="C59" s="226">
        <v>37294361.380000003</v>
      </c>
      <c r="D59" s="226">
        <v>4134795.6</v>
      </c>
      <c r="E59" s="226">
        <v>5297182</v>
      </c>
      <c r="F59" s="166">
        <f>(+D59-E59)/E59</f>
        <v>-0.21943486178122631</v>
      </c>
      <c r="G59" s="241">
        <f>D59/C59</f>
        <v>0.11086918898730315</v>
      </c>
      <c r="H59" s="242">
        <f>1-G59</f>
        <v>0.88913081101269686</v>
      </c>
      <c r="I59" s="157"/>
    </row>
    <row r="60" spans="1:9" ht="15.75" x14ac:dyDescent="0.25">
      <c r="A60" s="164"/>
      <c r="B60" s="165">
        <f>DATE(20,9,1)</f>
        <v>7550</v>
      </c>
      <c r="C60" s="226">
        <v>46478172.090000004</v>
      </c>
      <c r="D60" s="226">
        <v>5078159.95</v>
      </c>
      <c r="E60" s="226">
        <v>4757922.75</v>
      </c>
      <c r="F60" s="166">
        <f>(+D60-E60)/E60</f>
        <v>6.7306094870918237E-2</v>
      </c>
      <c r="G60" s="241">
        <f>D60/C60</f>
        <v>0.10925902895162674</v>
      </c>
      <c r="H60" s="242">
        <f>1-G60</f>
        <v>0.89074097104837324</v>
      </c>
      <c r="I60" s="157"/>
    </row>
    <row r="61" spans="1:9" ht="15.75" x14ac:dyDescent="0.25">
      <c r="A61" s="164"/>
      <c r="B61" s="165">
        <f>DATE(20,10,1)</f>
        <v>7580</v>
      </c>
      <c r="C61" s="226">
        <v>52985429.619999997</v>
      </c>
      <c r="D61" s="226">
        <v>5823943.8200000003</v>
      </c>
      <c r="E61" s="226">
        <v>5100767.21</v>
      </c>
      <c r="F61" s="166">
        <f>(+D61-E61)/E61</f>
        <v>0.14177800715590788</v>
      </c>
      <c r="G61" s="241">
        <f>D61/C61</f>
        <v>0.10991594975766096</v>
      </c>
      <c r="H61" s="242">
        <f>1-G61</f>
        <v>0.89008405024233905</v>
      </c>
      <c r="I61" s="157"/>
    </row>
    <row r="62" spans="1:9" ht="15.75" x14ac:dyDescent="0.25">
      <c r="A62" s="164"/>
      <c r="B62" s="165">
        <f>DATE(20,11,1)</f>
        <v>7611</v>
      </c>
      <c r="C62" s="226">
        <v>49334744.450000003</v>
      </c>
      <c r="D62" s="226">
        <v>5498815.8099999996</v>
      </c>
      <c r="E62" s="226">
        <v>5049815.8600000003</v>
      </c>
      <c r="F62" s="166">
        <f>(+D62-E62)/E62</f>
        <v>8.8914123296368913E-2</v>
      </c>
      <c r="G62" s="241">
        <f>D62/C62</f>
        <v>0.11145929448510601</v>
      </c>
      <c r="H62" s="242">
        <f>1-G62</f>
        <v>0.88854070551489395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SUM(C58:C63)</f>
        <v>225106995.56999999</v>
      </c>
      <c r="D64" s="230">
        <f>SUM(D58:D63)</f>
        <v>24839143.23</v>
      </c>
      <c r="E64" s="271">
        <f>SUM(E58:E63)</f>
        <v>25193644.02</v>
      </c>
      <c r="F64" s="272">
        <f>(+D64-E64)/E64</f>
        <v>-1.4071040684649601E-2</v>
      </c>
      <c r="G64" s="249">
        <f>D64/C64</f>
        <v>0.110343719736937</v>
      </c>
      <c r="H64" s="270">
        <f>1-G64</f>
        <v>0.88965628026306298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60</v>
      </c>
      <c r="B66" s="165">
        <f>DATE(20,7,1)</f>
        <v>7488</v>
      </c>
      <c r="C66" s="226">
        <v>111521100.17</v>
      </c>
      <c r="D66" s="226">
        <v>10751795.77</v>
      </c>
      <c r="E66" s="226">
        <v>10859844.9</v>
      </c>
      <c r="F66" s="166">
        <f>(+D66-E66)/E66</f>
        <v>-9.9494174175545382E-3</v>
      </c>
      <c r="G66" s="241">
        <f>D66/C66</f>
        <v>9.6410416984859623E-2</v>
      </c>
      <c r="H66" s="242">
        <f>1-G66</f>
        <v>0.90358958301514036</v>
      </c>
      <c r="I66" s="157"/>
    </row>
    <row r="67" spans="1:9" ht="15.75" x14ac:dyDescent="0.25">
      <c r="A67" s="164"/>
      <c r="B67" s="165">
        <f>DATE(20,8,1)</f>
        <v>7519</v>
      </c>
      <c r="C67" s="226">
        <v>112369794.01000001</v>
      </c>
      <c r="D67" s="226">
        <v>11312353.68</v>
      </c>
      <c r="E67" s="226">
        <v>10606265.73</v>
      </c>
      <c r="F67" s="166">
        <f>(+D67-E67)/E67</f>
        <v>6.6572719180777992E-2</v>
      </c>
      <c r="G67" s="241">
        <f>D67/C67</f>
        <v>0.10067076993122628</v>
      </c>
      <c r="H67" s="242">
        <f>1-G67</f>
        <v>0.89932923006877374</v>
      </c>
      <c r="I67" s="157"/>
    </row>
    <row r="68" spans="1:9" ht="15.75" x14ac:dyDescent="0.25">
      <c r="A68" s="164"/>
      <c r="B68" s="165">
        <f>DATE(20,9,1)</f>
        <v>7550</v>
      </c>
      <c r="C68" s="226">
        <v>112239380.63</v>
      </c>
      <c r="D68" s="226">
        <v>10956999.039999999</v>
      </c>
      <c r="E68" s="226">
        <v>10294221.539999999</v>
      </c>
      <c r="F68" s="166">
        <f>(+D68-E68)/E68</f>
        <v>6.4383450212788018E-2</v>
      </c>
      <c r="G68" s="241">
        <f>D68/C68</f>
        <v>9.7621699072984264E-2</v>
      </c>
      <c r="H68" s="242">
        <f>1-G68</f>
        <v>0.90237830092701576</v>
      </c>
      <c r="I68" s="157"/>
    </row>
    <row r="69" spans="1:9" ht="15.75" x14ac:dyDescent="0.25">
      <c r="A69" s="164"/>
      <c r="B69" s="165">
        <f>DATE(20,10,1)</f>
        <v>7580</v>
      </c>
      <c r="C69" s="226">
        <v>107780626.91</v>
      </c>
      <c r="D69" s="226">
        <v>10410650.699999999</v>
      </c>
      <c r="E69" s="226">
        <v>9880729.3699999992</v>
      </c>
      <c r="F69" s="166">
        <f>(+D69-E69)/E69</f>
        <v>5.3631802891895231E-2</v>
      </c>
      <c r="G69" s="241">
        <f>D69/C69</f>
        <v>9.6591112878692015E-2</v>
      </c>
      <c r="H69" s="242">
        <f>1-G69</f>
        <v>0.90340888712130796</v>
      </c>
      <c r="I69" s="157"/>
    </row>
    <row r="70" spans="1:9" ht="15.75" x14ac:dyDescent="0.25">
      <c r="A70" s="164"/>
      <c r="B70" s="165">
        <f>DATE(20,11,1)</f>
        <v>7611</v>
      </c>
      <c r="C70" s="226">
        <v>99400505.129999995</v>
      </c>
      <c r="D70" s="226">
        <v>9890840.5199999996</v>
      </c>
      <c r="E70" s="226">
        <v>10205648.99</v>
      </c>
      <c r="F70" s="166">
        <f>(+D70-E70)/E70</f>
        <v>-3.0846492007364314E-2</v>
      </c>
      <c r="G70" s="241">
        <f>D70/C70</f>
        <v>9.9504932163718474E-2</v>
      </c>
      <c r="H70" s="242">
        <f>1-G70</f>
        <v>0.90049506783628153</v>
      </c>
      <c r="I70" s="157"/>
    </row>
    <row r="71" spans="1:9" ht="15.75" thickBot="1" x14ac:dyDescent="0.25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Top="1" thickBot="1" x14ac:dyDescent="0.3">
      <c r="A72" s="174" t="s">
        <v>14</v>
      </c>
      <c r="B72" s="175"/>
      <c r="C72" s="228">
        <f>SUM(C66:C71)</f>
        <v>543311406.85000002</v>
      </c>
      <c r="D72" s="230">
        <f>SUM(D66:D71)</f>
        <v>53322639.709999993</v>
      </c>
      <c r="E72" s="271">
        <f>SUM(E66:E71)</f>
        <v>51846710.530000001</v>
      </c>
      <c r="F72" s="176">
        <f>(+D72-E72)/E72</f>
        <v>2.8467171107142412E-2</v>
      </c>
      <c r="G72" s="249">
        <f>D72/C72</f>
        <v>9.8143788327863246E-2</v>
      </c>
      <c r="H72" s="270">
        <f>1-G72</f>
        <v>0.9018562116721367</v>
      </c>
      <c r="I72" s="157"/>
    </row>
    <row r="73" spans="1:9" ht="15.75" thickTop="1" x14ac:dyDescent="0.2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 x14ac:dyDescent="0.25">
      <c r="A74" s="164" t="s">
        <v>16</v>
      </c>
      <c r="B74" s="165">
        <f>DATE(20,7,1)</f>
        <v>7488</v>
      </c>
      <c r="C74" s="226">
        <v>122917916.14</v>
      </c>
      <c r="D74" s="226">
        <v>12124639.109999999</v>
      </c>
      <c r="E74" s="226">
        <v>13562944.539999999</v>
      </c>
      <c r="F74" s="166">
        <f>(+D74-E74)/E74</f>
        <v>-0.10604669404627676</v>
      </c>
      <c r="G74" s="241">
        <f>D74/C74</f>
        <v>9.8640129045064362E-2</v>
      </c>
      <c r="H74" s="242">
        <f>1-G74</f>
        <v>0.90135987095493564</v>
      </c>
      <c r="I74" s="157"/>
    </row>
    <row r="75" spans="1:9" ht="15.75" x14ac:dyDescent="0.25">
      <c r="A75" s="164"/>
      <c r="B75" s="165">
        <f>DATE(20,8,1)</f>
        <v>7519</v>
      </c>
      <c r="C75" s="226">
        <v>129077535.78</v>
      </c>
      <c r="D75" s="226">
        <v>12772714.18</v>
      </c>
      <c r="E75" s="226">
        <v>13870661.279999999</v>
      </c>
      <c r="F75" s="166">
        <f>(+D75-E75)/E75</f>
        <v>-7.9156074669858828E-2</v>
      </c>
      <c r="G75" s="241">
        <f>D75/C75</f>
        <v>9.8953811775349024E-2</v>
      </c>
      <c r="H75" s="242">
        <f>1-G75</f>
        <v>0.90104618822465099</v>
      </c>
      <c r="I75" s="157"/>
    </row>
    <row r="76" spans="1:9" ht="15.75" x14ac:dyDescent="0.25">
      <c r="A76" s="164"/>
      <c r="B76" s="165">
        <f>DATE(20,9,1)</f>
        <v>7550</v>
      </c>
      <c r="C76" s="226">
        <v>120244266.26000001</v>
      </c>
      <c r="D76" s="226">
        <v>12144964.720000001</v>
      </c>
      <c r="E76" s="226">
        <v>12786419.43</v>
      </c>
      <c r="F76" s="166">
        <f>(+D76-E76)/E76</f>
        <v>-5.0166875372083662E-2</v>
      </c>
      <c r="G76" s="241">
        <f>D76/C76</f>
        <v>0.10100244359044418</v>
      </c>
      <c r="H76" s="242">
        <f>1-G76</f>
        <v>0.89899755640955581</v>
      </c>
      <c r="I76" s="157"/>
    </row>
    <row r="77" spans="1:9" ht="15.75" x14ac:dyDescent="0.25">
      <c r="A77" s="164"/>
      <c r="B77" s="165">
        <f>DATE(20,10,1)</f>
        <v>7580</v>
      </c>
      <c r="C77" s="226">
        <v>126651805.83</v>
      </c>
      <c r="D77" s="226">
        <v>12788232.33</v>
      </c>
      <c r="E77" s="226">
        <v>13251508.66</v>
      </c>
      <c r="F77" s="166">
        <f>(+D77-E77)/E77</f>
        <v>-3.496027070475461E-2</v>
      </c>
      <c r="G77" s="241">
        <f>D77/C77</f>
        <v>0.10097157514804936</v>
      </c>
      <c r="H77" s="242">
        <f>1-G77</f>
        <v>0.89902842485195067</v>
      </c>
      <c r="I77" s="157"/>
    </row>
    <row r="78" spans="1:9" ht="15.75" x14ac:dyDescent="0.25">
      <c r="A78" s="164"/>
      <c r="B78" s="165">
        <f>DATE(20,11,1)</f>
        <v>7611</v>
      </c>
      <c r="C78" s="226">
        <v>115007879.84</v>
      </c>
      <c r="D78" s="226">
        <v>11020343.83</v>
      </c>
      <c r="E78" s="226">
        <v>13769145.800000001</v>
      </c>
      <c r="F78" s="166">
        <f>(+D78-E78)/E78</f>
        <v>-0.1996348945625952</v>
      </c>
      <c r="G78" s="241">
        <f>D78/C78</f>
        <v>9.5822510990826032E-2</v>
      </c>
      <c r="H78" s="242">
        <f>1-G78</f>
        <v>0.90417748900917394</v>
      </c>
      <c r="I78" s="157"/>
    </row>
    <row r="79" spans="1:9" ht="15.75" customHeight="1" thickBot="1" x14ac:dyDescent="0.3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81"/>
      <c r="C80" s="228">
        <f>SUM(C74:C79)</f>
        <v>613899403.85000002</v>
      </c>
      <c r="D80" s="228">
        <f>SUM(D74:D79)</f>
        <v>60850894.169999994</v>
      </c>
      <c r="E80" s="228">
        <f>SUM(E74:E79)</f>
        <v>67240679.709999993</v>
      </c>
      <c r="F80" s="176">
        <f>(+D80-E80)/E80</f>
        <v>-9.502856853259492E-2</v>
      </c>
      <c r="G80" s="245">
        <f>D80/C80</f>
        <v>9.9121930707833497E-2</v>
      </c>
      <c r="H80" s="246">
        <f>1-G80</f>
        <v>0.90087806929216652</v>
      </c>
      <c r="I80" s="157"/>
    </row>
    <row r="81" spans="1:9" ht="15.75" thickTop="1" x14ac:dyDescent="0.2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 x14ac:dyDescent="0.25">
      <c r="A82" s="164" t="s">
        <v>54</v>
      </c>
      <c r="B82" s="165">
        <f>DATE(20,7,1)</f>
        <v>7488</v>
      </c>
      <c r="C82" s="226">
        <v>139778413.28999999</v>
      </c>
      <c r="D82" s="226">
        <v>13113665.15</v>
      </c>
      <c r="E82" s="226">
        <v>16247033.9</v>
      </c>
      <c r="F82" s="166">
        <f>(+D82-E82)/E82</f>
        <v>-0.19285789451082513</v>
      </c>
      <c r="G82" s="241">
        <f>D82/C82</f>
        <v>9.3817527623474437E-2</v>
      </c>
      <c r="H82" s="242">
        <f>1-G82</f>
        <v>0.90618247237652561</v>
      </c>
      <c r="I82" s="157"/>
    </row>
    <row r="83" spans="1:9" ht="15.75" x14ac:dyDescent="0.25">
      <c r="A83" s="164"/>
      <c r="B83" s="165">
        <f>DATE(20,8,1)</f>
        <v>7519</v>
      </c>
      <c r="C83" s="226">
        <v>139190485.06</v>
      </c>
      <c r="D83" s="226">
        <v>13163225.939999999</v>
      </c>
      <c r="E83" s="226">
        <v>16871517.800000001</v>
      </c>
      <c r="F83" s="166">
        <f>(+D83-E83)/E83</f>
        <v>-0.21979598421192437</v>
      </c>
      <c r="G83" s="241">
        <f>D83/C83</f>
        <v>9.4569869013142724E-2</v>
      </c>
      <c r="H83" s="242">
        <f>1-G83</f>
        <v>0.90543013098685732</v>
      </c>
      <c r="I83" s="157"/>
    </row>
    <row r="84" spans="1:9" ht="15.75" x14ac:dyDescent="0.25">
      <c r="A84" s="164"/>
      <c r="B84" s="165">
        <f>DATE(20,9,1)</f>
        <v>7550</v>
      </c>
      <c r="C84" s="226">
        <v>144179628.53</v>
      </c>
      <c r="D84" s="226">
        <v>13632742.51</v>
      </c>
      <c r="E84" s="226">
        <v>15944541.300000001</v>
      </c>
      <c r="F84" s="166">
        <f>(+D84-E84)/E84</f>
        <v>-0.1449899841270442</v>
      </c>
      <c r="G84" s="241">
        <f>D84/C84</f>
        <v>9.4553874559077419E-2</v>
      </c>
      <c r="H84" s="242">
        <f>1-G84</f>
        <v>0.90544612544092262</v>
      </c>
      <c r="I84" s="157"/>
    </row>
    <row r="85" spans="1:9" ht="15.75" x14ac:dyDescent="0.25">
      <c r="A85" s="164"/>
      <c r="B85" s="165">
        <f>DATE(20,10,1)</f>
        <v>7580</v>
      </c>
      <c r="C85" s="226">
        <v>153697637.43000001</v>
      </c>
      <c r="D85" s="226">
        <v>14284849.609999999</v>
      </c>
      <c r="E85" s="226">
        <v>16080736.01</v>
      </c>
      <c r="F85" s="166">
        <f>(+D85-E85)/E85</f>
        <v>-0.11167936585012071</v>
      </c>
      <c r="G85" s="241">
        <f>D85/C85</f>
        <v>9.2941243917987262E-2</v>
      </c>
      <c r="H85" s="242">
        <f>1-G85</f>
        <v>0.9070587560820127</v>
      </c>
      <c r="I85" s="157"/>
    </row>
    <row r="86" spans="1:9" ht="15.75" x14ac:dyDescent="0.25">
      <c r="A86" s="164"/>
      <c r="B86" s="165">
        <f>DATE(20,11,1)</f>
        <v>7611</v>
      </c>
      <c r="C86" s="226">
        <v>132944210.06999999</v>
      </c>
      <c r="D86" s="226">
        <v>12348288.83</v>
      </c>
      <c r="E86" s="226">
        <v>17058182.91</v>
      </c>
      <c r="F86" s="166">
        <f>(+D86-E86)/E86</f>
        <v>-0.276107607993752</v>
      </c>
      <c r="G86" s="241">
        <f>D86/C86</f>
        <v>9.2883238942848084E-2</v>
      </c>
      <c r="H86" s="242">
        <f>1-G86</f>
        <v>0.90711676105715189</v>
      </c>
      <c r="I86" s="157"/>
    </row>
    <row r="87" spans="1:9" ht="15.75" thickBot="1" x14ac:dyDescent="0.25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SUM(C82:C87)</f>
        <v>709790374.37999988</v>
      </c>
      <c r="D88" s="228">
        <f>SUM(D82:D87)</f>
        <v>66542772.039999999</v>
      </c>
      <c r="E88" s="228">
        <f>SUM(E82:E87)</f>
        <v>82202011.920000002</v>
      </c>
      <c r="F88" s="176">
        <f>(+D88-E88)/E88</f>
        <v>-0.19049703911431956</v>
      </c>
      <c r="G88" s="249">
        <f>D88/C88</f>
        <v>9.3749893548676175E-2</v>
      </c>
      <c r="H88" s="270">
        <f>1-G88</f>
        <v>0.90625010645132387</v>
      </c>
      <c r="I88" s="157"/>
    </row>
    <row r="89" spans="1:9" ht="15.75" thickTop="1" x14ac:dyDescent="0.2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 x14ac:dyDescent="0.25">
      <c r="A90" s="164" t="s">
        <v>55</v>
      </c>
      <c r="B90" s="165">
        <f>DATE(20,7,1)</f>
        <v>7488</v>
      </c>
      <c r="C90" s="226">
        <v>25124152.59</v>
      </c>
      <c r="D90" s="226">
        <v>2784731.95</v>
      </c>
      <c r="E90" s="226">
        <v>2612988.94</v>
      </c>
      <c r="F90" s="166">
        <f>(+D90-E90)/E90</f>
        <v>6.5726650186280641E-2</v>
      </c>
      <c r="G90" s="241">
        <f>D90/C90</f>
        <v>0.11083884083351685</v>
      </c>
      <c r="H90" s="242">
        <f>1-G90</f>
        <v>0.88916115916648319</v>
      </c>
      <c r="I90" s="157"/>
    </row>
    <row r="91" spans="1:9" ht="15.75" x14ac:dyDescent="0.25">
      <c r="A91" s="164"/>
      <c r="B91" s="165">
        <f>DATE(20,8,1)</f>
        <v>7519</v>
      </c>
      <c r="C91" s="226">
        <v>26128366.460000001</v>
      </c>
      <c r="D91" s="226">
        <v>2961173.82</v>
      </c>
      <c r="E91" s="226">
        <v>2826240.12</v>
      </c>
      <c r="F91" s="166">
        <f>(+D91-E91)/E91</f>
        <v>4.7743183264980227E-2</v>
      </c>
      <c r="G91" s="241">
        <f>D91/C91</f>
        <v>0.1133317624174198</v>
      </c>
      <c r="H91" s="242">
        <f>1-G91</f>
        <v>0.88666823758258018</v>
      </c>
      <c r="I91" s="157"/>
    </row>
    <row r="92" spans="1:9" ht="15.75" x14ac:dyDescent="0.25">
      <c r="A92" s="164"/>
      <c r="B92" s="165">
        <f>DATE(20,9,1)</f>
        <v>7550</v>
      </c>
      <c r="C92" s="226">
        <v>25242024.670000002</v>
      </c>
      <c r="D92" s="226">
        <v>2707604.99</v>
      </c>
      <c r="E92" s="226">
        <v>2549839.52</v>
      </c>
      <c r="F92" s="166">
        <f>(+D92-E92)/E92</f>
        <v>6.1872705620313002E-2</v>
      </c>
      <c r="G92" s="241">
        <f>D92/C92</f>
        <v>0.10726576118190602</v>
      </c>
      <c r="H92" s="242">
        <f>1-G92</f>
        <v>0.89273423881809399</v>
      </c>
      <c r="I92" s="157"/>
    </row>
    <row r="93" spans="1:9" ht="15.75" x14ac:dyDescent="0.25">
      <c r="A93" s="164"/>
      <c r="B93" s="165">
        <f>DATE(20,10,1)</f>
        <v>7580</v>
      </c>
      <c r="C93" s="226">
        <v>24651178.559999999</v>
      </c>
      <c r="D93" s="226">
        <v>2777127.87</v>
      </c>
      <c r="E93" s="226">
        <v>2654170.6800000002</v>
      </c>
      <c r="F93" s="166">
        <f>(+D93-E93)/E93</f>
        <v>4.6326029793984438E-2</v>
      </c>
      <c r="G93" s="241">
        <f>D93/C93</f>
        <v>0.11265700190522657</v>
      </c>
      <c r="H93" s="242">
        <f>1-G93</f>
        <v>0.88734299809477346</v>
      </c>
      <c r="I93" s="157"/>
    </row>
    <row r="94" spans="1:9" ht="15.75" x14ac:dyDescent="0.25">
      <c r="A94" s="164"/>
      <c r="B94" s="165">
        <f>DATE(20,11,1)</f>
        <v>7611</v>
      </c>
      <c r="C94" s="226">
        <v>22778053.699999999</v>
      </c>
      <c r="D94" s="226">
        <v>2545068.2999999998</v>
      </c>
      <c r="E94" s="226">
        <v>2750246.46</v>
      </c>
      <c r="F94" s="166">
        <f>(+D94-E94)/E94</f>
        <v>-7.4603553893857269E-2</v>
      </c>
      <c r="G94" s="241">
        <f>D94/C94</f>
        <v>0.11173335235398096</v>
      </c>
      <c r="H94" s="242">
        <f>1-G94</f>
        <v>0.88826664764601904</v>
      </c>
      <c r="I94" s="157"/>
    </row>
    <row r="95" spans="1:9" ht="15.75" thickBot="1" x14ac:dyDescent="0.25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82" t="s">
        <v>14</v>
      </c>
      <c r="B96" s="183"/>
      <c r="C96" s="230">
        <f>SUM(C90:C95)</f>
        <v>123923775.98</v>
      </c>
      <c r="D96" s="230">
        <f>SUM(D90:D95)</f>
        <v>13775706.93</v>
      </c>
      <c r="E96" s="230">
        <f>SUM(E90:E95)</f>
        <v>13393485.719999999</v>
      </c>
      <c r="F96" s="176">
        <f>(+D96-E96)/E96</f>
        <v>2.8537844291665167E-2</v>
      </c>
      <c r="G96" s="249">
        <f>D96/C96</f>
        <v>0.11116274355796948</v>
      </c>
      <c r="H96" s="246">
        <f>1-G96</f>
        <v>0.88883725644203049</v>
      </c>
      <c r="I96" s="157"/>
    </row>
    <row r="97" spans="1:9" ht="15.75" thickTop="1" x14ac:dyDescent="0.2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 x14ac:dyDescent="0.25">
      <c r="A98" s="164" t="s">
        <v>37</v>
      </c>
      <c r="B98" s="165">
        <f>DATE(20,7,1)</f>
        <v>7488</v>
      </c>
      <c r="C98" s="226">
        <v>193788423.05000001</v>
      </c>
      <c r="D98" s="226">
        <v>17781520.260000002</v>
      </c>
      <c r="E98" s="226">
        <v>19119192.239999998</v>
      </c>
      <c r="F98" s="166">
        <f>(+D98-E98)/E98</f>
        <v>-6.9964879436768337E-2</v>
      </c>
      <c r="G98" s="241">
        <f>D98/C98</f>
        <v>9.1757391799468485E-2</v>
      </c>
      <c r="H98" s="242">
        <f>1-G98</f>
        <v>0.90824260820053149</v>
      </c>
      <c r="I98" s="157"/>
    </row>
    <row r="99" spans="1:9" ht="15.75" x14ac:dyDescent="0.25">
      <c r="A99" s="164"/>
      <c r="B99" s="165">
        <f>DATE(20,8,1)</f>
        <v>7519</v>
      </c>
      <c r="C99" s="226">
        <v>187407837.13</v>
      </c>
      <c r="D99" s="226">
        <v>17286123.989999998</v>
      </c>
      <c r="E99" s="226">
        <v>19394509.940000001</v>
      </c>
      <c r="F99" s="166">
        <f>(+D99-E99)/E99</f>
        <v>-0.10871045241785587</v>
      </c>
      <c r="G99" s="241">
        <f>D99/C99</f>
        <v>9.223799951337712E-2</v>
      </c>
      <c r="H99" s="242">
        <f>1-G99</f>
        <v>0.90776200048662292</v>
      </c>
      <c r="I99" s="157"/>
    </row>
    <row r="100" spans="1:9" ht="15.75" x14ac:dyDescent="0.25">
      <c r="A100" s="164"/>
      <c r="B100" s="165">
        <f>DATE(20,9,1)</f>
        <v>7550</v>
      </c>
      <c r="C100" s="226">
        <v>182127854.37</v>
      </c>
      <c r="D100" s="226">
        <v>16702603.76</v>
      </c>
      <c r="E100" s="226">
        <v>17543226.640000001</v>
      </c>
      <c r="F100" s="166">
        <f>(+D100-E100)/E100</f>
        <v>-4.7917233086604005E-2</v>
      </c>
      <c r="G100" s="241">
        <f>D100/C100</f>
        <v>9.1708123492565796E-2</v>
      </c>
      <c r="H100" s="242">
        <f>1-G100</f>
        <v>0.90829187650743415</v>
      </c>
      <c r="I100" s="157"/>
    </row>
    <row r="101" spans="1:9" ht="15.75" x14ac:dyDescent="0.25">
      <c r="A101" s="164"/>
      <c r="B101" s="165">
        <f>DATE(20,10,1)</f>
        <v>7580</v>
      </c>
      <c r="C101" s="226">
        <v>186473597.18000001</v>
      </c>
      <c r="D101" s="226">
        <v>17754592.84</v>
      </c>
      <c r="E101" s="226">
        <v>18312994.41</v>
      </c>
      <c r="F101" s="166">
        <f>(+D101-E101)/E101</f>
        <v>-3.0492095257511755E-2</v>
      </c>
      <c r="G101" s="241">
        <f>D101/C101</f>
        <v>9.5212368445178719E-2</v>
      </c>
      <c r="H101" s="242">
        <f>1-G101</f>
        <v>0.90478763155482134</v>
      </c>
      <c r="I101" s="157"/>
    </row>
    <row r="102" spans="1:9" ht="15.75" x14ac:dyDescent="0.25">
      <c r="A102" s="164"/>
      <c r="B102" s="165">
        <f>DATE(20,11,1)</f>
        <v>7611</v>
      </c>
      <c r="C102" s="226">
        <v>166737487.81</v>
      </c>
      <c r="D102" s="226">
        <v>15307588.33</v>
      </c>
      <c r="E102" s="226">
        <v>17726569.68</v>
      </c>
      <c r="F102" s="166">
        <f>(+D102-E102)/E102</f>
        <v>-0.13646077011330709</v>
      </c>
      <c r="G102" s="241">
        <f>D102/C102</f>
        <v>9.1806518924186009E-2</v>
      </c>
      <c r="H102" s="242">
        <f>1-G102</f>
        <v>0.90819348107581399</v>
      </c>
      <c r="I102" s="157"/>
    </row>
    <row r="103" spans="1:9" ht="15.75" thickBot="1" x14ac:dyDescent="0.25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SUM(C98:C103)</f>
        <v>916535199.53999996</v>
      </c>
      <c r="D104" s="228">
        <f>SUM(D98:D103)</f>
        <v>84832429.179999992</v>
      </c>
      <c r="E104" s="228">
        <f>SUM(E98:E103)</f>
        <v>92096492.909999996</v>
      </c>
      <c r="F104" s="176">
        <f>(+D104-E104)/E104</f>
        <v>-7.8874488055682077E-2</v>
      </c>
      <c r="G104" s="245">
        <f>D104/C104</f>
        <v>9.2557742705982882E-2</v>
      </c>
      <c r="H104" s="246">
        <f>1-G104</f>
        <v>0.90744225729401706</v>
      </c>
      <c r="I104" s="157"/>
    </row>
    <row r="105" spans="1:9" ht="15.75" thickTop="1" x14ac:dyDescent="0.2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 x14ac:dyDescent="0.25">
      <c r="A106" s="164" t="s">
        <v>58</v>
      </c>
      <c r="B106" s="165">
        <f>DATE(20,7,1)</f>
        <v>7488</v>
      </c>
      <c r="C106" s="226">
        <v>30630065.859999999</v>
      </c>
      <c r="D106" s="226">
        <v>3357321.79</v>
      </c>
      <c r="E106" s="226">
        <v>3293709.88</v>
      </c>
      <c r="F106" s="166">
        <f>(+D106-E106)/E106</f>
        <v>1.9313149098608574E-2</v>
      </c>
      <c r="G106" s="241">
        <f>D106/C106</f>
        <v>0.10960870294387282</v>
      </c>
      <c r="H106" s="242">
        <f>1-G106</f>
        <v>0.89039129705612718</v>
      </c>
      <c r="I106" s="157"/>
    </row>
    <row r="107" spans="1:9" ht="15.75" x14ac:dyDescent="0.25">
      <c r="A107" s="164"/>
      <c r="B107" s="165">
        <f>DATE(20,8,1)</f>
        <v>7519</v>
      </c>
      <c r="C107" s="226">
        <v>29521795.920000002</v>
      </c>
      <c r="D107" s="226">
        <v>3360444.04</v>
      </c>
      <c r="E107" s="226">
        <v>3283356.99</v>
      </c>
      <c r="F107" s="166">
        <f>(+D107-E107)/E107</f>
        <v>2.3478120178457906E-2</v>
      </c>
      <c r="G107" s="241">
        <f>D107/C107</f>
        <v>0.11382925514106053</v>
      </c>
      <c r="H107" s="242">
        <f>1-G107</f>
        <v>0.88617074485893943</v>
      </c>
      <c r="I107" s="157"/>
    </row>
    <row r="108" spans="1:9" ht="15.75" x14ac:dyDescent="0.25">
      <c r="A108" s="164"/>
      <c r="B108" s="165">
        <f>DATE(20,9,1)</f>
        <v>7550</v>
      </c>
      <c r="C108" s="226">
        <v>27722632.809999999</v>
      </c>
      <c r="D108" s="226">
        <v>3031984.28</v>
      </c>
      <c r="E108" s="226">
        <v>3164787.25</v>
      </c>
      <c r="F108" s="166">
        <f>(+D108-E108)/E108</f>
        <v>-4.1962684853460594E-2</v>
      </c>
      <c r="G108" s="241">
        <f>D108/C108</f>
        <v>0.10936855459508574</v>
      </c>
      <c r="H108" s="242">
        <f>1-G108</f>
        <v>0.89063144540491423</v>
      </c>
      <c r="I108" s="157"/>
    </row>
    <row r="109" spans="1:9" ht="15.75" x14ac:dyDescent="0.25">
      <c r="A109" s="164"/>
      <c r="B109" s="165">
        <f>DATE(20,10,1)</f>
        <v>7580</v>
      </c>
      <c r="C109" s="226">
        <v>24051972.260000002</v>
      </c>
      <c r="D109" s="226">
        <v>2770053.1200000001</v>
      </c>
      <c r="E109" s="226">
        <v>3114034.79</v>
      </c>
      <c r="F109" s="166">
        <f>(+D109-E109)/E109</f>
        <v>-0.11046172994104536</v>
      </c>
      <c r="G109" s="241">
        <f>D109/C109</f>
        <v>0.11516947924502553</v>
      </c>
      <c r="H109" s="242">
        <f>1-G109</f>
        <v>0.88483052075497448</v>
      </c>
      <c r="I109" s="157"/>
    </row>
    <row r="110" spans="1:9" ht="15.75" x14ac:dyDescent="0.25">
      <c r="A110" s="164"/>
      <c r="B110" s="165">
        <f>DATE(20,11,1)</f>
        <v>7611</v>
      </c>
      <c r="C110" s="226">
        <v>21330939.300000001</v>
      </c>
      <c r="D110" s="226">
        <v>2396488.16</v>
      </c>
      <c r="E110" s="226">
        <v>3192066.7</v>
      </c>
      <c r="F110" s="166">
        <f>(+D110-E110)/E110</f>
        <v>-0.24923618920619672</v>
      </c>
      <c r="G110" s="241">
        <f>D110/C110</f>
        <v>0.11234799022657198</v>
      </c>
      <c r="H110" s="242">
        <f>1-G110</f>
        <v>0.88765200977342806</v>
      </c>
      <c r="I110" s="157"/>
    </row>
    <row r="111" spans="1:9" ht="15.75" thickBot="1" x14ac:dyDescent="0.25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69" t="s">
        <v>14</v>
      </c>
      <c r="B112" s="155"/>
      <c r="C112" s="223">
        <f>SUM(C106:C111)</f>
        <v>133257406.15000001</v>
      </c>
      <c r="D112" s="223">
        <f>SUM(D106:D111)</f>
        <v>14916291.390000001</v>
      </c>
      <c r="E112" s="223">
        <f>SUM(E106:E111)</f>
        <v>16047955.609999999</v>
      </c>
      <c r="F112" s="176">
        <f>(+D112-E112)/E112</f>
        <v>-7.051765642315351E-2</v>
      </c>
      <c r="G112" s="245">
        <f>D112/C112</f>
        <v>0.11193592777282195</v>
      </c>
      <c r="H112" s="246">
        <f>1-G112</f>
        <v>0.88806407222717809</v>
      </c>
      <c r="I112" s="157"/>
    </row>
    <row r="113" spans="1:9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Top="1" thickBot="1" x14ac:dyDescent="0.3">
      <c r="A114" s="184" t="s">
        <v>38</v>
      </c>
      <c r="B114" s="155"/>
      <c r="C114" s="223">
        <f>C112+C104+C80+C64+C48+C32+C16+C40+C96+C24+C72+C88+C56</f>
        <v>5731413461.0300007</v>
      </c>
      <c r="D114" s="223">
        <f>D112+D104+D80+D64+D48+D32+D16+D40+D96+D24+D72+D88+D56</f>
        <v>559145263.05999994</v>
      </c>
      <c r="E114" s="223">
        <f>E112+E104+E80+E64+E48+E32+E16+E40+E96+E24+E72+E88+E56</f>
        <v>615740724.76999998</v>
      </c>
      <c r="F114" s="170">
        <f>(+D114-E114)/E114</f>
        <v>-9.1914436439363922E-2</v>
      </c>
      <c r="G114" s="236">
        <f>D114/C114</f>
        <v>9.7558004995074138E-2</v>
      </c>
      <c r="H114" s="237">
        <f>1-G114</f>
        <v>0.90244199500492583</v>
      </c>
      <c r="I114" s="157"/>
    </row>
    <row r="115" spans="1:9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Top="1" thickBot="1" x14ac:dyDescent="0.3">
      <c r="A116" s="184" t="s">
        <v>39</v>
      </c>
      <c r="B116" s="155"/>
      <c r="C116" s="223">
        <f>SUM(C14+C22+C30+C38+C46+C54+C62+C70+C78+C86+C94+C102+C110)</f>
        <v>1054217834.9200001</v>
      </c>
      <c r="D116" s="223">
        <f>SUM(D14+D22+D30+D38+D46+D54+D62+D70+D78+D86+D94+D102+D110)</f>
        <v>102068000.52</v>
      </c>
      <c r="E116" s="223">
        <f>SUM(E14+E22+E30+E38+E46+E54+E62+E70+E78+E86+E94+E102+E110)</f>
        <v>123846591.47999997</v>
      </c>
      <c r="F116" s="170">
        <f>(+D116-E116)/E116</f>
        <v>-0.17585135529157467</v>
      </c>
      <c r="G116" s="236">
        <f>D116/C116</f>
        <v>9.6818700214596057E-2</v>
      </c>
      <c r="H116" s="246">
        <f>1-G116</f>
        <v>0.90318129978540396</v>
      </c>
      <c r="I116" s="157"/>
    </row>
    <row r="117" spans="1:9" ht="16.5" thickTop="1" x14ac:dyDescent="0.25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 x14ac:dyDescent="0.2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 x14ac:dyDescent="0.25">
      <c r="A120" s="72"/>
      <c r="I120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4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2020-12-09T15:34:00Z</cp:lastPrinted>
  <dcterms:created xsi:type="dcterms:W3CDTF">2003-09-09T14:41:43Z</dcterms:created>
  <dcterms:modified xsi:type="dcterms:W3CDTF">2020-12-10T13:24:46Z</dcterms:modified>
</cp:coreProperties>
</file>