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03_Mar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STATS'!$A$1:$M$170</definedName>
    <definedName name="_xlnm.Print_Area" localSheetId="4">'SLOT STATS'!$A$1:$I$171</definedName>
    <definedName name="_xlnm.Print_Area" localSheetId="2">'TABLE STATS'!$A$1:$H$170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68" i="4" l="1"/>
  <c r="D168" i="4"/>
  <c r="C168" i="4"/>
  <c r="F162" i="4"/>
  <c r="G162" i="4"/>
  <c r="H162" i="4" s="1"/>
  <c r="F150" i="4"/>
  <c r="G150" i="4"/>
  <c r="H150" i="4" s="1"/>
  <c r="F138" i="4"/>
  <c r="G138" i="4"/>
  <c r="H138" i="4" s="1"/>
  <c r="F126" i="4"/>
  <c r="G126" i="4"/>
  <c r="H126" i="4" s="1"/>
  <c r="F114" i="4"/>
  <c r="G114" i="4"/>
  <c r="H114" i="4" s="1"/>
  <c r="F102" i="4"/>
  <c r="G102" i="4"/>
  <c r="H102" i="4" s="1"/>
  <c r="F90" i="4"/>
  <c r="G90" i="4"/>
  <c r="H90" i="4" s="1"/>
  <c r="F78" i="4"/>
  <c r="G78" i="4"/>
  <c r="H78" i="4" s="1"/>
  <c r="F66" i="4"/>
  <c r="G66" i="4"/>
  <c r="H66" i="4" s="1"/>
  <c r="F54" i="4"/>
  <c r="G54" i="4"/>
  <c r="H54" i="4" s="1"/>
  <c r="F42" i="4"/>
  <c r="G42" i="4"/>
  <c r="H42" i="4" s="1"/>
  <c r="F30" i="4"/>
  <c r="G30" i="4"/>
  <c r="H30" i="4" s="1"/>
  <c r="F18" i="4"/>
  <c r="G18" i="4"/>
  <c r="H18" i="4" s="1"/>
  <c r="B162" i="4"/>
  <c r="B150" i="4"/>
  <c r="B138" i="4"/>
  <c r="B126" i="4"/>
  <c r="B114" i="4"/>
  <c r="B102" i="4"/>
  <c r="B90" i="4"/>
  <c r="B78" i="4"/>
  <c r="B66" i="4"/>
  <c r="B54" i="4"/>
  <c r="B42" i="4"/>
  <c r="B30" i="4"/>
  <c r="B18" i="4"/>
  <c r="D168" i="5"/>
  <c r="C168" i="5"/>
  <c r="G150" i="5"/>
  <c r="H150" i="5" s="1"/>
  <c r="G102" i="5"/>
  <c r="H102" i="5"/>
  <c r="B162" i="5"/>
  <c r="B150" i="5"/>
  <c r="B138" i="5"/>
  <c r="B126" i="5"/>
  <c r="B114" i="5"/>
  <c r="B102" i="5"/>
  <c r="B90" i="5"/>
  <c r="B78" i="5"/>
  <c r="B66" i="5"/>
  <c r="B54" i="5"/>
  <c r="B42" i="5"/>
  <c r="B30" i="5"/>
  <c r="B18" i="5"/>
  <c r="E167" i="3"/>
  <c r="D167" i="3"/>
  <c r="C167" i="3"/>
  <c r="F161" i="3"/>
  <c r="G161" i="3"/>
  <c r="F149" i="3"/>
  <c r="G149" i="3"/>
  <c r="F137" i="3"/>
  <c r="G137" i="3"/>
  <c r="F125" i="3"/>
  <c r="G125" i="3"/>
  <c r="F113" i="3"/>
  <c r="G113" i="3"/>
  <c r="F101" i="3"/>
  <c r="G101" i="3"/>
  <c r="F89" i="3"/>
  <c r="G89" i="3"/>
  <c r="F77" i="3"/>
  <c r="G77" i="3"/>
  <c r="F65" i="3"/>
  <c r="G65" i="3"/>
  <c r="F53" i="3"/>
  <c r="G53" i="3"/>
  <c r="F41" i="3"/>
  <c r="G41" i="3"/>
  <c r="F29" i="3"/>
  <c r="G29" i="3"/>
  <c r="F17" i="3"/>
  <c r="G17" i="3"/>
  <c r="B161" i="3"/>
  <c r="B149" i="3"/>
  <c r="B137" i="3"/>
  <c r="B125" i="3"/>
  <c r="B113" i="3"/>
  <c r="B101" i="3"/>
  <c r="B89" i="3"/>
  <c r="B77" i="3"/>
  <c r="B65" i="3"/>
  <c r="B53" i="3"/>
  <c r="B41" i="3"/>
  <c r="B29" i="3"/>
  <c r="B17" i="3"/>
  <c r="N39" i="2"/>
  <c r="M39" i="2"/>
  <c r="L39" i="2"/>
  <c r="O39" i="2" s="1"/>
  <c r="K39" i="2"/>
  <c r="J39" i="2"/>
  <c r="I39" i="2"/>
  <c r="H39" i="2"/>
  <c r="G39" i="2"/>
  <c r="F39" i="2"/>
  <c r="E39" i="2"/>
  <c r="D39" i="2"/>
  <c r="C39" i="2"/>
  <c r="B39" i="2"/>
  <c r="A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O18" i="2" s="1"/>
  <c r="A18" i="2"/>
  <c r="F73" i="1"/>
  <c r="J73" i="1"/>
  <c r="F96" i="1"/>
  <c r="G60" i="1"/>
  <c r="G123" i="1"/>
  <c r="G98" i="1"/>
  <c r="G97" i="1"/>
  <c r="L167" i="1"/>
  <c r="K167" i="1"/>
  <c r="D167" i="1"/>
  <c r="C167" i="1"/>
  <c r="M161" i="1"/>
  <c r="I161" i="1"/>
  <c r="G161" i="1"/>
  <c r="F161" i="1"/>
  <c r="H161" i="1" s="1"/>
  <c r="E161" i="1"/>
  <c r="M149" i="1"/>
  <c r="I149" i="1"/>
  <c r="G149" i="1"/>
  <c r="F149" i="1"/>
  <c r="J149" i="1" s="1"/>
  <c r="E149" i="1"/>
  <c r="M137" i="1"/>
  <c r="I137" i="1"/>
  <c r="J137" i="1"/>
  <c r="G137" i="1"/>
  <c r="F137" i="1"/>
  <c r="H137" i="1" s="1"/>
  <c r="E137" i="1"/>
  <c r="H125" i="1"/>
  <c r="M125" i="1"/>
  <c r="I125" i="1"/>
  <c r="J125" i="1"/>
  <c r="G125" i="1"/>
  <c r="F125" i="1"/>
  <c r="E125" i="1"/>
  <c r="M113" i="1"/>
  <c r="I113" i="1"/>
  <c r="G113" i="1"/>
  <c r="H113" i="1" s="1"/>
  <c r="F113" i="1"/>
  <c r="J113" i="1" s="1"/>
  <c r="E113" i="1"/>
  <c r="H101" i="1"/>
  <c r="M101" i="1"/>
  <c r="I101" i="1"/>
  <c r="G101" i="1"/>
  <c r="F101" i="1"/>
  <c r="J101" i="1" s="1"/>
  <c r="E101" i="1"/>
  <c r="M89" i="1"/>
  <c r="I89" i="1"/>
  <c r="G89" i="1"/>
  <c r="F89" i="1"/>
  <c r="H89" i="1" s="1"/>
  <c r="E89" i="1"/>
  <c r="M77" i="1"/>
  <c r="I77" i="1"/>
  <c r="J77" i="1"/>
  <c r="G77" i="1"/>
  <c r="F77" i="1"/>
  <c r="H77" i="1" s="1"/>
  <c r="E77" i="1"/>
  <c r="H65" i="1"/>
  <c r="M65" i="1"/>
  <c r="I65" i="1"/>
  <c r="J65" i="1"/>
  <c r="G65" i="1"/>
  <c r="F65" i="1"/>
  <c r="E65" i="1"/>
  <c r="M53" i="1"/>
  <c r="I53" i="1"/>
  <c r="G53" i="1"/>
  <c r="F53" i="1"/>
  <c r="H53" i="1" s="1"/>
  <c r="E53" i="1"/>
  <c r="M41" i="1"/>
  <c r="I41" i="1"/>
  <c r="G41" i="1"/>
  <c r="F41" i="1"/>
  <c r="H41" i="1" s="1"/>
  <c r="E41" i="1"/>
  <c r="M29" i="1"/>
  <c r="I29" i="1"/>
  <c r="J29" i="1"/>
  <c r="G29" i="1"/>
  <c r="F29" i="1"/>
  <c r="H29" i="1" s="1"/>
  <c r="E29" i="1"/>
  <c r="M17" i="1"/>
  <c r="I17" i="1"/>
  <c r="J17" i="1"/>
  <c r="G17" i="1"/>
  <c r="G167" i="1" s="1"/>
  <c r="F17" i="1"/>
  <c r="H17" i="1" s="1"/>
  <c r="E17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F161" i="4"/>
  <c r="G161" i="4"/>
  <c r="H161" i="4" s="1"/>
  <c r="F149" i="4"/>
  <c r="G149" i="4"/>
  <c r="H149" i="4" s="1"/>
  <c r="F137" i="4"/>
  <c r="G137" i="4"/>
  <c r="H137" i="4"/>
  <c r="F125" i="4"/>
  <c r="G125" i="4"/>
  <c r="H125" i="4"/>
  <c r="F113" i="4"/>
  <c r="G113" i="4"/>
  <c r="H113" i="4" s="1"/>
  <c r="F101" i="4"/>
  <c r="G101" i="4"/>
  <c r="H101" i="4" s="1"/>
  <c r="F89" i="4"/>
  <c r="G89" i="4"/>
  <c r="H89" i="4"/>
  <c r="F77" i="4"/>
  <c r="G77" i="4"/>
  <c r="H77" i="4"/>
  <c r="F65" i="4"/>
  <c r="G65" i="4"/>
  <c r="H65" i="4" s="1"/>
  <c r="F53" i="4"/>
  <c r="G53" i="4"/>
  <c r="H53" i="4" s="1"/>
  <c r="F41" i="4"/>
  <c r="G41" i="4"/>
  <c r="H41" i="4"/>
  <c r="F29" i="4"/>
  <c r="G29" i="4"/>
  <c r="H29" i="4"/>
  <c r="F17" i="4"/>
  <c r="G17" i="4"/>
  <c r="H17" i="4" s="1"/>
  <c r="B161" i="4"/>
  <c r="B149" i="4"/>
  <c r="B137" i="4"/>
  <c r="B125" i="4"/>
  <c r="B113" i="4"/>
  <c r="B101" i="4"/>
  <c r="B89" i="4"/>
  <c r="B77" i="4"/>
  <c r="B65" i="4"/>
  <c r="B53" i="4"/>
  <c r="B41" i="4"/>
  <c r="B29" i="4"/>
  <c r="B17" i="4"/>
  <c r="G149" i="5"/>
  <c r="H149" i="5" s="1"/>
  <c r="G101" i="5"/>
  <c r="H101" i="5" s="1"/>
  <c r="B161" i="5"/>
  <c r="B149" i="5"/>
  <c r="B137" i="5"/>
  <c r="B125" i="5"/>
  <c r="B113" i="5"/>
  <c r="B101" i="5"/>
  <c r="B89" i="5"/>
  <c r="B77" i="5"/>
  <c r="B65" i="5"/>
  <c r="B53" i="5"/>
  <c r="B41" i="5"/>
  <c r="B29" i="5"/>
  <c r="B17" i="5"/>
  <c r="F160" i="3"/>
  <c r="G160" i="3"/>
  <c r="F148" i="3"/>
  <c r="G148" i="3"/>
  <c r="F136" i="3"/>
  <c r="G136" i="3"/>
  <c r="F124" i="3"/>
  <c r="G124" i="3"/>
  <c r="F112" i="3"/>
  <c r="G112" i="3"/>
  <c r="F100" i="3"/>
  <c r="G100" i="3"/>
  <c r="F88" i="3"/>
  <c r="G88" i="3"/>
  <c r="F76" i="3"/>
  <c r="G76" i="3"/>
  <c r="F64" i="3"/>
  <c r="G64" i="3"/>
  <c r="F52" i="3"/>
  <c r="G52" i="3"/>
  <c r="F40" i="3"/>
  <c r="G40" i="3"/>
  <c r="F28" i="3"/>
  <c r="G28" i="3"/>
  <c r="F16" i="3"/>
  <c r="G16" i="3"/>
  <c r="B160" i="3"/>
  <c r="B148" i="3"/>
  <c r="B136" i="3"/>
  <c r="B124" i="3"/>
  <c r="B112" i="3"/>
  <c r="B100" i="3"/>
  <c r="B88" i="3"/>
  <c r="B76" i="3"/>
  <c r="B64" i="3"/>
  <c r="B52" i="3"/>
  <c r="B40" i="3"/>
  <c r="B28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O38" i="2" s="1"/>
  <c r="N17" i="2"/>
  <c r="M17" i="2"/>
  <c r="L17" i="2"/>
  <c r="K17" i="2"/>
  <c r="J17" i="2"/>
  <c r="I17" i="2"/>
  <c r="H17" i="2"/>
  <c r="G17" i="2"/>
  <c r="F17" i="2"/>
  <c r="E17" i="2"/>
  <c r="D17" i="2"/>
  <c r="C17" i="2"/>
  <c r="O17" i="2" s="1"/>
  <c r="B17" i="2"/>
  <c r="A38" i="2"/>
  <c r="A17" i="2"/>
  <c r="M160" i="1"/>
  <c r="I160" i="1"/>
  <c r="G160" i="1"/>
  <c r="F160" i="1"/>
  <c r="H160" i="1" s="1"/>
  <c r="E160" i="1"/>
  <c r="M148" i="1"/>
  <c r="I148" i="1"/>
  <c r="G148" i="1"/>
  <c r="H148" i="1" s="1"/>
  <c r="F148" i="1"/>
  <c r="J148" i="1" s="1"/>
  <c r="E148" i="1"/>
  <c r="H136" i="1"/>
  <c r="M136" i="1"/>
  <c r="I136" i="1"/>
  <c r="G136" i="1"/>
  <c r="F136" i="1"/>
  <c r="J136" i="1" s="1"/>
  <c r="E136" i="1"/>
  <c r="M124" i="1"/>
  <c r="I124" i="1"/>
  <c r="G124" i="1"/>
  <c r="F124" i="1"/>
  <c r="J124" i="1" s="1"/>
  <c r="E124" i="1"/>
  <c r="M112" i="1"/>
  <c r="I112" i="1"/>
  <c r="J112" i="1"/>
  <c r="G112" i="1"/>
  <c r="G115" i="1" s="1"/>
  <c r="F112" i="1"/>
  <c r="E112" i="1"/>
  <c r="H100" i="1"/>
  <c r="M100" i="1"/>
  <c r="I100" i="1"/>
  <c r="J100" i="1"/>
  <c r="G100" i="1"/>
  <c r="F100" i="1"/>
  <c r="E100" i="1"/>
  <c r="M88" i="1"/>
  <c r="I88" i="1"/>
  <c r="G88" i="1"/>
  <c r="F88" i="1"/>
  <c r="H88" i="1" s="1"/>
  <c r="E88" i="1"/>
  <c r="M76" i="1"/>
  <c r="I76" i="1"/>
  <c r="J76" i="1"/>
  <c r="G76" i="1"/>
  <c r="F76" i="1"/>
  <c r="H76" i="1" s="1"/>
  <c r="E76" i="1"/>
  <c r="H64" i="1"/>
  <c r="M64" i="1"/>
  <c r="I64" i="1"/>
  <c r="J64" i="1"/>
  <c r="G64" i="1"/>
  <c r="F64" i="1"/>
  <c r="E64" i="1"/>
  <c r="M52" i="1"/>
  <c r="I52" i="1"/>
  <c r="G52" i="1"/>
  <c r="F52" i="1"/>
  <c r="F55" i="1" s="1"/>
  <c r="E52" i="1"/>
  <c r="M40" i="1"/>
  <c r="I40" i="1"/>
  <c r="G40" i="1"/>
  <c r="F40" i="1"/>
  <c r="H40" i="1" s="1"/>
  <c r="E40" i="1"/>
  <c r="H28" i="1"/>
  <c r="M28" i="1"/>
  <c r="I28" i="1"/>
  <c r="J28" i="1"/>
  <c r="G28" i="1"/>
  <c r="F28" i="1"/>
  <c r="E28" i="1"/>
  <c r="M16" i="1"/>
  <c r="I16" i="1"/>
  <c r="G16" i="1"/>
  <c r="F16" i="1"/>
  <c r="H16" i="1" s="1"/>
  <c r="E16" i="1"/>
  <c r="B160" i="1"/>
  <c r="B148" i="1"/>
  <c r="B136" i="1"/>
  <c r="B124" i="1"/>
  <c r="B112" i="1"/>
  <c r="B100" i="1"/>
  <c r="B88" i="1"/>
  <c r="B76" i="1"/>
  <c r="B64" i="1"/>
  <c r="B52" i="1"/>
  <c r="B40" i="1"/>
  <c r="B28" i="1"/>
  <c r="B16" i="1"/>
  <c r="F160" i="4"/>
  <c r="G160" i="4"/>
  <c r="H160" i="4"/>
  <c r="F148" i="4"/>
  <c r="G148" i="4"/>
  <c r="H148" i="4"/>
  <c r="F136" i="4"/>
  <c r="G136" i="4"/>
  <c r="H136" i="4" s="1"/>
  <c r="F124" i="4"/>
  <c r="G124" i="4"/>
  <c r="H124" i="4"/>
  <c r="F112" i="4"/>
  <c r="G112" i="4"/>
  <c r="H112" i="4"/>
  <c r="F100" i="4"/>
  <c r="G100" i="4"/>
  <c r="H100" i="4"/>
  <c r="F88" i="4"/>
  <c r="G88" i="4"/>
  <c r="H88" i="4" s="1"/>
  <c r="F76" i="4"/>
  <c r="G76" i="4"/>
  <c r="H76" i="4"/>
  <c r="F64" i="4"/>
  <c r="G64" i="4"/>
  <c r="H64" i="4"/>
  <c r="F52" i="4"/>
  <c r="G52" i="4"/>
  <c r="H52" i="4"/>
  <c r="F40" i="4"/>
  <c r="G40" i="4"/>
  <c r="H40" i="4" s="1"/>
  <c r="F28" i="4"/>
  <c r="G28" i="4"/>
  <c r="H28" i="4"/>
  <c r="F16" i="4"/>
  <c r="G16" i="4"/>
  <c r="H16" i="4"/>
  <c r="B160" i="4"/>
  <c r="B148" i="4"/>
  <c r="B136" i="4"/>
  <c r="B124" i="4"/>
  <c r="B112" i="4"/>
  <c r="B100" i="4"/>
  <c r="B88" i="4"/>
  <c r="B76" i="4"/>
  <c r="B64" i="4"/>
  <c r="B52" i="4"/>
  <c r="B40" i="4"/>
  <c r="B28" i="4"/>
  <c r="B16" i="4"/>
  <c r="G100" i="5"/>
  <c r="H100" i="5"/>
  <c r="G148" i="5"/>
  <c r="H148" i="5"/>
  <c r="B160" i="5"/>
  <c r="B148" i="5"/>
  <c r="B136" i="5"/>
  <c r="B124" i="5"/>
  <c r="B112" i="5"/>
  <c r="B100" i="5"/>
  <c r="B88" i="5"/>
  <c r="B76" i="5"/>
  <c r="B64" i="5"/>
  <c r="B52" i="5"/>
  <c r="B40" i="5"/>
  <c r="B28" i="5"/>
  <c r="B16" i="5"/>
  <c r="G167" i="3"/>
  <c r="F159" i="3"/>
  <c r="G159" i="3"/>
  <c r="F147" i="3"/>
  <c r="G147" i="3"/>
  <c r="F135" i="3"/>
  <c r="G135" i="3"/>
  <c r="F123" i="3"/>
  <c r="G123" i="3"/>
  <c r="F111" i="3"/>
  <c r="G111" i="3"/>
  <c r="F99" i="3"/>
  <c r="G99" i="3"/>
  <c r="F87" i="3"/>
  <c r="G87" i="3"/>
  <c r="F75" i="3"/>
  <c r="G75" i="3"/>
  <c r="F63" i="3"/>
  <c r="G63" i="3"/>
  <c r="F51" i="3"/>
  <c r="G51" i="3"/>
  <c r="F39" i="3"/>
  <c r="G39" i="3"/>
  <c r="F27" i="3"/>
  <c r="G27" i="3"/>
  <c r="F15" i="3"/>
  <c r="G15" i="3"/>
  <c r="B159" i="3"/>
  <c r="B147" i="3"/>
  <c r="B135" i="3"/>
  <c r="B123" i="3"/>
  <c r="B111" i="3"/>
  <c r="B99" i="3"/>
  <c r="B87" i="3"/>
  <c r="B75" i="3"/>
  <c r="B63" i="3"/>
  <c r="B51" i="3"/>
  <c r="B39" i="3"/>
  <c r="B27" i="3"/>
  <c r="B15" i="3"/>
  <c r="N37" i="2"/>
  <c r="M37" i="2"/>
  <c r="L37" i="2"/>
  <c r="K37" i="2"/>
  <c r="J37" i="2"/>
  <c r="I37" i="2"/>
  <c r="H37" i="2"/>
  <c r="G37" i="2"/>
  <c r="F37" i="2"/>
  <c r="E37" i="2"/>
  <c r="D37" i="2"/>
  <c r="D44" i="2" s="1"/>
  <c r="C37" i="2"/>
  <c r="B37" i="2"/>
  <c r="O37" i="2" s="1"/>
  <c r="N16" i="2"/>
  <c r="M16" i="2"/>
  <c r="L16" i="2"/>
  <c r="K16" i="2"/>
  <c r="J16" i="2"/>
  <c r="I16" i="2"/>
  <c r="H16" i="2"/>
  <c r="G16" i="2"/>
  <c r="F16" i="2"/>
  <c r="O16" i="2" s="1"/>
  <c r="E16" i="2"/>
  <c r="D16" i="2"/>
  <c r="C16" i="2"/>
  <c r="B16" i="2"/>
  <c r="A37" i="2"/>
  <c r="A16" i="2"/>
  <c r="F26" i="1"/>
  <c r="F98" i="1"/>
  <c r="E167" i="1"/>
  <c r="M159" i="1"/>
  <c r="I159" i="1"/>
  <c r="J159" i="1"/>
  <c r="G159" i="1"/>
  <c r="H159" i="1" s="1"/>
  <c r="F159" i="1"/>
  <c r="E159" i="1"/>
  <c r="H147" i="1"/>
  <c r="M147" i="1"/>
  <c r="I147" i="1"/>
  <c r="J147" i="1"/>
  <c r="G147" i="1"/>
  <c r="F147" i="1"/>
  <c r="E147" i="1"/>
  <c r="M135" i="1"/>
  <c r="I135" i="1"/>
  <c r="G135" i="1"/>
  <c r="F135" i="1"/>
  <c r="J135" i="1" s="1"/>
  <c r="E135" i="1"/>
  <c r="M123" i="1"/>
  <c r="I123" i="1"/>
  <c r="F123" i="1"/>
  <c r="J123" i="1" s="1"/>
  <c r="E123" i="1"/>
  <c r="M111" i="1"/>
  <c r="I111" i="1"/>
  <c r="J111" i="1"/>
  <c r="G111" i="1"/>
  <c r="F111" i="1"/>
  <c r="H111" i="1" s="1"/>
  <c r="E111" i="1"/>
  <c r="H99" i="1"/>
  <c r="M99" i="1"/>
  <c r="I99" i="1"/>
  <c r="J99" i="1"/>
  <c r="G99" i="1"/>
  <c r="F99" i="1"/>
  <c r="E99" i="1"/>
  <c r="M87" i="1"/>
  <c r="I87" i="1"/>
  <c r="G87" i="1"/>
  <c r="F87" i="1"/>
  <c r="H87" i="1" s="1"/>
  <c r="E87" i="1"/>
  <c r="M75" i="1"/>
  <c r="I75" i="1"/>
  <c r="G75" i="1"/>
  <c r="H75" i="1" s="1"/>
  <c r="F75" i="1"/>
  <c r="J75" i="1" s="1"/>
  <c r="E75" i="1"/>
  <c r="H63" i="1"/>
  <c r="M63" i="1"/>
  <c r="I63" i="1"/>
  <c r="J63" i="1"/>
  <c r="G63" i="1"/>
  <c r="F63" i="1"/>
  <c r="E63" i="1"/>
  <c r="M51" i="1"/>
  <c r="I51" i="1"/>
  <c r="G51" i="1"/>
  <c r="F51" i="1"/>
  <c r="J51" i="1" s="1"/>
  <c r="E51" i="1"/>
  <c r="M39" i="1"/>
  <c r="I39" i="1"/>
  <c r="J39" i="1"/>
  <c r="G39" i="1"/>
  <c r="H39" i="1" s="1"/>
  <c r="F39" i="1"/>
  <c r="E39" i="1"/>
  <c r="H27" i="1"/>
  <c r="M27" i="1"/>
  <c r="I27" i="1"/>
  <c r="J27" i="1"/>
  <c r="G27" i="1"/>
  <c r="F27" i="1"/>
  <c r="E27" i="1"/>
  <c r="M15" i="1"/>
  <c r="I15" i="1"/>
  <c r="G15" i="1"/>
  <c r="F15" i="1"/>
  <c r="H15" i="1" s="1"/>
  <c r="E15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F159" i="4"/>
  <c r="G159" i="4"/>
  <c r="H159" i="4"/>
  <c r="F147" i="4"/>
  <c r="G147" i="4"/>
  <c r="H147" i="4" s="1"/>
  <c r="F135" i="4"/>
  <c r="G135" i="4"/>
  <c r="H135" i="4" s="1"/>
  <c r="F123" i="4"/>
  <c r="G123" i="4"/>
  <c r="H123" i="4"/>
  <c r="F111" i="4"/>
  <c r="G111" i="4"/>
  <c r="H111" i="4"/>
  <c r="F99" i="4"/>
  <c r="G99" i="4"/>
  <c r="H99" i="4" s="1"/>
  <c r="F87" i="4"/>
  <c r="G87" i="4"/>
  <c r="H87" i="4" s="1"/>
  <c r="F75" i="4"/>
  <c r="G75" i="4"/>
  <c r="H75" i="4"/>
  <c r="F63" i="4"/>
  <c r="G63" i="4"/>
  <c r="H63" i="4"/>
  <c r="F51" i="4"/>
  <c r="G51" i="4"/>
  <c r="H51" i="4" s="1"/>
  <c r="F39" i="4"/>
  <c r="G39" i="4"/>
  <c r="H39" i="4" s="1"/>
  <c r="F27" i="4"/>
  <c r="G27" i="4"/>
  <c r="H27" i="4"/>
  <c r="F15" i="4"/>
  <c r="G15" i="4"/>
  <c r="H15" i="4"/>
  <c r="B159" i="4"/>
  <c r="B147" i="4"/>
  <c r="B135" i="4"/>
  <c r="B123" i="4"/>
  <c r="B111" i="4"/>
  <c r="B99" i="4"/>
  <c r="B87" i="4"/>
  <c r="B75" i="4"/>
  <c r="B63" i="4"/>
  <c r="B51" i="4"/>
  <c r="B39" i="4"/>
  <c r="B27" i="4"/>
  <c r="B15" i="4"/>
  <c r="E168" i="5"/>
  <c r="G99" i="5"/>
  <c r="H99" i="5"/>
  <c r="B159" i="5"/>
  <c r="B147" i="5"/>
  <c r="B135" i="5"/>
  <c r="B123" i="5"/>
  <c r="B111" i="5"/>
  <c r="B99" i="5"/>
  <c r="B87" i="5"/>
  <c r="B75" i="5"/>
  <c r="B63" i="5"/>
  <c r="B51" i="5"/>
  <c r="B39" i="5"/>
  <c r="B27" i="5"/>
  <c r="B15" i="5"/>
  <c r="F158" i="3"/>
  <c r="G158" i="3"/>
  <c r="F146" i="3"/>
  <c r="G146" i="3"/>
  <c r="F134" i="3"/>
  <c r="G134" i="3"/>
  <c r="F122" i="3"/>
  <c r="G122" i="3"/>
  <c r="F110" i="3"/>
  <c r="G110" i="3"/>
  <c r="F98" i="3"/>
  <c r="G98" i="3"/>
  <c r="F86" i="3"/>
  <c r="G86" i="3"/>
  <c r="F74" i="3"/>
  <c r="G74" i="3"/>
  <c r="F62" i="3"/>
  <c r="G62" i="3"/>
  <c r="F50" i="3"/>
  <c r="G50" i="3"/>
  <c r="F38" i="3"/>
  <c r="G38" i="3"/>
  <c r="F26" i="3"/>
  <c r="G26" i="3"/>
  <c r="F14" i="3"/>
  <c r="G14" i="3"/>
  <c r="B158" i="3"/>
  <c r="B146" i="3"/>
  <c r="B134" i="3"/>
  <c r="B122" i="3"/>
  <c r="B110" i="3"/>
  <c r="B98" i="3"/>
  <c r="B86" i="3"/>
  <c r="B74" i="3"/>
  <c r="B62" i="3"/>
  <c r="B50" i="3"/>
  <c r="B38" i="3"/>
  <c r="B26" i="3"/>
  <c r="B14" i="3"/>
  <c r="N36" i="2"/>
  <c r="M36" i="2"/>
  <c r="L36" i="2"/>
  <c r="K36" i="2"/>
  <c r="J36" i="2"/>
  <c r="I36" i="2"/>
  <c r="H36" i="2"/>
  <c r="G36" i="2"/>
  <c r="O36" i="2" s="1"/>
  <c r="F36" i="2"/>
  <c r="E36" i="2"/>
  <c r="D36" i="2"/>
  <c r="C36" i="2"/>
  <c r="B36" i="2"/>
  <c r="N15" i="2"/>
  <c r="M15" i="2"/>
  <c r="L15" i="2"/>
  <c r="K15" i="2"/>
  <c r="J15" i="2"/>
  <c r="I15" i="2"/>
  <c r="H15" i="2"/>
  <c r="O15" i="2" s="1"/>
  <c r="G15" i="2"/>
  <c r="F15" i="2"/>
  <c r="E15" i="2"/>
  <c r="D15" i="2"/>
  <c r="C15" i="2"/>
  <c r="B15" i="2"/>
  <c r="A36" i="2"/>
  <c r="A15" i="2"/>
  <c r="G36" i="1"/>
  <c r="F95" i="1"/>
  <c r="F145" i="1"/>
  <c r="H158" i="1"/>
  <c r="M158" i="1"/>
  <c r="I158" i="1"/>
  <c r="G158" i="1"/>
  <c r="F158" i="1"/>
  <c r="J158" i="1" s="1"/>
  <c r="E158" i="1"/>
  <c r="M146" i="1"/>
  <c r="I146" i="1"/>
  <c r="G146" i="1"/>
  <c r="F146" i="1"/>
  <c r="H146" i="1" s="1"/>
  <c r="E146" i="1"/>
  <c r="M134" i="1"/>
  <c r="I134" i="1"/>
  <c r="J134" i="1"/>
  <c r="G134" i="1"/>
  <c r="F134" i="1"/>
  <c r="H134" i="1" s="1"/>
  <c r="E134" i="1"/>
  <c r="H122" i="1"/>
  <c r="M122" i="1"/>
  <c r="I122" i="1"/>
  <c r="J122" i="1"/>
  <c r="G122" i="1"/>
  <c r="F122" i="1"/>
  <c r="E122" i="1"/>
  <c r="M110" i="1"/>
  <c r="I110" i="1"/>
  <c r="G110" i="1"/>
  <c r="F110" i="1"/>
  <c r="H110" i="1" s="1"/>
  <c r="E110" i="1"/>
  <c r="M98" i="1"/>
  <c r="I98" i="1"/>
  <c r="H98" i="1"/>
  <c r="J98" i="1"/>
  <c r="E98" i="1"/>
  <c r="M86" i="1"/>
  <c r="I86" i="1"/>
  <c r="G86" i="1"/>
  <c r="F86" i="1"/>
  <c r="H86" i="1" s="1"/>
  <c r="E86" i="1"/>
  <c r="M74" i="1"/>
  <c r="I74" i="1"/>
  <c r="G74" i="1"/>
  <c r="H74" i="1" s="1"/>
  <c r="F74" i="1"/>
  <c r="J74" i="1" s="1"/>
  <c r="E74" i="1"/>
  <c r="M62" i="1"/>
  <c r="I62" i="1"/>
  <c r="J62" i="1"/>
  <c r="G62" i="1"/>
  <c r="H62" i="1" s="1"/>
  <c r="F62" i="1"/>
  <c r="E62" i="1"/>
  <c r="M50" i="1"/>
  <c r="I50" i="1"/>
  <c r="G50" i="1"/>
  <c r="F50" i="1"/>
  <c r="J50" i="1" s="1"/>
  <c r="E50" i="1"/>
  <c r="M38" i="1"/>
  <c r="I38" i="1"/>
  <c r="J38" i="1"/>
  <c r="G38" i="1"/>
  <c r="H38" i="1" s="1"/>
  <c r="F38" i="1"/>
  <c r="E38" i="1"/>
  <c r="M26" i="1"/>
  <c r="I26" i="1"/>
  <c r="G26" i="1"/>
  <c r="J26" i="1"/>
  <c r="E26" i="1"/>
  <c r="M14" i="1"/>
  <c r="I14" i="1"/>
  <c r="J14" i="1"/>
  <c r="G14" i="1"/>
  <c r="H14" i="1" s="1"/>
  <c r="F14" i="1"/>
  <c r="E14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F158" i="4"/>
  <c r="G158" i="4"/>
  <c r="H158" i="4" s="1"/>
  <c r="F146" i="4"/>
  <c r="G146" i="4"/>
  <c r="H146" i="4"/>
  <c r="F134" i="4"/>
  <c r="G134" i="4"/>
  <c r="H134" i="4"/>
  <c r="F122" i="4"/>
  <c r="G122" i="4"/>
  <c r="H122" i="4"/>
  <c r="F110" i="4"/>
  <c r="G110" i="4"/>
  <c r="H110" i="4" s="1"/>
  <c r="F98" i="4"/>
  <c r="G98" i="4"/>
  <c r="H98" i="4"/>
  <c r="F86" i="4"/>
  <c r="G86" i="4"/>
  <c r="H86" i="4"/>
  <c r="F74" i="4"/>
  <c r="G74" i="4"/>
  <c r="H74" i="4"/>
  <c r="F62" i="4"/>
  <c r="G62" i="4"/>
  <c r="H62" i="4" s="1"/>
  <c r="F50" i="4"/>
  <c r="G50" i="4"/>
  <c r="H50" i="4"/>
  <c r="F38" i="4"/>
  <c r="G38" i="4"/>
  <c r="H38" i="4"/>
  <c r="F26" i="4"/>
  <c r="G26" i="4"/>
  <c r="H26" i="4"/>
  <c r="F14" i="4"/>
  <c r="G14" i="4"/>
  <c r="H14" i="4" s="1"/>
  <c r="B158" i="4"/>
  <c r="B146" i="4"/>
  <c r="B134" i="4"/>
  <c r="B122" i="4"/>
  <c r="B110" i="4"/>
  <c r="B98" i="4"/>
  <c r="B86" i="4"/>
  <c r="B74" i="4"/>
  <c r="B62" i="4"/>
  <c r="B50" i="4"/>
  <c r="B38" i="4"/>
  <c r="B26" i="4"/>
  <c r="B14" i="4"/>
  <c r="G98" i="5"/>
  <c r="H98" i="5"/>
  <c r="B158" i="5"/>
  <c r="B146" i="5"/>
  <c r="B134" i="5"/>
  <c r="B122" i="5"/>
  <c r="B110" i="5"/>
  <c r="B98" i="5"/>
  <c r="B86" i="5"/>
  <c r="B74" i="5"/>
  <c r="B62" i="5"/>
  <c r="B50" i="5"/>
  <c r="B38" i="5"/>
  <c r="B26" i="5"/>
  <c r="B14" i="5"/>
  <c r="F167" i="3"/>
  <c r="F157" i="3"/>
  <c r="G157" i="3"/>
  <c r="F145" i="3"/>
  <c r="G145" i="3"/>
  <c r="F133" i="3"/>
  <c r="G133" i="3"/>
  <c r="F121" i="3"/>
  <c r="G121" i="3"/>
  <c r="F109" i="3"/>
  <c r="G109" i="3"/>
  <c r="F97" i="3"/>
  <c r="G97" i="3"/>
  <c r="F85" i="3"/>
  <c r="G85" i="3"/>
  <c r="F73" i="3"/>
  <c r="G73" i="3"/>
  <c r="F61" i="3"/>
  <c r="G61" i="3"/>
  <c r="F49" i="3"/>
  <c r="G49" i="3"/>
  <c r="F37" i="3"/>
  <c r="G37" i="3"/>
  <c r="F25" i="3"/>
  <c r="G25" i="3"/>
  <c r="F13" i="3"/>
  <c r="G13" i="3"/>
  <c r="B157" i="3"/>
  <c r="B145" i="3"/>
  <c r="B133" i="3"/>
  <c r="B121" i="3"/>
  <c r="B109" i="3"/>
  <c r="B97" i="3"/>
  <c r="B85" i="3"/>
  <c r="B73" i="3"/>
  <c r="B61" i="3"/>
  <c r="B49" i="3"/>
  <c r="B37" i="3"/>
  <c r="B25" i="3"/>
  <c r="B13" i="3"/>
  <c r="N35" i="2"/>
  <c r="M35" i="2"/>
  <c r="L35" i="2"/>
  <c r="K35" i="2"/>
  <c r="J35" i="2"/>
  <c r="I35" i="2"/>
  <c r="H35" i="2"/>
  <c r="G35" i="2"/>
  <c r="F35" i="2"/>
  <c r="E35" i="2"/>
  <c r="O35" i="2" s="1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4" i="2" s="1"/>
  <c r="A35" i="2"/>
  <c r="A14" i="2"/>
  <c r="G82" i="1"/>
  <c r="F72" i="1"/>
  <c r="F83" i="1"/>
  <c r="F156" i="1"/>
  <c r="H157" i="1"/>
  <c r="M157" i="1"/>
  <c r="I157" i="1"/>
  <c r="G157" i="1"/>
  <c r="F157" i="1"/>
  <c r="J157" i="1" s="1"/>
  <c r="E157" i="1"/>
  <c r="M145" i="1"/>
  <c r="I145" i="1"/>
  <c r="G145" i="1"/>
  <c r="E145" i="1"/>
  <c r="H133" i="1"/>
  <c r="M133" i="1"/>
  <c r="I133" i="1"/>
  <c r="G133" i="1"/>
  <c r="F133" i="1"/>
  <c r="J133" i="1" s="1"/>
  <c r="E133" i="1"/>
  <c r="M121" i="1"/>
  <c r="I121" i="1"/>
  <c r="G121" i="1"/>
  <c r="F121" i="1"/>
  <c r="H121" i="1" s="1"/>
  <c r="E121" i="1"/>
  <c r="M109" i="1"/>
  <c r="I109" i="1"/>
  <c r="J109" i="1"/>
  <c r="G109" i="1"/>
  <c r="F109" i="1"/>
  <c r="H109" i="1" s="1"/>
  <c r="E109" i="1"/>
  <c r="M97" i="1"/>
  <c r="I97" i="1"/>
  <c r="J97" i="1"/>
  <c r="H97" i="1"/>
  <c r="F97" i="1"/>
  <c r="E97" i="1"/>
  <c r="M85" i="1"/>
  <c r="I85" i="1"/>
  <c r="J85" i="1"/>
  <c r="G85" i="1"/>
  <c r="F85" i="1"/>
  <c r="H85" i="1" s="1"/>
  <c r="E85" i="1"/>
  <c r="M73" i="1"/>
  <c r="I73" i="1"/>
  <c r="G73" i="1"/>
  <c r="H73" i="1" s="1"/>
  <c r="E73" i="1"/>
  <c r="M61" i="1"/>
  <c r="I61" i="1"/>
  <c r="J61" i="1"/>
  <c r="G61" i="1"/>
  <c r="F61" i="1"/>
  <c r="H61" i="1" s="1"/>
  <c r="E61" i="1"/>
  <c r="H49" i="1"/>
  <c r="M49" i="1"/>
  <c r="I49" i="1"/>
  <c r="J49" i="1"/>
  <c r="G49" i="1"/>
  <c r="F49" i="1"/>
  <c r="E49" i="1"/>
  <c r="M37" i="1"/>
  <c r="I37" i="1"/>
  <c r="G37" i="1"/>
  <c r="F37" i="1"/>
  <c r="H37" i="1" s="1"/>
  <c r="E37" i="1"/>
  <c r="M25" i="1"/>
  <c r="I25" i="1"/>
  <c r="G25" i="1"/>
  <c r="H25" i="1" s="1"/>
  <c r="F25" i="1"/>
  <c r="J25" i="1" s="1"/>
  <c r="E25" i="1"/>
  <c r="M13" i="1"/>
  <c r="I13" i="1"/>
  <c r="J13" i="1"/>
  <c r="G13" i="1"/>
  <c r="H13" i="1" s="1"/>
  <c r="F13" i="1"/>
  <c r="E13" i="1"/>
  <c r="B157" i="1"/>
  <c r="B145" i="1"/>
  <c r="B133" i="1"/>
  <c r="B121" i="1"/>
  <c r="B109" i="1"/>
  <c r="B97" i="1"/>
  <c r="B85" i="1"/>
  <c r="B73" i="1"/>
  <c r="B61" i="1"/>
  <c r="B49" i="1"/>
  <c r="B37" i="1"/>
  <c r="B25" i="1"/>
  <c r="B13" i="1"/>
  <c r="F157" i="4"/>
  <c r="G157" i="4"/>
  <c r="H157" i="4" s="1"/>
  <c r="F145" i="4"/>
  <c r="G145" i="4"/>
  <c r="H145" i="4" s="1"/>
  <c r="F133" i="4"/>
  <c r="G133" i="4"/>
  <c r="H133" i="4" s="1"/>
  <c r="F121" i="4"/>
  <c r="G121" i="4"/>
  <c r="H121" i="4" s="1"/>
  <c r="F109" i="4"/>
  <c r="G109" i="4"/>
  <c r="H109" i="4" s="1"/>
  <c r="F97" i="4"/>
  <c r="G97" i="4"/>
  <c r="H97" i="4" s="1"/>
  <c r="F85" i="4"/>
  <c r="G85" i="4"/>
  <c r="H85" i="4" s="1"/>
  <c r="F73" i="4"/>
  <c r="G73" i="4"/>
  <c r="H73" i="4" s="1"/>
  <c r="F61" i="4"/>
  <c r="G61" i="4"/>
  <c r="H61" i="4" s="1"/>
  <c r="F49" i="4"/>
  <c r="G49" i="4"/>
  <c r="H49" i="4" s="1"/>
  <c r="F37" i="4"/>
  <c r="G37" i="4"/>
  <c r="H37" i="4" s="1"/>
  <c r="F25" i="4"/>
  <c r="G25" i="4"/>
  <c r="H25" i="4" s="1"/>
  <c r="G13" i="4"/>
  <c r="H13" i="4"/>
  <c r="F13" i="4"/>
  <c r="B157" i="4"/>
  <c r="B145" i="4"/>
  <c r="B133" i="4"/>
  <c r="B121" i="4"/>
  <c r="B109" i="4"/>
  <c r="B97" i="4"/>
  <c r="B85" i="4"/>
  <c r="B73" i="4"/>
  <c r="B61" i="4"/>
  <c r="B49" i="4"/>
  <c r="B37" i="4"/>
  <c r="B25" i="4"/>
  <c r="B13" i="4"/>
  <c r="G97" i="5"/>
  <c r="H97" i="5" s="1"/>
  <c r="B157" i="5"/>
  <c r="B145" i="5"/>
  <c r="B133" i="5"/>
  <c r="B121" i="5"/>
  <c r="B109" i="5"/>
  <c r="B97" i="5"/>
  <c r="B85" i="5"/>
  <c r="B73" i="5"/>
  <c r="B61" i="5"/>
  <c r="B49" i="5"/>
  <c r="B37" i="5"/>
  <c r="B25" i="5"/>
  <c r="B13" i="5"/>
  <c r="F156" i="3"/>
  <c r="G156" i="3"/>
  <c r="F144" i="3"/>
  <c r="G144" i="3"/>
  <c r="F132" i="3"/>
  <c r="G132" i="3"/>
  <c r="F120" i="3"/>
  <c r="G120" i="3"/>
  <c r="F108" i="3"/>
  <c r="G108" i="3"/>
  <c r="F96" i="3"/>
  <c r="G96" i="3"/>
  <c r="F84" i="3"/>
  <c r="G84" i="3"/>
  <c r="F72" i="3"/>
  <c r="G72" i="3"/>
  <c r="F60" i="3"/>
  <c r="G60" i="3"/>
  <c r="F48" i="3"/>
  <c r="G48" i="3"/>
  <c r="F36" i="3"/>
  <c r="G36" i="3"/>
  <c r="F24" i="3"/>
  <c r="G24" i="3"/>
  <c r="G12" i="3"/>
  <c r="F12" i="3"/>
  <c r="B156" i="3"/>
  <c r="B144" i="3"/>
  <c r="B132" i="3"/>
  <c r="B120" i="3"/>
  <c r="B108" i="3"/>
  <c r="B96" i="3"/>
  <c r="B84" i="3"/>
  <c r="B72" i="3"/>
  <c r="B60" i="3"/>
  <c r="B48" i="3"/>
  <c r="B36" i="3"/>
  <c r="B24" i="3"/>
  <c r="B12" i="3"/>
  <c r="F106" i="1"/>
  <c r="J106" i="1" s="1"/>
  <c r="F105" i="1"/>
  <c r="F143" i="1"/>
  <c r="F155" i="1"/>
  <c r="N34" i="2"/>
  <c r="M34" i="2"/>
  <c r="L34" i="2"/>
  <c r="K34" i="2"/>
  <c r="J34" i="2"/>
  <c r="I34" i="2"/>
  <c r="H34" i="2"/>
  <c r="G34" i="2"/>
  <c r="F34" i="2"/>
  <c r="F44" i="2" s="1"/>
  <c r="E34" i="2"/>
  <c r="D34" i="2"/>
  <c r="C34" i="2"/>
  <c r="B34" i="2"/>
  <c r="N13" i="2"/>
  <c r="M13" i="2"/>
  <c r="L13" i="2"/>
  <c r="K13" i="2"/>
  <c r="J13" i="2"/>
  <c r="I13" i="2"/>
  <c r="H13" i="2"/>
  <c r="G13" i="2"/>
  <c r="G23" i="2" s="1"/>
  <c r="F13" i="2"/>
  <c r="E13" i="2"/>
  <c r="D13" i="2"/>
  <c r="C13" i="2"/>
  <c r="B13" i="2"/>
  <c r="A34" i="2"/>
  <c r="A13" i="2"/>
  <c r="M156" i="1"/>
  <c r="I156" i="1"/>
  <c r="G156" i="1"/>
  <c r="H156" i="1" s="1"/>
  <c r="E156" i="1"/>
  <c r="M144" i="1"/>
  <c r="I144" i="1"/>
  <c r="G144" i="1"/>
  <c r="F144" i="1"/>
  <c r="J144" i="1" s="1"/>
  <c r="E144" i="1"/>
  <c r="M132" i="1"/>
  <c r="I132" i="1"/>
  <c r="J132" i="1"/>
  <c r="G132" i="1"/>
  <c r="H132" i="1" s="1"/>
  <c r="F132" i="1"/>
  <c r="E132" i="1"/>
  <c r="M120" i="1"/>
  <c r="I120" i="1"/>
  <c r="J120" i="1"/>
  <c r="G120" i="1"/>
  <c r="F120" i="1"/>
  <c r="H120" i="1" s="1"/>
  <c r="E120" i="1"/>
  <c r="H108" i="1"/>
  <c r="M108" i="1"/>
  <c r="I108" i="1"/>
  <c r="G108" i="1"/>
  <c r="F108" i="1"/>
  <c r="J108" i="1" s="1"/>
  <c r="E108" i="1"/>
  <c r="M96" i="1"/>
  <c r="I96" i="1"/>
  <c r="G96" i="1"/>
  <c r="J96" i="1"/>
  <c r="E96" i="1"/>
  <c r="H84" i="1"/>
  <c r="M84" i="1"/>
  <c r="I84" i="1"/>
  <c r="G84" i="1"/>
  <c r="F84" i="1"/>
  <c r="J84" i="1" s="1"/>
  <c r="E84" i="1"/>
  <c r="M72" i="1"/>
  <c r="I72" i="1"/>
  <c r="G72" i="1"/>
  <c r="J72" i="1"/>
  <c r="E72" i="1"/>
  <c r="M60" i="1"/>
  <c r="I60" i="1"/>
  <c r="J60" i="1"/>
  <c r="H60" i="1"/>
  <c r="F60" i="1"/>
  <c r="E60" i="1"/>
  <c r="M48" i="1"/>
  <c r="I48" i="1"/>
  <c r="G48" i="1"/>
  <c r="F48" i="1"/>
  <c r="H48" i="1" s="1"/>
  <c r="E48" i="1"/>
  <c r="M36" i="1"/>
  <c r="I36" i="1"/>
  <c r="F36" i="1"/>
  <c r="J36" i="1" s="1"/>
  <c r="E36" i="1"/>
  <c r="H24" i="1"/>
  <c r="M24" i="1"/>
  <c r="I24" i="1"/>
  <c r="G24" i="1"/>
  <c r="F24" i="1"/>
  <c r="J24" i="1" s="1"/>
  <c r="E24" i="1"/>
  <c r="M12" i="1"/>
  <c r="I12" i="1"/>
  <c r="E12" i="1"/>
  <c r="G12" i="1"/>
  <c r="F12" i="1"/>
  <c r="H12" i="1" s="1"/>
  <c r="B156" i="1"/>
  <c r="B144" i="1"/>
  <c r="B132" i="1"/>
  <c r="B120" i="1"/>
  <c r="B108" i="1"/>
  <c r="B96" i="1"/>
  <c r="B84" i="1"/>
  <c r="B72" i="1"/>
  <c r="B60" i="1"/>
  <c r="B48" i="1"/>
  <c r="B36" i="1"/>
  <c r="B24" i="1"/>
  <c r="B12" i="1"/>
  <c r="G156" i="4"/>
  <c r="H156" i="4"/>
  <c r="F156" i="4"/>
  <c r="G144" i="4"/>
  <c r="H144" i="4" s="1"/>
  <c r="F144" i="4"/>
  <c r="G132" i="4"/>
  <c r="H132" i="4"/>
  <c r="F132" i="4"/>
  <c r="G120" i="4"/>
  <c r="H120" i="4" s="1"/>
  <c r="F120" i="4"/>
  <c r="G108" i="4"/>
  <c r="H108" i="4" s="1"/>
  <c r="F108" i="4"/>
  <c r="G96" i="4"/>
  <c r="H96" i="4"/>
  <c r="F96" i="4"/>
  <c r="G84" i="4"/>
  <c r="H84" i="4"/>
  <c r="F84" i="4"/>
  <c r="G72" i="4"/>
  <c r="H72" i="4" s="1"/>
  <c r="F72" i="4"/>
  <c r="G60" i="4"/>
  <c r="H60" i="4"/>
  <c r="F60" i="4"/>
  <c r="G48" i="4"/>
  <c r="H48" i="4"/>
  <c r="F48" i="4"/>
  <c r="G36" i="4"/>
  <c r="H36" i="4"/>
  <c r="F36" i="4"/>
  <c r="G24" i="4"/>
  <c r="H24" i="4" s="1"/>
  <c r="F24" i="4"/>
  <c r="G12" i="4"/>
  <c r="H12" i="4"/>
  <c r="F12" i="4"/>
  <c r="B156" i="4"/>
  <c r="B144" i="4"/>
  <c r="B132" i="4"/>
  <c r="B120" i="4"/>
  <c r="B108" i="4"/>
  <c r="B96" i="4"/>
  <c r="B84" i="4"/>
  <c r="B72" i="4"/>
  <c r="B60" i="4"/>
  <c r="B48" i="4"/>
  <c r="B36" i="4"/>
  <c r="B24" i="4"/>
  <c r="B12" i="4"/>
  <c r="G96" i="5"/>
  <c r="H96" i="5" s="1"/>
  <c r="B156" i="5"/>
  <c r="B144" i="5"/>
  <c r="B132" i="5"/>
  <c r="B120" i="5"/>
  <c r="B108" i="5"/>
  <c r="B96" i="5"/>
  <c r="B84" i="5"/>
  <c r="B72" i="5"/>
  <c r="B60" i="5"/>
  <c r="B48" i="5"/>
  <c r="B36" i="5"/>
  <c r="B24" i="5"/>
  <c r="B12" i="5"/>
  <c r="G155" i="3"/>
  <c r="F155" i="3"/>
  <c r="G143" i="3"/>
  <c r="F143" i="3"/>
  <c r="G131" i="3"/>
  <c r="F131" i="3"/>
  <c r="G119" i="3"/>
  <c r="F119" i="3"/>
  <c r="G107" i="3"/>
  <c r="F107" i="3"/>
  <c r="G95" i="3"/>
  <c r="F95" i="3"/>
  <c r="G83" i="3"/>
  <c r="F83" i="3"/>
  <c r="G71" i="3"/>
  <c r="F71" i="3"/>
  <c r="G59" i="3"/>
  <c r="F59" i="3"/>
  <c r="G47" i="3"/>
  <c r="F47" i="3"/>
  <c r="G35" i="3"/>
  <c r="F35" i="3"/>
  <c r="G23" i="3"/>
  <c r="F23" i="3"/>
  <c r="G11" i="3"/>
  <c r="F11" i="3"/>
  <c r="B155" i="3"/>
  <c r="B143" i="3"/>
  <c r="B131" i="3"/>
  <c r="B119" i="3"/>
  <c r="B107" i="3"/>
  <c r="B95" i="3"/>
  <c r="B83" i="3"/>
  <c r="B71" i="3"/>
  <c r="B59" i="3"/>
  <c r="B47" i="3"/>
  <c r="B35" i="3"/>
  <c r="B23" i="3"/>
  <c r="B11" i="3"/>
  <c r="N33" i="2"/>
  <c r="M33" i="2"/>
  <c r="L33" i="2"/>
  <c r="K33" i="2"/>
  <c r="J33" i="2"/>
  <c r="I33" i="2"/>
  <c r="H33" i="2"/>
  <c r="O33" i="2" s="1"/>
  <c r="G33" i="2"/>
  <c r="F33" i="2"/>
  <c r="E33" i="2"/>
  <c r="D33" i="2"/>
  <c r="C33" i="2"/>
  <c r="B33" i="2"/>
  <c r="N12" i="2"/>
  <c r="M12" i="2"/>
  <c r="L12" i="2"/>
  <c r="K12" i="2"/>
  <c r="J12" i="2"/>
  <c r="I12" i="2"/>
  <c r="O12" i="2" s="1"/>
  <c r="H12" i="2"/>
  <c r="G12" i="2"/>
  <c r="F12" i="2"/>
  <c r="E12" i="2"/>
  <c r="D12" i="2"/>
  <c r="C12" i="2"/>
  <c r="B12" i="2"/>
  <c r="A33" i="2"/>
  <c r="A12" i="2"/>
  <c r="F82" i="1"/>
  <c r="F93" i="1"/>
  <c r="M155" i="1"/>
  <c r="I155" i="1"/>
  <c r="E155" i="1"/>
  <c r="G155" i="1"/>
  <c r="H155" i="1"/>
  <c r="M143" i="1"/>
  <c r="I143" i="1"/>
  <c r="E143" i="1"/>
  <c r="G143" i="1"/>
  <c r="H143" i="1" s="1"/>
  <c r="J143" i="1"/>
  <c r="M131" i="1"/>
  <c r="I131" i="1"/>
  <c r="E131" i="1"/>
  <c r="G131" i="1"/>
  <c r="F131" i="1"/>
  <c r="H131" i="1" s="1"/>
  <c r="M119" i="1"/>
  <c r="J119" i="1"/>
  <c r="I119" i="1"/>
  <c r="E119" i="1"/>
  <c r="G119" i="1"/>
  <c r="G127" i="1" s="1"/>
  <c r="F119" i="1"/>
  <c r="M107" i="1"/>
  <c r="I107" i="1"/>
  <c r="E107" i="1"/>
  <c r="G107" i="1"/>
  <c r="F107" i="1"/>
  <c r="J107" i="1" s="1"/>
  <c r="M95" i="1"/>
  <c r="J95" i="1"/>
  <c r="I95" i="1"/>
  <c r="E95" i="1"/>
  <c r="G95" i="1"/>
  <c r="H95" i="1" s="1"/>
  <c r="M83" i="1"/>
  <c r="I83" i="1"/>
  <c r="E83" i="1"/>
  <c r="G83" i="1"/>
  <c r="H83" i="1"/>
  <c r="M71" i="1"/>
  <c r="J71" i="1"/>
  <c r="I71" i="1"/>
  <c r="H71" i="1"/>
  <c r="E71" i="1"/>
  <c r="G35" i="1"/>
  <c r="F35" i="1"/>
  <c r="J35" i="1" s="1"/>
  <c r="G71" i="1"/>
  <c r="F71" i="1"/>
  <c r="M59" i="1"/>
  <c r="J59" i="1"/>
  <c r="I59" i="1"/>
  <c r="E59" i="1"/>
  <c r="G59" i="1"/>
  <c r="H59" i="1" s="1"/>
  <c r="F59" i="1"/>
  <c r="M47" i="1"/>
  <c r="I47" i="1"/>
  <c r="H47" i="1"/>
  <c r="E47" i="1"/>
  <c r="G47" i="1"/>
  <c r="F47" i="1"/>
  <c r="J47" i="1" s="1"/>
  <c r="M35" i="1"/>
  <c r="I35" i="1"/>
  <c r="H35" i="1"/>
  <c r="E35" i="1"/>
  <c r="M23" i="1"/>
  <c r="I23" i="1"/>
  <c r="H23" i="1"/>
  <c r="E23" i="1"/>
  <c r="G23" i="1"/>
  <c r="F23" i="1"/>
  <c r="J23" i="1" s="1"/>
  <c r="M11" i="1"/>
  <c r="J11" i="1"/>
  <c r="I11" i="1"/>
  <c r="H11" i="1"/>
  <c r="E11" i="1"/>
  <c r="G11" i="1"/>
  <c r="F11" i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G155" i="4"/>
  <c r="H155" i="4" s="1"/>
  <c r="F155" i="4"/>
  <c r="G143" i="4"/>
  <c r="H143" i="4" s="1"/>
  <c r="F143" i="4"/>
  <c r="G131" i="4"/>
  <c r="H131" i="4" s="1"/>
  <c r="F131" i="4"/>
  <c r="G119" i="4"/>
  <c r="H119" i="4" s="1"/>
  <c r="F119" i="4"/>
  <c r="G107" i="4"/>
  <c r="H107" i="4" s="1"/>
  <c r="F107" i="4"/>
  <c r="G95" i="4"/>
  <c r="H95" i="4" s="1"/>
  <c r="F95" i="4"/>
  <c r="G83" i="4"/>
  <c r="H83" i="4" s="1"/>
  <c r="F83" i="4"/>
  <c r="G71" i="4"/>
  <c r="H71" i="4" s="1"/>
  <c r="F71" i="4"/>
  <c r="G59" i="4"/>
  <c r="H59" i="4" s="1"/>
  <c r="F59" i="4"/>
  <c r="G47" i="4"/>
  <c r="H47" i="4" s="1"/>
  <c r="F47" i="4"/>
  <c r="G35" i="4"/>
  <c r="H35" i="4" s="1"/>
  <c r="F35" i="4"/>
  <c r="G23" i="4"/>
  <c r="H23" i="4" s="1"/>
  <c r="F23" i="4"/>
  <c r="G11" i="4"/>
  <c r="H11" i="4" s="1"/>
  <c r="F11" i="4"/>
  <c r="B155" i="4"/>
  <c r="B154" i="4"/>
  <c r="B143" i="4"/>
  <c r="B142" i="4"/>
  <c r="B131" i="4"/>
  <c r="B130" i="4"/>
  <c r="B119" i="4"/>
  <c r="B118" i="4"/>
  <c r="B107" i="4"/>
  <c r="B106" i="4"/>
  <c r="B95" i="4"/>
  <c r="B94" i="4"/>
  <c r="B83" i="4"/>
  <c r="B82" i="4"/>
  <c r="B71" i="4"/>
  <c r="B70" i="4"/>
  <c r="B59" i="4"/>
  <c r="B58" i="4"/>
  <c r="B47" i="4"/>
  <c r="B46" i="4"/>
  <c r="B35" i="4"/>
  <c r="B34" i="4"/>
  <c r="B23" i="4"/>
  <c r="B22" i="4"/>
  <c r="B11" i="4"/>
  <c r="B10" i="4"/>
  <c r="G95" i="5"/>
  <c r="H95" i="5"/>
  <c r="B155" i="5"/>
  <c r="B154" i="5"/>
  <c r="B143" i="5"/>
  <c r="B142" i="5"/>
  <c r="B131" i="5"/>
  <c r="B130" i="5"/>
  <c r="B119" i="5"/>
  <c r="B118" i="5"/>
  <c r="B107" i="5"/>
  <c r="B106" i="5"/>
  <c r="B95" i="5"/>
  <c r="B94" i="5"/>
  <c r="B83" i="5"/>
  <c r="B82" i="5"/>
  <c r="B71" i="5"/>
  <c r="B70" i="5"/>
  <c r="B59" i="5"/>
  <c r="B58" i="5"/>
  <c r="B47" i="5"/>
  <c r="B46" i="5"/>
  <c r="B35" i="5"/>
  <c r="B34" i="5"/>
  <c r="B23" i="5"/>
  <c r="B22" i="5"/>
  <c r="B11" i="5"/>
  <c r="B10" i="5"/>
  <c r="G154" i="3"/>
  <c r="F154" i="3"/>
  <c r="G142" i="3"/>
  <c r="F142" i="3"/>
  <c r="G130" i="3"/>
  <c r="F130" i="3"/>
  <c r="G118" i="3"/>
  <c r="F118" i="3"/>
  <c r="G106" i="3"/>
  <c r="F106" i="3"/>
  <c r="G94" i="3"/>
  <c r="F94" i="3"/>
  <c r="G82" i="3"/>
  <c r="F82" i="3"/>
  <c r="G70" i="3"/>
  <c r="F70" i="3"/>
  <c r="G58" i="3"/>
  <c r="F58" i="3"/>
  <c r="G46" i="3"/>
  <c r="F46" i="3"/>
  <c r="G34" i="3"/>
  <c r="F34" i="3"/>
  <c r="G22" i="3"/>
  <c r="F22" i="3"/>
  <c r="G10" i="3"/>
  <c r="F10" i="3"/>
  <c r="B154" i="3"/>
  <c r="B153" i="3"/>
  <c r="B142" i="3"/>
  <c r="B141" i="3"/>
  <c r="B130" i="3"/>
  <c r="B129" i="3"/>
  <c r="B118" i="3"/>
  <c r="B117" i="3"/>
  <c r="B106" i="3"/>
  <c r="B105" i="3"/>
  <c r="B94" i="3"/>
  <c r="B93" i="3"/>
  <c r="B82" i="3"/>
  <c r="B81" i="3"/>
  <c r="B70" i="3"/>
  <c r="B69" i="3"/>
  <c r="B58" i="3"/>
  <c r="B57" i="3"/>
  <c r="B46" i="3"/>
  <c r="B45" i="3"/>
  <c r="B34" i="3"/>
  <c r="B33" i="3"/>
  <c r="B22" i="3"/>
  <c r="B21" i="3"/>
  <c r="B10" i="3"/>
  <c r="B9" i="3"/>
  <c r="N32" i="2"/>
  <c r="M32" i="2"/>
  <c r="L32" i="2"/>
  <c r="K32" i="2"/>
  <c r="J32" i="2"/>
  <c r="I32" i="2"/>
  <c r="I44" i="2" s="1"/>
  <c r="H32" i="2"/>
  <c r="G32" i="2"/>
  <c r="F32" i="2"/>
  <c r="E32" i="2"/>
  <c r="D32" i="2"/>
  <c r="C32" i="2"/>
  <c r="B32" i="2"/>
  <c r="N11" i="2"/>
  <c r="M11" i="2"/>
  <c r="L11" i="2"/>
  <c r="K11" i="2"/>
  <c r="O11" i="2" s="1"/>
  <c r="J11" i="2"/>
  <c r="I11" i="2"/>
  <c r="H11" i="2"/>
  <c r="G11" i="2"/>
  <c r="F11" i="2"/>
  <c r="E11" i="2"/>
  <c r="D11" i="2"/>
  <c r="C11" i="2"/>
  <c r="B11" i="2"/>
  <c r="A32" i="2"/>
  <c r="A31" i="2"/>
  <c r="A11" i="2"/>
  <c r="A10" i="2"/>
  <c r="M154" i="1"/>
  <c r="I154" i="1"/>
  <c r="H154" i="1"/>
  <c r="E154" i="1"/>
  <c r="G154" i="1"/>
  <c r="G153" i="1"/>
  <c r="F154" i="1"/>
  <c r="J154" i="1" s="1"/>
  <c r="F153" i="1"/>
  <c r="M142" i="1"/>
  <c r="J142" i="1"/>
  <c r="I142" i="1"/>
  <c r="E142" i="1"/>
  <c r="G142" i="1"/>
  <c r="G141" i="1"/>
  <c r="H141" i="1" s="1"/>
  <c r="F142" i="1"/>
  <c r="H142" i="1" s="1"/>
  <c r="F141" i="1"/>
  <c r="F151" i="1" s="1"/>
  <c r="M130" i="1"/>
  <c r="J130" i="1"/>
  <c r="I130" i="1"/>
  <c r="H130" i="1"/>
  <c r="E130" i="1"/>
  <c r="G130" i="1"/>
  <c r="G129" i="1"/>
  <c r="F130" i="1"/>
  <c r="F129" i="1"/>
  <c r="M118" i="1"/>
  <c r="I118" i="1"/>
  <c r="E118" i="1"/>
  <c r="G118" i="1"/>
  <c r="G117" i="1"/>
  <c r="F118" i="1"/>
  <c r="J118" i="1" s="1"/>
  <c r="F117" i="1"/>
  <c r="F127" i="1" s="1"/>
  <c r="M106" i="1"/>
  <c r="I106" i="1"/>
  <c r="E106" i="1"/>
  <c r="G106" i="1"/>
  <c r="G105" i="1"/>
  <c r="M94" i="1"/>
  <c r="J94" i="1"/>
  <c r="I94" i="1"/>
  <c r="H94" i="1"/>
  <c r="E94" i="1"/>
  <c r="G94" i="1"/>
  <c r="G93" i="1"/>
  <c r="F94" i="1"/>
  <c r="J93" i="1"/>
  <c r="M82" i="1"/>
  <c r="I82" i="1"/>
  <c r="E82" i="1"/>
  <c r="G81" i="1"/>
  <c r="H82" i="1"/>
  <c r="F81" i="1"/>
  <c r="M70" i="1"/>
  <c r="I70" i="1"/>
  <c r="E70" i="1"/>
  <c r="G70" i="1"/>
  <c r="H70" i="1" s="1"/>
  <c r="G69" i="1"/>
  <c r="G79" i="1" s="1"/>
  <c r="F70" i="1"/>
  <c r="J70" i="1" s="1"/>
  <c r="F69" i="1"/>
  <c r="M58" i="1"/>
  <c r="J58" i="1"/>
  <c r="I58" i="1"/>
  <c r="H58" i="1"/>
  <c r="E58" i="1"/>
  <c r="G58" i="1"/>
  <c r="G57" i="1"/>
  <c r="F58" i="1"/>
  <c r="F57" i="1"/>
  <c r="J57" i="1" s="1"/>
  <c r="M46" i="1"/>
  <c r="I46" i="1"/>
  <c r="E46" i="1"/>
  <c r="G46" i="1"/>
  <c r="H46" i="1" s="1"/>
  <c r="G45" i="1"/>
  <c r="G55" i="1" s="1"/>
  <c r="F46" i="1"/>
  <c r="J46" i="1" s="1"/>
  <c r="F45" i="1"/>
  <c r="M34" i="1"/>
  <c r="I34" i="1"/>
  <c r="E34" i="1"/>
  <c r="G34" i="1"/>
  <c r="G33" i="1"/>
  <c r="G43" i="1" s="1"/>
  <c r="F34" i="1"/>
  <c r="J34" i="1" s="1"/>
  <c r="F33" i="1"/>
  <c r="J33" i="1" s="1"/>
  <c r="M22" i="1"/>
  <c r="I22" i="1"/>
  <c r="E22" i="1"/>
  <c r="G22" i="1"/>
  <c r="H22" i="1" s="1"/>
  <c r="G21" i="1"/>
  <c r="F22" i="1"/>
  <c r="J22" i="1" s="1"/>
  <c r="F21" i="1"/>
  <c r="M10" i="1"/>
  <c r="J10" i="1"/>
  <c r="I10" i="1"/>
  <c r="H10" i="1"/>
  <c r="E10" i="1"/>
  <c r="G10" i="1"/>
  <c r="G9" i="1"/>
  <c r="G19" i="1" s="1"/>
  <c r="F10" i="1"/>
  <c r="F9" i="1"/>
  <c r="F19" i="1" s="1"/>
  <c r="B154" i="1"/>
  <c r="B153" i="1"/>
  <c r="B142" i="1"/>
  <c r="B141" i="1"/>
  <c r="B130" i="1"/>
  <c r="B129" i="1"/>
  <c r="B118" i="1"/>
  <c r="B117" i="1"/>
  <c r="B106" i="1"/>
  <c r="B105" i="1"/>
  <c r="B94" i="1"/>
  <c r="B93" i="1"/>
  <c r="B82" i="1"/>
  <c r="B81" i="1"/>
  <c r="B70" i="1"/>
  <c r="B69" i="1"/>
  <c r="B58" i="1"/>
  <c r="B57" i="1"/>
  <c r="B46" i="1"/>
  <c r="B45" i="1"/>
  <c r="B34" i="1"/>
  <c r="B33" i="1"/>
  <c r="B22" i="1"/>
  <c r="B21" i="1"/>
  <c r="B10" i="1"/>
  <c r="B9" i="1"/>
  <c r="E164" i="5"/>
  <c r="D164" i="5"/>
  <c r="C164" i="5"/>
  <c r="E152" i="5"/>
  <c r="D152" i="5"/>
  <c r="D166" i="5" s="1"/>
  <c r="G166" i="5" s="1"/>
  <c r="H166" i="5" s="1"/>
  <c r="C152" i="5"/>
  <c r="E140" i="5"/>
  <c r="D140" i="5"/>
  <c r="C140" i="5"/>
  <c r="E128" i="5"/>
  <c r="E166" i="5" s="1"/>
  <c r="D128" i="5"/>
  <c r="C128" i="5"/>
  <c r="E116" i="5"/>
  <c r="D116" i="5"/>
  <c r="C116" i="5"/>
  <c r="E104" i="5"/>
  <c r="D104" i="5"/>
  <c r="G104" i="5" s="1"/>
  <c r="H104" i="5" s="1"/>
  <c r="C104" i="5"/>
  <c r="E92" i="5"/>
  <c r="D92" i="5"/>
  <c r="C92" i="5"/>
  <c r="E80" i="5"/>
  <c r="D80" i="5"/>
  <c r="C80" i="5"/>
  <c r="E68" i="5"/>
  <c r="D68" i="5"/>
  <c r="C68" i="5"/>
  <c r="E56" i="5"/>
  <c r="D56" i="5"/>
  <c r="C56" i="5"/>
  <c r="E44" i="5"/>
  <c r="D44" i="5"/>
  <c r="C44" i="5"/>
  <c r="E32" i="5"/>
  <c r="D32" i="5"/>
  <c r="C32" i="5"/>
  <c r="E20" i="5"/>
  <c r="D20" i="5"/>
  <c r="C20" i="5"/>
  <c r="G163" i="1"/>
  <c r="J21" i="1"/>
  <c r="J141" i="1"/>
  <c r="J153" i="1"/>
  <c r="J129" i="1"/>
  <c r="G91" i="1"/>
  <c r="J9" i="1"/>
  <c r="L55" i="1"/>
  <c r="F70" i="4"/>
  <c r="F69" i="3"/>
  <c r="M69" i="1"/>
  <c r="E69" i="1"/>
  <c r="F154" i="4"/>
  <c r="F153" i="3"/>
  <c r="G31" i="2"/>
  <c r="G10" i="2"/>
  <c r="M153" i="1"/>
  <c r="E153" i="1"/>
  <c r="E80" i="4"/>
  <c r="D80" i="4"/>
  <c r="F80" i="4" s="1"/>
  <c r="C80" i="4"/>
  <c r="G70" i="4"/>
  <c r="H70" i="4"/>
  <c r="E79" i="3"/>
  <c r="D79" i="3"/>
  <c r="C79" i="3"/>
  <c r="G69" i="3"/>
  <c r="L79" i="1"/>
  <c r="D79" i="1"/>
  <c r="C79" i="1"/>
  <c r="E79" i="1" s="1"/>
  <c r="I69" i="1"/>
  <c r="G154" i="4"/>
  <c r="H154" i="4" s="1"/>
  <c r="G153" i="3"/>
  <c r="I153" i="1"/>
  <c r="D19" i="1"/>
  <c r="D31" i="1"/>
  <c r="D43" i="1"/>
  <c r="D55" i="1"/>
  <c r="D67" i="1"/>
  <c r="D165" i="1" s="1"/>
  <c r="D91" i="1"/>
  <c r="D103" i="1"/>
  <c r="D115" i="1"/>
  <c r="D127" i="1"/>
  <c r="E127" i="1"/>
  <c r="D139" i="1"/>
  <c r="D151" i="1"/>
  <c r="D163" i="1"/>
  <c r="C163" i="1"/>
  <c r="C164" i="4"/>
  <c r="D164" i="4"/>
  <c r="G164" i="4"/>
  <c r="H164" i="4" s="1"/>
  <c r="C163" i="3"/>
  <c r="D163" i="3"/>
  <c r="F163" i="3" s="1"/>
  <c r="E20" i="4"/>
  <c r="E32" i="4"/>
  <c r="F32" i="4" s="1"/>
  <c r="E44" i="4"/>
  <c r="E56" i="4"/>
  <c r="E68" i="4"/>
  <c r="E92" i="4"/>
  <c r="E104" i="4"/>
  <c r="E116" i="4"/>
  <c r="E166" i="4" s="1"/>
  <c r="E128" i="4"/>
  <c r="E140" i="4"/>
  <c r="E152" i="4"/>
  <c r="E164" i="4"/>
  <c r="D20" i="4"/>
  <c r="G20" i="4" s="1"/>
  <c r="H20" i="4" s="1"/>
  <c r="D32" i="4"/>
  <c r="D44" i="4"/>
  <c r="D56" i="4"/>
  <c r="D68" i="4"/>
  <c r="D92" i="4"/>
  <c r="D104" i="4"/>
  <c r="D166" i="4" s="1"/>
  <c r="D116" i="4"/>
  <c r="D128" i="4"/>
  <c r="F128" i="4" s="1"/>
  <c r="D140" i="4"/>
  <c r="F140" i="4" s="1"/>
  <c r="D152" i="4"/>
  <c r="G152" i="4" s="1"/>
  <c r="H152" i="4" s="1"/>
  <c r="C20" i="4"/>
  <c r="C32" i="4"/>
  <c r="C44" i="4"/>
  <c r="C56" i="4"/>
  <c r="C68" i="4"/>
  <c r="G68" i="4" s="1"/>
  <c r="H68" i="4" s="1"/>
  <c r="C92" i="4"/>
  <c r="C104" i="4"/>
  <c r="C116" i="4"/>
  <c r="C128" i="4"/>
  <c r="G128" i="4"/>
  <c r="H128" i="4" s="1"/>
  <c r="C140" i="4"/>
  <c r="C152" i="4"/>
  <c r="F118" i="4"/>
  <c r="E19" i="3"/>
  <c r="F19" i="3" s="1"/>
  <c r="E31" i="3"/>
  <c r="E43" i="3"/>
  <c r="E55" i="3"/>
  <c r="E67" i="3"/>
  <c r="E91" i="3"/>
  <c r="E103" i="3"/>
  <c r="E115" i="3"/>
  <c r="E127" i="3"/>
  <c r="E139" i="3"/>
  <c r="E151" i="3"/>
  <c r="E163" i="3"/>
  <c r="E165" i="3" s="1"/>
  <c r="D19" i="3"/>
  <c r="D31" i="3"/>
  <c r="D43" i="3"/>
  <c r="F43" i="3"/>
  <c r="D55" i="3"/>
  <c r="F55" i="3" s="1"/>
  <c r="D67" i="3"/>
  <c r="D91" i="3"/>
  <c r="D103" i="3"/>
  <c r="D115" i="3"/>
  <c r="D127" i="3"/>
  <c r="D139" i="3"/>
  <c r="F139" i="3" s="1"/>
  <c r="D151" i="3"/>
  <c r="F151" i="3" s="1"/>
  <c r="C19" i="3"/>
  <c r="C31" i="3"/>
  <c r="G31" i="3"/>
  <c r="C43" i="3"/>
  <c r="C55" i="3"/>
  <c r="C67" i="3"/>
  <c r="C91" i="3"/>
  <c r="C103" i="3"/>
  <c r="C115" i="3"/>
  <c r="G115" i="3" s="1"/>
  <c r="C127" i="3"/>
  <c r="C139" i="3"/>
  <c r="C151" i="3"/>
  <c r="F117" i="3"/>
  <c r="M117" i="1"/>
  <c r="E117" i="1"/>
  <c r="L19" i="1"/>
  <c r="L31" i="1"/>
  <c r="L43" i="1"/>
  <c r="L67" i="1"/>
  <c r="L91" i="1"/>
  <c r="L103" i="1"/>
  <c r="M103" i="1" s="1"/>
  <c r="L115" i="1"/>
  <c r="L127" i="1"/>
  <c r="L139" i="1"/>
  <c r="L151" i="1"/>
  <c r="M151" i="1"/>
  <c r="K19" i="1"/>
  <c r="K31" i="1"/>
  <c r="M31" i="1"/>
  <c r="C19" i="1"/>
  <c r="E19" i="1" s="1"/>
  <c r="C31" i="1"/>
  <c r="C43" i="1"/>
  <c r="C55" i="1"/>
  <c r="I55" i="1" s="1"/>
  <c r="C67" i="1"/>
  <c r="C91" i="1"/>
  <c r="E91" i="1"/>
  <c r="C103" i="1"/>
  <c r="C115" i="1"/>
  <c r="E115" i="1" s="1"/>
  <c r="C127" i="1"/>
  <c r="C139" i="1"/>
  <c r="I139" i="1"/>
  <c r="C151" i="1"/>
  <c r="E151" i="1" s="1"/>
  <c r="E129" i="1"/>
  <c r="I129" i="1"/>
  <c r="M129" i="1"/>
  <c r="K127" i="1"/>
  <c r="I127" i="1"/>
  <c r="F142" i="4"/>
  <c r="K31" i="2"/>
  <c r="K10" i="2"/>
  <c r="K55" i="1"/>
  <c r="K67" i="1"/>
  <c r="K91" i="1"/>
  <c r="M91" i="1" s="1"/>
  <c r="K103" i="1"/>
  <c r="K115" i="1"/>
  <c r="M115" i="1" s="1"/>
  <c r="K151" i="1"/>
  <c r="I151" i="1" s="1"/>
  <c r="I117" i="1"/>
  <c r="G118" i="4"/>
  <c r="H118" i="4"/>
  <c r="G117" i="3"/>
  <c r="F94" i="4"/>
  <c r="F93" i="3"/>
  <c r="N31" i="2"/>
  <c r="N44" i="2" s="1"/>
  <c r="M31" i="2"/>
  <c r="L31" i="2"/>
  <c r="L44" i="2" s="1"/>
  <c r="J31" i="2"/>
  <c r="J44" i="2" s="1"/>
  <c r="I31" i="2"/>
  <c r="H31" i="2"/>
  <c r="F31" i="2"/>
  <c r="E31" i="2"/>
  <c r="C31" i="2"/>
  <c r="C44" i="2" s="1"/>
  <c r="B31" i="2"/>
  <c r="M93" i="1"/>
  <c r="E93" i="1"/>
  <c r="I10" i="2"/>
  <c r="G94" i="4"/>
  <c r="H94" i="4"/>
  <c r="G106" i="4"/>
  <c r="H106" i="4" s="1"/>
  <c r="F106" i="4"/>
  <c r="G93" i="3"/>
  <c r="I93" i="1"/>
  <c r="F10" i="4"/>
  <c r="G10" i="4"/>
  <c r="H10" i="4" s="1"/>
  <c r="I9" i="1"/>
  <c r="I21" i="1"/>
  <c r="I45" i="1"/>
  <c r="I57" i="1"/>
  <c r="I81" i="1"/>
  <c r="I105" i="1"/>
  <c r="I141" i="1"/>
  <c r="E9" i="1"/>
  <c r="M9" i="1"/>
  <c r="E21" i="1"/>
  <c r="M21" i="1"/>
  <c r="E33" i="1"/>
  <c r="E45" i="1"/>
  <c r="M45" i="1"/>
  <c r="E57" i="1"/>
  <c r="M57" i="1"/>
  <c r="E81" i="1"/>
  <c r="M81" i="1"/>
  <c r="E105" i="1"/>
  <c r="M105" i="1"/>
  <c r="E141" i="1"/>
  <c r="M141" i="1"/>
  <c r="F22" i="4"/>
  <c r="G22" i="4"/>
  <c r="H22" i="4"/>
  <c r="F34" i="4"/>
  <c r="G34" i="4"/>
  <c r="H34" i="4"/>
  <c r="F46" i="4"/>
  <c r="G46" i="4"/>
  <c r="H46" i="4" s="1"/>
  <c r="F58" i="4"/>
  <c r="G58" i="4"/>
  <c r="H58" i="4"/>
  <c r="F82" i="4"/>
  <c r="G82" i="4"/>
  <c r="H82" i="4"/>
  <c r="F130" i="4"/>
  <c r="G130" i="4"/>
  <c r="H130" i="4"/>
  <c r="G142" i="4"/>
  <c r="H142" i="4" s="1"/>
  <c r="F9" i="3"/>
  <c r="F21" i="3"/>
  <c r="G21" i="3"/>
  <c r="F33" i="3"/>
  <c r="G33" i="3"/>
  <c r="F45" i="3"/>
  <c r="G45" i="3"/>
  <c r="F57" i="3"/>
  <c r="G57" i="3"/>
  <c r="F81" i="3"/>
  <c r="G81" i="3"/>
  <c r="F105" i="3"/>
  <c r="G105" i="3"/>
  <c r="F129" i="3"/>
  <c r="G129" i="3"/>
  <c r="F141" i="3"/>
  <c r="G141" i="3"/>
  <c r="G9" i="3"/>
  <c r="B10" i="2"/>
  <c r="C10" i="2"/>
  <c r="C23" i="2" s="1"/>
  <c r="D10" i="2"/>
  <c r="E10" i="2"/>
  <c r="E23" i="2" s="1"/>
  <c r="F10" i="2"/>
  <c r="O10" i="2" s="1"/>
  <c r="H10" i="2"/>
  <c r="J10" i="2"/>
  <c r="L10" i="2"/>
  <c r="M10" i="2"/>
  <c r="N10" i="2"/>
  <c r="N23" i="2" s="1"/>
  <c r="I33" i="1"/>
  <c r="M33" i="1"/>
  <c r="K43" i="1"/>
  <c r="M43" i="1"/>
  <c r="D31" i="2"/>
  <c r="L163" i="1"/>
  <c r="L165" i="1" s="1"/>
  <c r="M163" i="1"/>
  <c r="K163" i="1"/>
  <c r="I163" i="1" s="1"/>
  <c r="K79" i="1"/>
  <c r="I79" i="1" s="1"/>
  <c r="K139" i="1"/>
  <c r="M139" i="1"/>
  <c r="H57" i="1"/>
  <c r="H81" i="1"/>
  <c r="H117" i="1"/>
  <c r="H21" i="1"/>
  <c r="H129" i="1"/>
  <c r="H33" i="1"/>
  <c r="F91" i="1"/>
  <c r="H91" i="1" s="1"/>
  <c r="J105" i="1"/>
  <c r="F67" i="1"/>
  <c r="F43" i="1"/>
  <c r="H43" i="1" s="1"/>
  <c r="F139" i="1"/>
  <c r="J139" i="1" s="1"/>
  <c r="J45" i="1"/>
  <c r="F115" i="1"/>
  <c r="H115" i="1" s="1"/>
  <c r="G151" i="1"/>
  <c r="H153" i="1"/>
  <c r="G168" i="4"/>
  <c r="H168" i="4"/>
  <c r="J117" i="1"/>
  <c r="H105" i="1"/>
  <c r="J81" i="1"/>
  <c r="I167" i="1"/>
  <c r="H69" i="1"/>
  <c r="J69" i="1"/>
  <c r="M167" i="1"/>
  <c r="F31" i="1"/>
  <c r="J31" i="1" s="1"/>
  <c r="H9" i="1"/>
  <c r="J82" i="1"/>
  <c r="H93" i="1"/>
  <c r="F168" i="4"/>
  <c r="G168" i="5"/>
  <c r="H168" i="5" s="1"/>
  <c r="J83" i="1"/>
  <c r="J155" i="1"/>
  <c r="H72" i="1"/>
  <c r="F163" i="1"/>
  <c r="F165" i="1" s="1"/>
  <c r="J156" i="1"/>
  <c r="G127" i="3"/>
  <c r="H36" i="1"/>
  <c r="H145" i="1"/>
  <c r="J145" i="1"/>
  <c r="E163" i="1"/>
  <c r="F20" i="4"/>
  <c r="F79" i="3"/>
  <c r="F31" i="3"/>
  <c r="H26" i="1"/>
  <c r="F103" i="1"/>
  <c r="H103" i="1" s="1"/>
  <c r="J91" i="1"/>
  <c r="I91" i="1"/>
  <c r="F164" i="4"/>
  <c r="G80" i="4"/>
  <c r="H80" i="4"/>
  <c r="F56" i="4"/>
  <c r="G151" i="3"/>
  <c r="G79" i="3"/>
  <c r="M79" i="1"/>
  <c r="M67" i="1"/>
  <c r="K23" i="2"/>
  <c r="G56" i="4"/>
  <c r="H56" i="4" s="1"/>
  <c r="F68" i="4"/>
  <c r="F152" i="4"/>
  <c r="G116" i="4"/>
  <c r="H116" i="4"/>
  <c r="G104" i="4"/>
  <c r="H104" i="4" s="1"/>
  <c r="F92" i="4"/>
  <c r="G92" i="4"/>
  <c r="H92" i="4" s="1"/>
  <c r="F44" i="4"/>
  <c r="G44" i="4"/>
  <c r="H44" i="4"/>
  <c r="G32" i="4"/>
  <c r="H32" i="4" s="1"/>
  <c r="C166" i="5"/>
  <c r="G67" i="3"/>
  <c r="F91" i="3"/>
  <c r="G91" i="3"/>
  <c r="G163" i="3"/>
  <c r="F127" i="3"/>
  <c r="F115" i="3"/>
  <c r="F103" i="3"/>
  <c r="G103" i="3"/>
  <c r="F67" i="3"/>
  <c r="G43" i="3"/>
  <c r="G19" i="3"/>
  <c r="L23" i="2"/>
  <c r="M19" i="1"/>
  <c r="J67" i="1"/>
  <c r="F79" i="1"/>
  <c r="H96" i="1"/>
  <c r="M127" i="1"/>
  <c r="E67" i="1"/>
  <c r="G103" i="1"/>
  <c r="E139" i="1"/>
  <c r="J103" i="1"/>
  <c r="I103" i="1"/>
  <c r="E103" i="1"/>
  <c r="I67" i="1"/>
  <c r="M55" i="1"/>
  <c r="E43" i="1"/>
  <c r="I43" i="1"/>
  <c r="I31" i="1"/>
  <c r="E31" i="1"/>
  <c r="I19" i="1"/>
  <c r="J23" i="2"/>
  <c r="M44" i="2"/>
  <c r="M23" i="2"/>
  <c r="B23" i="2"/>
  <c r="K44" i="2"/>
  <c r="O32" i="2"/>
  <c r="D23" i="2"/>
  <c r="J19" i="1" l="1"/>
  <c r="H19" i="1"/>
  <c r="H127" i="1"/>
  <c r="J127" i="1"/>
  <c r="F166" i="4"/>
  <c r="H79" i="1"/>
  <c r="H55" i="1"/>
  <c r="J55" i="1"/>
  <c r="H151" i="1"/>
  <c r="J151" i="1"/>
  <c r="C165" i="3"/>
  <c r="O34" i="2"/>
  <c r="B44" i="2"/>
  <c r="E55" i="1"/>
  <c r="F104" i="4"/>
  <c r="J131" i="1"/>
  <c r="J12" i="1"/>
  <c r="H144" i="1"/>
  <c r="H50" i="1"/>
  <c r="J15" i="1"/>
  <c r="H51" i="1"/>
  <c r="H135" i="1"/>
  <c r="J88" i="1"/>
  <c r="H124" i="1"/>
  <c r="J89" i="1"/>
  <c r="F167" i="1"/>
  <c r="O31" i="2"/>
  <c r="O44" i="2" s="1"/>
  <c r="H23" i="2"/>
  <c r="C166" i="4"/>
  <c r="G166" i="4" s="1"/>
  <c r="H166" i="4" s="1"/>
  <c r="O13" i="2"/>
  <c r="O23" i="2" s="1"/>
  <c r="G139" i="1"/>
  <c r="H139" i="1" s="1"/>
  <c r="G31" i="1"/>
  <c r="H31" i="1" s="1"/>
  <c r="H123" i="1"/>
  <c r="H149" i="1"/>
  <c r="J115" i="1"/>
  <c r="G67" i="1"/>
  <c r="H119" i="1"/>
  <c r="J121" i="1"/>
  <c r="J146" i="1"/>
  <c r="J52" i="1"/>
  <c r="J53" i="1"/>
  <c r="I115" i="1"/>
  <c r="D165" i="3"/>
  <c r="H45" i="1"/>
  <c r="E44" i="2"/>
  <c r="J43" i="1"/>
  <c r="G44" i="2"/>
  <c r="F116" i="4"/>
  <c r="G55" i="3"/>
  <c r="G140" i="4"/>
  <c r="H140" i="4" s="1"/>
  <c r="H106" i="1"/>
  <c r="H118" i="1"/>
  <c r="H112" i="1"/>
  <c r="H44" i="2"/>
  <c r="F23" i="2"/>
  <c r="K165" i="1"/>
  <c r="J79" i="1"/>
  <c r="G139" i="3"/>
  <c r="I23" i="2"/>
  <c r="J48" i="1"/>
  <c r="J37" i="1"/>
  <c r="J86" i="1"/>
  <c r="J110" i="1"/>
  <c r="J87" i="1"/>
  <c r="J16" i="1"/>
  <c r="H52" i="1"/>
  <c r="J160" i="1"/>
  <c r="J161" i="1"/>
  <c r="C165" i="1"/>
  <c r="E165" i="1" s="1"/>
  <c r="H163" i="1"/>
  <c r="H34" i="1"/>
  <c r="H107" i="1"/>
  <c r="J40" i="1"/>
  <c r="J41" i="1"/>
  <c r="J163" i="1"/>
  <c r="G165" i="3" l="1"/>
  <c r="F165" i="3"/>
  <c r="H167" i="1"/>
  <c r="J167" i="1"/>
  <c r="M165" i="1"/>
  <c r="J165" i="1"/>
  <c r="I165" i="1"/>
  <c r="G165" i="1"/>
  <c r="H165" i="1" s="1"/>
  <c r="H67" i="1"/>
</calcChain>
</file>

<file path=xl/sharedStrings.xml><?xml version="1.0" encoding="utf-8"?>
<sst xmlns="http://schemas.openxmlformats.org/spreadsheetml/2006/main" count="244" uniqueCount="78">
  <si>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</si>
  <si>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</si>
  <si>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</si>
  <si>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</si>
  <si>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</si>
  <si>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</si>
  <si>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</si>
  <si>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</si>
  <si>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</si>
  <si>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</si>
  <si>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</si>
  <si>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</si>
  <si>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</si>
  <si>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</si>
  <si>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</si>
  <si>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</si>
  <si>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</si>
  <si>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</si>
  <si>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</si>
  <si>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</si>
  <si>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</si>
  <si>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</si>
  <si>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</si>
  <si>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</si>
  <si>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</si>
  <si>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</si>
  <si>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</si>
  <si>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</si>
  <si>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</si>
  <si>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</si>
  <si>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</si>
  <si>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</si>
  <si>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</si>
  <si>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</si>
  <si>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</si>
  <si>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</si>
  <si>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</si>
  <si>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</si>
  <si>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</si>
  <si>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</si>
  <si>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</si>
  <si>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</si>
  <si>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</si>
  <si>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</si>
  <si>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</si>
  <si>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</si>
  <si>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</si>
  <si>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</si>
  <si>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</si>
  <si>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</si>
  <si>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</si>
  <si>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</si>
  <si>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</si>
  <si>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</si>
  <si>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</si>
  <si>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</si>
  <si>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</si>
  <si>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</si>
  <si>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</si>
  <si>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</si>
  <si>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</si>
  <si>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</si>
  <si>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</si>
  <si>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</si>
  <si>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</si>
  <si>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</si>
  <si>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</si>
  <si>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</si>
  <si>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</si>
  <si>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</si>
  <si>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</si>
  <si>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MARCH 31, 2021</t>
  </si>
  <si>
    <t>(as reported on the tax remittal database dtd 4/8/21)</t>
  </si>
  <si>
    <t>FOR THE MONTH ENDED:   MARCH 31, 2021</t>
  </si>
  <si>
    <t>THRU MONTH ENDED:   MARCH 31, 2021</t>
  </si>
  <si>
    <t>(as reported on the tax remittal database as of 4/8/21)</t>
  </si>
  <si>
    <t>THRU MONTH ENDED:     MARCH 31, 2021</t>
  </si>
  <si>
    <t>* All casinos closed March 16-March 31, 2020 due to Covid-19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</si>
</sst>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6" fontId="0" fillId="0" borderId="0" xfId="0" applyNumberFormat="1" applyFont="1" applyBorder="1" applyAlignment="1"/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40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t="shared" ref="E9:E17" si="0">(+C9-D9)/D9</f>
        <v>-0.31219893433253354</v>
      </c>
      <c r="F9" s="21">
        <f>+C9-87391</f>
        <v>100942</v>
      </c>
      <c r="G9" s="21">
        <f>+D9-121652</f>
        <v>152167</v>
      </c>
      <c r="H9" s="23">
        <f t="shared" ref="H9:H17" si="1">(+F9-G9)/G9</f>
        <v>-0.33663672149677659</v>
      </c>
      <c r="I9" s="24">
        <f t="shared" ref="I9:I17" si="2">K9/C9</f>
        <v>72.293304359830728</v>
      </c>
      <c r="J9" s="24">
        <f t="shared" ref="J9:J17" si="3">K9/F9</f>
        <v>134.88156456182759</v>
      </c>
      <c r="K9" s="21">
        <v>13615214.890000001</v>
      </c>
      <c r="L9" s="21">
        <v>14592883.67</v>
      </c>
      <c r="M9" s="25">
        <f t="shared" ref="M9:M17" si="4"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-0.32143717879405692</v>
      </c>
      <c r="I10" s="24">
        <f t="shared" si="2"/>
        <v>65.348464422190688</v>
      </c>
      <c r="J10" s="24">
        <f t="shared" si="3"/>
        <v>121.14698862490999</v>
      </c>
      <c r="K10" s="21">
        <v>12620487.539999999</v>
      </c>
      <c r="L10" s="21">
        <v>14502049.98</v>
      </c>
      <c r="M10" s="25">
        <f t="shared" si="4"/>
        <v>-0.12974458387572052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-0.26028871409658261</v>
      </c>
      <c r="I11" s="24">
        <f t="shared" si="2"/>
        <v>63.171506500503163</v>
      </c>
      <c r="J11" s="24">
        <f t="shared" si="3"/>
        <v>118.96064958557454</v>
      </c>
      <c r="K11" s="21">
        <v>12429246.59</v>
      </c>
      <c r="L11" s="21">
        <v>12773890.380000001</v>
      </c>
      <c r="M11" s="25">
        <f t="shared" si="4"/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63.424137332149328</v>
      </c>
      <c r="J12" s="24">
        <f t="shared" si="3"/>
        <v>118.08355687900766</v>
      </c>
      <c r="K12" s="21">
        <v>12927551.640000001</v>
      </c>
      <c r="L12" s="21">
        <v>13374556.41</v>
      </c>
      <c r="M12" s="25">
        <f t="shared" si="4"/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-0.30566996307145639</v>
      </c>
      <c r="F13" s="21">
        <f>+C13-86903</f>
        <v>102245</v>
      </c>
      <c r="G13" s="21">
        <f>+D13-124199</f>
        <v>148219</v>
      </c>
      <c r="H13" s="23">
        <f t="shared" si="1"/>
        <v>-0.31017615825231581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 x14ac:dyDescent="0.2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-0.30554463510952912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12509643.109999999</v>
      </c>
      <c r="L14" s="21">
        <v>14646594.890000001</v>
      </c>
      <c r="M14" s="25">
        <f t="shared" si="4"/>
        <v>-0.14590092755682144</v>
      </c>
      <c r="N14" s="10"/>
      <c r="R14" s="2"/>
    </row>
    <row r="15" spans="1:18" ht="15.75" x14ac:dyDescent="0.25">
      <c r="A15" s="19"/>
      <c r="B15" s="20">
        <f>DATE(2021,1,1)</f>
        <v>44197</v>
      </c>
      <c r="C15" s="21">
        <v>210729</v>
      </c>
      <c r="D15" s="22">
        <v>244941</v>
      </c>
      <c r="E15" s="23">
        <f t="shared" si="0"/>
        <v>-0.1396744522150232</v>
      </c>
      <c r="F15" s="21">
        <f>+C15-99046</f>
        <v>111683</v>
      </c>
      <c r="G15" s="21">
        <f>+D15-113581</f>
        <v>131360</v>
      </c>
      <c r="H15" s="23">
        <f t="shared" si="1"/>
        <v>-0.14979445797807553</v>
      </c>
      <c r="I15" s="24">
        <f t="shared" si="2"/>
        <v>60.759667345263345</v>
      </c>
      <c r="J15" s="24">
        <f t="shared" si="3"/>
        <v>114.64434103668418</v>
      </c>
      <c r="K15" s="21">
        <v>12803823.939999999</v>
      </c>
      <c r="L15" s="21">
        <v>12529639.529999999</v>
      </c>
      <c r="M15" s="25">
        <f t="shared" si="4"/>
        <v>2.1882864973370879E-2</v>
      </c>
      <c r="N15" s="10"/>
      <c r="R15" s="2"/>
    </row>
    <row r="16" spans="1:18" ht="15.75" x14ac:dyDescent="0.25">
      <c r="A16" s="19"/>
      <c r="B16" s="20">
        <f>DATE(2021,2,1)</f>
        <v>44228</v>
      </c>
      <c r="C16" s="21">
        <v>178806</v>
      </c>
      <c r="D16" s="22">
        <v>260941</v>
      </c>
      <c r="E16" s="23">
        <f t="shared" si="0"/>
        <v>-0.31476464028266926</v>
      </c>
      <c r="F16" s="21">
        <f>+C16-83686</f>
        <v>95120</v>
      </c>
      <c r="G16" s="21">
        <f>+D16-121501</f>
        <v>139440</v>
      </c>
      <c r="H16" s="23">
        <f t="shared" si="1"/>
        <v>-0.31784279977051061</v>
      </c>
      <c r="I16" s="24">
        <f t="shared" si="2"/>
        <v>63.481141125018176</v>
      </c>
      <c r="J16" s="24">
        <f t="shared" si="3"/>
        <v>119.33146467619848</v>
      </c>
      <c r="K16" s="21">
        <v>11350808.92</v>
      </c>
      <c r="L16" s="21">
        <v>13815297.25</v>
      </c>
      <c r="M16" s="25">
        <f t="shared" si="4"/>
        <v>-0.17838836800996086</v>
      </c>
      <c r="N16" s="10"/>
      <c r="R16" s="2"/>
    </row>
    <row r="17" spans="1:18" ht="15.75" x14ac:dyDescent="0.25">
      <c r="A17" s="19"/>
      <c r="B17" s="20">
        <f>DATE(2021,3,1)</f>
        <v>44256</v>
      </c>
      <c r="C17" s="21">
        <v>244635</v>
      </c>
      <c r="D17" s="22">
        <v>133788</v>
      </c>
      <c r="E17" s="23">
        <f t="shared" si="0"/>
        <v>0.82852722217239216</v>
      </c>
      <c r="F17" s="21">
        <f>+C17-117147</f>
        <v>127488</v>
      </c>
      <c r="G17" s="21">
        <f>+D17-60707</f>
        <v>73081</v>
      </c>
      <c r="H17" s="23">
        <f t="shared" si="1"/>
        <v>0.74447530821964669</v>
      </c>
      <c r="I17" s="24">
        <f t="shared" si="2"/>
        <v>66.822552496576535</v>
      </c>
      <c r="J17" s="24">
        <f t="shared" si="3"/>
        <v>128.2248927742219</v>
      </c>
      <c r="K17" s="21">
        <v>16347135.130000001</v>
      </c>
      <c r="L17" s="21">
        <v>7045224.6600000001</v>
      </c>
      <c r="M17" s="25">
        <f t="shared" si="4"/>
        <v>1.3203142438895625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Top="1" thickBot="1" x14ac:dyDescent="0.3">
      <c r="A19" s="26" t="s">
        <v>14</v>
      </c>
      <c r="B19" s="27"/>
      <c r="C19" s="28">
        <f>SUM(C9:C18)</f>
        <v>1801434</v>
      </c>
      <c r="D19" s="28">
        <f>SUM(D9:D18)</f>
        <v>2250112</v>
      </c>
      <c r="E19" s="279">
        <f>(+C19-D19)/D19</f>
        <v>-0.19940251863018374</v>
      </c>
      <c r="F19" s="28">
        <f>SUM(F9:F18)</f>
        <v>964561</v>
      </c>
      <c r="G19" s="28">
        <f>SUM(G9:G18)</f>
        <v>1229962</v>
      </c>
      <c r="H19" s="30">
        <f>(+F19-G19)/G19</f>
        <v>-0.2157798371006584</v>
      </c>
      <c r="I19" s="31">
        <f>K19/C19</f>
        <v>64.327298463335325</v>
      </c>
      <c r="J19" s="31">
        <f>K19/F19</f>
        <v>120.13898818218858</v>
      </c>
      <c r="K19" s="28">
        <f>SUM(K9:K18)</f>
        <v>115881382.58</v>
      </c>
      <c r="L19" s="28">
        <f>SUM(L9:L18)</f>
        <v>117248192.28</v>
      </c>
      <c r="M19" s="32">
        <f>(+K19-L19)/L19</f>
        <v>-1.1657405316202483E-2</v>
      </c>
      <c r="N19" s="10"/>
      <c r="R19" s="2"/>
    </row>
    <row r="20" spans="1:18" ht="15.75" customHeight="1" thickTop="1" x14ac:dyDescent="0.25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 x14ac:dyDescent="0.25">
      <c r="A21" s="19" t="s">
        <v>15</v>
      </c>
      <c r="B21" s="20">
        <f>DATE(2020,7,1)</f>
        <v>44013</v>
      </c>
      <c r="C21" s="21">
        <v>79471</v>
      </c>
      <c r="D21" s="21">
        <v>128877</v>
      </c>
      <c r="E21" s="23">
        <f t="shared" ref="E21:E29" si="5">(+C21-D21)/D21</f>
        <v>-0.38335777524306119</v>
      </c>
      <c r="F21" s="21">
        <f>+C21-38596</f>
        <v>40875</v>
      </c>
      <c r="G21" s="21">
        <f>+D21-61988</f>
        <v>66889</v>
      </c>
      <c r="H21" s="23">
        <f t="shared" ref="H21:H29" si="6">(+F21-G21)/G21</f>
        <v>-0.38891297522761592</v>
      </c>
      <c r="I21" s="24">
        <f t="shared" ref="I21:I29" si="7">K21/C21</f>
        <v>70.633539655975142</v>
      </c>
      <c r="J21" s="24">
        <f t="shared" ref="J21:J29" si="8">K21/F21</f>
        <v>137.32888146788991</v>
      </c>
      <c r="K21" s="21">
        <v>5613318.0300000003</v>
      </c>
      <c r="L21" s="21">
        <v>6965970.8300000001</v>
      </c>
      <c r="M21" s="25">
        <f t="shared" ref="M21:M29" si="9">(+K21-L21)/L21</f>
        <v>-0.19418008386922858</v>
      </c>
      <c r="N21" s="10"/>
      <c r="R21" s="2"/>
    </row>
    <row r="22" spans="1:18" ht="15.75" x14ac:dyDescent="0.25">
      <c r="A22" s="19"/>
      <c r="B22" s="20">
        <f>DATE(2020,8,1)</f>
        <v>44044</v>
      </c>
      <c r="C22" s="21">
        <v>88234</v>
      </c>
      <c r="D22" s="21">
        <v>130133</v>
      </c>
      <c r="E22" s="23">
        <f t="shared" si="5"/>
        <v>-0.32197059930993677</v>
      </c>
      <c r="F22" s="21">
        <f>+C22-41802</f>
        <v>46432</v>
      </c>
      <c r="G22" s="21">
        <f>+D22-62200</f>
        <v>67933</v>
      </c>
      <c r="H22" s="23">
        <f t="shared" si="6"/>
        <v>-0.31650302503937705</v>
      </c>
      <c r="I22" s="24">
        <f t="shared" si="7"/>
        <v>67.939255049074063</v>
      </c>
      <c r="J22" s="24">
        <f t="shared" si="8"/>
        <v>129.10389881977946</v>
      </c>
      <c r="K22" s="21">
        <v>5994552.2300000004</v>
      </c>
      <c r="L22" s="21">
        <v>6966409.8499999996</v>
      </c>
      <c r="M22" s="25">
        <f t="shared" si="9"/>
        <v>-0.13950623648707652</v>
      </c>
      <c r="N22" s="10"/>
      <c r="R22" s="2"/>
    </row>
    <row r="23" spans="1:18" ht="15.75" x14ac:dyDescent="0.25">
      <c r="A23" s="19"/>
      <c r="B23" s="20">
        <f>DATE(2020,9,1)</f>
        <v>44075</v>
      </c>
      <c r="C23" s="21">
        <v>90948</v>
      </c>
      <c r="D23" s="21">
        <v>118251</v>
      </c>
      <c r="E23" s="23">
        <f t="shared" si="5"/>
        <v>-0.23089022502980946</v>
      </c>
      <c r="F23" s="21">
        <f>+C23-42310</f>
        <v>48638</v>
      </c>
      <c r="G23" s="21">
        <f>+D23-55723</f>
        <v>62528</v>
      </c>
      <c r="H23" s="23">
        <f t="shared" si="6"/>
        <v>-0.22214048106448311</v>
      </c>
      <c r="I23" s="24">
        <f t="shared" si="7"/>
        <v>64.968384791309319</v>
      </c>
      <c r="J23" s="24">
        <f t="shared" si="8"/>
        <v>121.48412064640816</v>
      </c>
      <c r="K23" s="21">
        <v>5908744.6600000001</v>
      </c>
      <c r="L23" s="21">
        <v>6414760.5999999996</v>
      </c>
      <c r="M23" s="25">
        <f t="shared" si="9"/>
        <v>-7.8883059174491954E-2</v>
      </c>
      <c r="N23" s="10"/>
      <c r="R23" s="2"/>
    </row>
    <row r="24" spans="1:18" ht="15.75" x14ac:dyDescent="0.25">
      <c r="A24" s="19"/>
      <c r="B24" s="20">
        <f>DATE(2020,10,1)</f>
        <v>44105</v>
      </c>
      <c r="C24" s="21">
        <v>87099</v>
      </c>
      <c r="D24" s="21">
        <v>113052</v>
      </c>
      <c r="E24" s="23">
        <f t="shared" si="5"/>
        <v>-0.22956692495488801</v>
      </c>
      <c r="F24" s="21">
        <f>+C24-41806</f>
        <v>45293</v>
      </c>
      <c r="G24" s="21">
        <f>+D24-54189</f>
        <v>58863</v>
      </c>
      <c r="H24" s="23">
        <f t="shared" si="6"/>
        <v>-0.23053531080644887</v>
      </c>
      <c r="I24" s="24">
        <f t="shared" si="7"/>
        <v>65.65413942754796</v>
      </c>
      <c r="J24" s="24">
        <f t="shared" si="8"/>
        <v>126.25372331265316</v>
      </c>
      <c r="K24" s="21">
        <v>5718409.8899999997</v>
      </c>
      <c r="L24" s="21">
        <v>6049114.7400000002</v>
      </c>
      <c r="M24" s="25">
        <f t="shared" si="9"/>
        <v>-5.4669958202842844E-2</v>
      </c>
      <c r="N24" s="10"/>
      <c r="R24" s="2"/>
    </row>
    <row r="25" spans="1:18" ht="15.75" x14ac:dyDescent="0.25">
      <c r="A25" s="19"/>
      <c r="B25" s="20">
        <f>DATE(2020,11,1)</f>
        <v>44136</v>
      </c>
      <c r="C25" s="21">
        <v>77783</v>
      </c>
      <c r="D25" s="21">
        <v>116655</v>
      </c>
      <c r="E25" s="23">
        <f t="shared" si="5"/>
        <v>-0.3332218936179332</v>
      </c>
      <c r="F25" s="21">
        <f>+C25-37695</f>
        <v>40088</v>
      </c>
      <c r="G25" s="21">
        <f>+D25-56252</f>
        <v>60403</v>
      </c>
      <c r="H25" s="23">
        <f t="shared" si="6"/>
        <v>-0.33632435475059186</v>
      </c>
      <c r="I25" s="24">
        <f t="shared" si="7"/>
        <v>68.774152064075693</v>
      </c>
      <c r="J25" s="24">
        <f t="shared" si="8"/>
        <v>133.44292232089404</v>
      </c>
      <c r="K25" s="21">
        <v>5349459.87</v>
      </c>
      <c r="L25" s="21">
        <v>6363767.6699999999</v>
      </c>
      <c r="M25" s="25">
        <f t="shared" si="9"/>
        <v>-0.15938793692636485</v>
      </c>
      <c r="N25" s="10"/>
      <c r="R25" s="2"/>
    </row>
    <row r="26" spans="1:18" ht="15.75" x14ac:dyDescent="0.25">
      <c r="A26" s="19"/>
      <c r="B26" s="20">
        <f>DATE(2020,12,1)</f>
        <v>44166</v>
      </c>
      <c r="C26" s="21">
        <v>82439</v>
      </c>
      <c r="D26" s="21">
        <v>115489</v>
      </c>
      <c r="E26" s="23">
        <f t="shared" si="5"/>
        <v>-0.2861744408558391</v>
      </c>
      <c r="F26" s="21">
        <f>+C26-39977</f>
        <v>42462</v>
      </c>
      <c r="G26" s="21">
        <f>+D26-56066</f>
        <v>59423</v>
      </c>
      <c r="H26" s="23">
        <f t="shared" si="6"/>
        <v>-0.28542820120155493</v>
      </c>
      <c r="I26" s="24">
        <f t="shared" si="7"/>
        <v>69.924131660985708</v>
      </c>
      <c r="J26" s="24">
        <f t="shared" si="8"/>
        <v>135.7560993358768</v>
      </c>
      <c r="K26" s="21">
        <v>5764475.4900000002</v>
      </c>
      <c r="L26" s="21">
        <v>6275301.9900000002</v>
      </c>
      <c r="M26" s="25">
        <f t="shared" si="9"/>
        <v>-8.140269596810272E-2</v>
      </c>
      <c r="N26" s="10"/>
      <c r="R26" s="2"/>
    </row>
    <row r="27" spans="1:18" ht="15.75" x14ac:dyDescent="0.25">
      <c r="A27" s="19"/>
      <c r="B27" s="20">
        <f>DATE(2021,1,1)</f>
        <v>44197</v>
      </c>
      <c r="C27" s="21">
        <v>104157</v>
      </c>
      <c r="D27" s="21">
        <v>104167</v>
      </c>
      <c r="E27" s="23">
        <f t="shared" si="5"/>
        <v>-9.5999692800983032E-5</v>
      </c>
      <c r="F27" s="21">
        <f>+C27-51234</f>
        <v>52923</v>
      </c>
      <c r="G27" s="21">
        <f>+D27-50647</f>
        <v>53520</v>
      </c>
      <c r="H27" s="23">
        <f t="shared" si="6"/>
        <v>-1.1154708520179373E-2</v>
      </c>
      <c r="I27" s="24">
        <f t="shared" si="7"/>
        <v>68.087587008074351</v>
      </c>
      <c r="J27" s="24">
        <f t="shared" si="8"/>
        <v>134.00220697995201</v>
      </c>
      <c r="K27" s="21">
        <v>7091798.7999999998</v>
      </c>
      <c r="L27" s="21">
        <v>5634558.9000000004</v>
      </c>
      <c r="M27" s="25">
        <f t="shared" si="9"/>
        <v>0.25862537349640613</v>
      </c>
      <c r="N27" s="10"/>
      <c r="R27" s="2"/>
    </row>
    <row r="28" spans="1:18" ht="15.75" x14ac:dyDescent="0.25">
      <c r="A28" s="19"/>
      <c r="B28" s="20">
        <f>DATE(2021,2,1)</f>
        <v>44228</v>
      </c>
      <c r="C28" s="21">
        <v>88005</v>
      </c>
      <c r="D28" s="21">
        <v>123497</v>
      </c>
      <c r="E28" s="23">
        <f t="shared" si="5"/>
        <v>-0.28739159655700136</v>
      </c>
      <c r="F28" s="21">
        <f>+C28-42481</f>
        <v>45524</v>
      </c>
      <c r="G28" s="21">
        <f>+D28-60781</f>
        <v>62716</v>
      </c>
      <c r="H28" s="23">
        <f t="shared" si="6"/>
        <v>-0.27412462529498055</v>
      </c>
      <c r="I28" s="24">
        <f t="shared" si="7"/>
        <v>67.96963070280097</v>
      </c>
      <c r="J28" s="24">
        <f t="shared" si="8"/>
        <v>131.39590875142781</v>
      </c>
      <c r="K28" s="21">
        <v>5981667.3499999996</v>
      </c>
      <c r="L28" s="21">
        <v>6710984.5700000003</v>
      </c>
      <c r="M28" s="25">
        <f t="shared" si="9"/>
        <v>-0.10867514481559903</v>
      </c>
      <c r="N28" s="10"/>
      <c r="R28" s="2"/>
    </row>
    <row r="29" spans="1:18" ht="15.75" x14ac:dyDescent="0.25">
      <c r="A29" s="19"/>
      <c r="B29" s="20">
        <f>DATE(2021,3,1)</f>
        <v>44256</v>
      </c>
      <c r="C29" s="21">
        <v>126994</v>
      </c>
      <c r="D29" s="21">
        <v>60616</v>
      </c>
      <c r="E29" s="23">
        <f t="shared" si="5"/>
        <v>1.0950574105846642</v>
      </c>
      <c r="F29" s="21">
        <f>+C29-62056</f>
        <v>64938</v>
      </c>
      <c r="G29" s="21">
        <f>+D29-29274</f>
        <v>31342</v>
      </c>
      <c r="H29" s="23">
        <f t="shared" si="6"/>
        <v>1.0719162784761662</v>
      </c>
      <c r="I29" s="24">
        <f t="shared" si="7"/>
        <v>69.776871033277175</v>
      </c>
      <c r="J29" s="24">
        <f t="shared" si="8"/>
        <v>136.45698912809144</v>
      </c>
      <c r="K29" s="21">
        <v>8861243.9600000009</v>
      </c>
      <c r="L29" s="21">
        <v>3544071.9</v>
      </c>
      <c r="M29" s="25">
        <f t="shared" si="9"/>
        <v>1.5003002788967121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26" t="s">
        <v>14</v>
      </c>
      <c r="B31" s="27"/>
      <c r="C31" s="28">
        <f>SUM(C21:C30)</f>
        <v>825130</v>
      </c>
      <c r="D31" s="28">
        <f>SUM(D21:D30)</f>
        <v>1010737</v>
      </c>
      <c r="E31" s="279">
        <f>(+C31-D31)/D31</f>
        <v>-0.18363530770121209</v>
      </c>
      <c r="F31" s="28">
        <f>SUM(F21:F30)</f>
        <v>427173</v>
      </c>
      <c r="G31" s="28">
        <f>SUM(G21:G30)</f>
        <v>523617</v>
      </c>
      <c r="H31" s="30">
        <f>(+F31-G31)/G31</f>
        <v>-0.18418806112101022</v>
      </c>
      <c r="I31" s="31">
        <f>K31/C31</f>
        <v>68.211882103426134</v>
      </c>
      <c r="J31" s="31">
        <f>K31/F31</f>
        <v>131.75849194588611</v>
      </c>
      <c r="K31" s="28">
        <f>SUM(K21:K30)</f>
        <v>56283670.280000001</v>
      </c>
      <c r="L31" s="28">
        <f>SUM(L21:L30)</f>
        <v>54924941.050000004</v>
      </c>
      <c r="M31" s="32">
        <f>(+K31-L31)/L31</f>
        <v>2.4737927870748196E-2</v>
      </c>
      <c r="N31" s="10"/>
      <c r="R31" s="2"/>
    </row>
    <row r="32" spans="1:18" ht="15.75" customHeight="1" thickTop="1" x14ac:dyDescent="0.25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 x14ac:dyDescent="0.25">
      <c r="A33" s="19" t="s">
        <v>65</v>
      </c>
      <c r="B33" s="20">
        <f>DATE(2020,7,1)</f>
        <v>44013</v>
      </c>
      <c r="C33" s="21">
        <v>53105</v>
      </c>
      <c r="D33" s="21">
        <v>66822</v>
      </c>
      <c r="E33" s="23">
        <f t="shared" ref="E33:E41" si="10">(+C33-D33)/D33</f>
        <v>-0.20527670527670527</v>
      </c>
      <c r="F33" s="21">
        <f>+C33-28880</f>
        <v>24225</v>
      </c>
      <c r="G33" s="21">
        <f>+D33-35692</f>
        <v>31130</v>
      </c>
      <c r="H33" s="23">
        <f t="shared" ref="H33:H41" si="11">(+F33-G33)/G33</f>
        <v>-0.22181175714744619</v>
      </c>
      <c r="I33" s="24">
        <f t="shared" ref="I33:I41" si="12">K33/C33</f>
        <v>65.300001883061867</v>
      </c>
      <c r="J33" s="24">
        <f t="shared" ref="J33:J41" si="13">K33/F33</f>
        <v>143.14784726522188</v>
      </c>
      <c r="K33" s="21">
        <v>3467756.6</v>
      </c>
      <c r="L33" s="21">
        <v>3260452.77</v>
      </c>
      <c r="M33" s="25">
        <f t="shared" ref="M33:M41" si="14">(+K33-L33)/L33</f>
        <v>6.3581301317240088E-2</v>
      </c>
      <c r="N33" s="10"/>
      <c r="R33" s="2"/>
    </row>
    <row r="34" spans="1:18" ht="15.75" customHeight="1" x14ac:dyDescent="0.25">
      <c r="A34" s="19"/>
      <c r="B34" s="20">
        <f>DATE(2020,8,1)</f>
        <v>44044</v>
      </c>
      <c r="C34" s="21">
        <v>52610</v>
      </c>
      <c r="D34" s="21">
        <v>69025</v>
      </c>
      <c r="E34" s="23">
        <f t="shared" si="10"/>
        <v>-0.23781238681637087</v>
      </c>
      <c r="F34" s="21">
        <f>+C34-28661</f>
        <v>23949</v>
      </c>
      <c r="G34" s="21">
        <f>+D34-37871</f>
        <v>31154</v>
      </c>
      <c r="H34" s="23">
        <f t="shared" si="11"/>
        <v>-0.2312704628619118</v>
      </c>
      <c r="I34" s="24">
        <f t="shared" si="12"/>
        <v>62.65578787302794</v>
      </c>
      <c r="J34" s="24">
        <f t="shared" si="13"/>
        <v>137.6391916155163</v>
      </c>
      <c r="K34" s="21">
        <v>3296321</v>
      </c>
      <c r="L34" s="21">
        <v>3222586.84</v>
      </c>
      <c r="M34" s="25">
        <f t="shared" si="14"/>
        <v>2.2880426086516307E-2</v>
      </c>
      <c r="N34" s="10"/>
      <c r="R34" s="2"/>
    </row>
    <row r="35" spans="1:18" ht="15.75" customHeight="1" x14ac:dyDescent="0.25">
      <c r="A35" s="19"/>
      <c r="B35" s="20">
        <f>DATE(2020,9,1)</f>
        <v>44075</v>
      </c>
      <c r="C35" s="21">
        <v>50852</v>
      </c>
      <c r="D35" s="21">
        <v>65573</v>
      </c>
      <c r="E35" s="23">
        <f t="shared" si="10"/>
        <v>-0.22449788785018224</v>
      </c>
      <c r="F35" s="21">
        <f>+C35-27986</f>
        <v>22866</v>
      </c>
      <c r="G35" s="21">
        <f>+D35-35939</f>
        <v>29634</v>
      </c>
      <c r="H35" s="23">
        <f t="shared" si="11"/>
        <v>-0.22838631301882972</v>
      </c>
      <c r="I35" s="24">
        <f t="shared" si="12"/>
        <v>60.968254542594195</v>
      </c>
      <c r="J35" s="24">
        <f t="shared" si="13"/>
        <v>135.58810810810812</v>
      </c>
      <c r="K35" s="21">
        <v>3100357.68</v>
      </c>
      <c r="L35" s="21">
        <v>3112007.99</v>
      </c>
      <c r="M35" s="25">
        <f t="shared" si="14"/>
        <v>-3.743663267394135E-3</v>
      </c>
      <c r="N35" s="10"/>
      <c r="R35" s="2"/>
    </row>
    <row r="36" spans="1:18" ht="15.75" customHeight="1" x14ac:dyDescent="0.25">
      <c r="A36" s="19"/>
      <c r="B36" s="20">
        <f>DATE(2020,10,1)</f>
        <v>44105</v>
      </c>
      <c r="C36" s="21">
        <v>51638</v>
      </c>
      <c r="D36" s="21">
        <v>63001</v>
      </c>
      <c r="E36" s="23">
        <f t="shared" si="10"/>
        <v>-0.18036221647275441</v>
      </c>
      <c r="F36" s="21">
        <f>+C36-28439</f>
        <v>23199</v>
      </c>
      <c r="G36" s="21">
        <f>+D36-34530</f>
        <v>28471</v>
      </c>
      <c r="H36" s="23">
        <f t="shared" si="11"/>
        <v>-0.18517087562783183</v>
      </c>
      <c r="I36" s="24">
        <f t="shared" si="12"/>
        <v>65.424530965567996</v>
      </c>
      <c r="J36" s="24">
        <f t="shared" si="13"/>
        <v>145.62661881977672</v>
      </c>
      <c r="K36" s="21">
        <v>3378391.93</v>
      </c>
      <c r="L36" s="21">
        <v>3125609.18</v>
      </c>
      <c r="M36" s="25">
        <f t="shared" si="14"/>
        <v>8.0874714477259108E-2</v>
      </c>
      <c r="N36" s="10"/>
      <c r="R36" s="2"/>
    </row>
    <row r="37" spans="1:18" ht="15.75" customHeight="1" x14ac:dyDescent="0.25">
      <c r="A37" s="19"/>
      <c r="B37" s="20">
        <f>DATE(2020,11,1)</f>
        <v>44136</v>
      </c>
      <c r="C37" s="21">
        <v>45747</v>
      </c>
      <c r="D37" s="21">
        <v>64340</v>
      </c>
      <c r="E37" s="23">
        <f t="shared" si="10"/>
        <v>-0.2889804165371464</v>
      </c>
      <c r="F37" s="21">
        <f>+C37-25343</f>
        <v>20404</v>
      </c>
      <c r="G37" s="21">
        <f>+D37-35256</f>
        <v>29084</v>
      </c>
      <c r="H37" s="23">
        <f t="shared" si="11"/>
        <v>-0.29844588089671298</v>
      </c>
      <c r="I37" s="24">
        <f t="shared" si="12"/>
        <v>66.627814282903799</v>
      </c>
      <c r="J37" s="24">
        <f t="shared" si="13"/>
        <v>149.38358263085669</v>
      </c>
      <c r="K37" s="21">
        <v>3048022.62</v>
      </c>
      <c r="L37" s="21">
        <v>3209514.95</v>
      </c>
      <c r="M37" s="25">
        <f t="shared" si="14"/>
        <v>-5.0316740228924642E-2</v>
      </c>
      <c r="N37" s="10"/>
      <c r="R37" s="2"/>
    </row>
    <row r="38" spans="1:18" ht="15.75" customHeight="1" x14ac:dyDescent="0.25">
      <c r="A38" s="19"/>
      <c r="B38" s="20">
        <f>DATE(2020,12,1)</f>
        <v>44166</v>
      </c>
      <c r="C38" s="21">
        <v>50018</v>
      </c>
      <c r="D38" s="21">
        <v>68470</v>
      </c>
      <c r="E38" s="23">
        <f t="shared" si="10"/>
        <v>-0.26949028771724842</v>
      </c>
      <c r="F38" s="21">
        <f>+C38-28141</f>
        <v>21877</v>
      </c>
      <c r="G38" s="21">
        <f>+D38-38903</f>
        <v>29567</v>
      </c>
      <c r="H38" s="23">
        <f t="shared" si="11"/>
        <v>-0.26008725944465111</v>
      </c>
      <c r="I38" s="24">
        <f t="shared" si="12"/>
        <v>67.199838658083081</v>
      </c>
      <c r="J38" s="24">
        <f t="shared" si="13"/>
        <v>153.6408799195502</v>
      </c>
      <c r="K38" s="21">
        <v>3361201.53</v>
      </c>
      <c r="L38" s="21">
        <v>3422072.19</v>
      </c>
      <c r="M38" s="25">
        <f t="shared" si="14"/>
        <v>-1.7787660990284414E-2</v>
      </c>
      <c r="N38" s="10"/>
      <c r="R38" s="2"/>
    </row>
    <row r="39" spans="1:18" ht="15.75" customHeight="1" x14ac:dyDescent="0.25">
      <c r="A39" s="19"/>
      <c r="B39" s="20">
        <f>DATE(2021,1,1)</f>
        <v>44197</v>
      </c>
      <c r="C39" s="21">
        <v>63252</v>
      </c>
      <c r="D39" s="21">
        <v>64187</v>
      </c>
      <c r="E39" s="23">
        <f t="shared" si="10"/>
        <v>-1.456681259445059E-2</v>
      </c>
      <c r="F39" s="21">
        <f>+C39-35483</f>
        <v>27769</v>
      </c>
      <c r="G39" s="21">
        <f>+D39-35543</f>
        <v>28644</v>
      </c>
      <c r="H39" s="23">
        <f t="shared" si="11"/>
        <v>-3.0547409579667645E-2</v>
      </c>
      <c r="I39" s="24">
        <f t="shared" si="12"/>
        <v>64.665544014418515</v>
      </c>
      <c r="J39" s="24">
        <f t="shared" si="13"/>
        <v>147.29464474774031</v>
      </c>
      <c r="K39" s="21">
        <v>4090224.99</v>
      </c>
      <c r="L39" s="21">
        <v>3230178.48</v>
      </c>
      <c r="M39" s="25">
        <f t="shared" si="14"/>
        <v>0.26625355698611436</v>
      </c>
      <c r="N39" s="10"/>
      <c r="R39" s="2"/>
    </row>
    <row r="40" spans="1:18" ht="15.75" customHeight="1" x14ac:dyDescent="0.25">
      <c r="A40" s="19"/>
      <c r="B40" s="20">
        <f>DATE(2021,2,1)</f>
        <v>44228</v>
      </c>
      <c r="C40" s="21">
        <v>41909</v>
      </c>
      <c r="D40" s="21">
        <v>69652</v>
      </c>
      <c r="E40" s="23">
        <f t="shared" si="10"/>
        <v>-0.39830873485327056</v>
      </c>
      <c r="F40" s="21">
        <f>+C40-23822</f>
        <v>18087</v>
      </c>
      <c r="G40" s="21">
        <f>+D40-38666</f>
        <v>30986</v>
      </c>
      <c r="H40" s="23">
        <f t="shared" si="11"/>
        <v>-0.4162847737687988</v>
      </c>
      <c r="I40" s="24">
        <f t="shared" si="12"/>
        <v>72.340380825121102</v>
      </c>
      <c r="J40" s="24">
        <f t="shared" si="13"/>
        <v>167.61834577320727</v>
      </c>
      <c r="K40" s="21">
        <v>3031713.02</v>
      </c>
      <c r="L40" s="21">
        <v>3514551.72</v>
      </c>
      <c r="M40" s="25">
        <f t="shared" si="14"/>
        <v>-0.1373827271490545</v>
      </c>
      <c r="N40" s="10"/>
      <c r="R40" s="2"/>
    </row>
    <row r="41" spans="1:18" ht="15.75" customHeight="1" x14ac:dyDescent="0.25">
      <c r="A41" s="19"/>
      <c r="B41" s="20">
        <f>DATE(2021,3,1)</f>
        <v>44256</v>
      </c>
      <c r="C41" s="21">
        <v>74273</v>
      </c>
      <c r="D41" s="21">
        <v>36516</v>
      </c>
      <c r="E41" s="23">
        <f t="shared" si="10"/>
        <v>1.0339851024208566</v>
      </c>
      <c r="F41" s="21">
        <f>+C41-40831</f>
        <v>33442</v>
      </c>
      <c r="G41" s="21">
        <f>+D41-19752</f>
        <v>16764</v>
      </c>
      <c r="H41" s="23">
        <f t="shared" si="11"/>
        <v>0.99486995943688861</v>
      </c>
      <c r="I41" s="24">
        <f t="shared" si="12"/>
        <v>71.982861201244063</v>
      </c>
      <c r="J41" s="24">
        <f t="shared" si="13"/>
        <v>159.87031427546199</v>
      </c>
      <c r="K41" s="21">
        <v>5346383.05</v>
      </c>
      <c r="L41" s="21">
        <v>1906619.08</v>
      </c>
      <c r="M41" s="25">
        <f t="shared" si="14"/>
        <v>1.8041170394665302</v>
      </c>
      <c r="N41" s="10"/>
      <c r="R41" s="2"/>
    </row>
    <row r="42" spans="1:18" ht="15.75" customHeight="1" thickBot="1" x14ac:dyDescent="0.25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Top="1" thickBot="1" x14ac:dyDescent="0.3">
      <c r="A43" s="39" t="s">
        <v>14</v>
      </c>
      <c r="B43" s="40"/>
      <c r="C43" s="41">
        <f>SUM(C33:C42)</f>
        <v>483404</v>
      </c>
      <c r="D43" s="41">
        <f>SUM(D33:D42)</f>
        <v>567586</v>
      </c>
      <c r="E43" s="280">
        <f>(+C43-D43)/D43</f>
        <v>-0.14831584993287361</v>
      </c>
      <c r="F43" s="41">
        <f>SUM(F33:F42)</f>
        <v>215818</v>
      </c>
      <c r="G43" s="41">
        <f>SUM(G33:G42)</f>
        <v>255434</v>
      </c>
      <c r="H43" s="42">
        <f>(+F43-G43)/G43</f>
        <v>-0.15509290071016388</v>
      </c>
      <c r="I43" s="43">
        <f>K43/C43</f>
        <v>66.44622804114158</v>
      </c>
      <c r="J43" s="43">
        <f>K43/F43</f>
        <v>148.83083162664838</v>
      </c>
      <c r="K43" s="41">
        <f>SUM(K33:K42)</f>
        <v>32120372.420000002</v>
      </c>
      <c r="L43" s="41">
        <f>SUM(L33:L42)</f>
        <v>28003593.200000003</v>
      </c>
      <c r="M43" s="44">
        <f>(+K43-L43)/L43</f>
        <v>0.14700896383539805</v>
      </c>
      <c r="N43" s="10"/>
      <c r="R43" s="2"/>
    </row>
    <row r="44" spans="1:18" ht="15.75" customHeight="1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 x14ac:dyDescent="0.25">
      <c r="A45" s="177" t="s">
        <v>59</v>
      </c>
      <c r="B45" s="20">
        <f>DATE(2020,7,1)</f>
        <v>44013</v>
      </c>
      <c r="C45" s="21">
        <v>226236</v>
      </c>
      <c r="D45" s="21">
        <v>438217</v>
      </c>
      <c r="E45" s="23">
        <f t="shared" ref="E45:E53" si="15">(+C45-D45)/D45</f>
        <v>-0.4837352270678682</v>
      </c>
      <c r="F45" s="21">
        <f>+C45-121061</f>
        <v>105175</v>
      </c>
      <c r="G45" s="21">
        <f>+D45-221917</f>
        <v>216300</v>
      </c>
      <c r="H45" s="23">
        <f t="shared" ref="H45:H53" si="16">(+F45-G45)/G45</f>
        <v>-0.5137540453074434</v>
      </c>
      <c r="I45" s="24">
        <f t="shared" ref="I45:I53" si="17">K45/C45</f>
        <v>64.441251392351347</v>
      </c>
      <c r="J45" s="24">
        <f t="shared" ref="J45:J53" si="18">K45/F45</f>
        <v>138.615934870454</v>
      </c>
      <c r="K45" s="21">
        <v>14578930.949999999</v>
      </c>
      <c r="L45" s="21">
        <v>20447051.25</v>
      </c>
      <c r="M45" s="25">
        <f t="shared" ref="M45:M53" si="19">(+K45-L45)/L45</f>
        <v>-0.2869910300635648</v>
      </c>
      <c r="N45" s="10"/>
      <c r="R45" s="2"/>
    </row>
    <row r="46" spans="1:18" ht="15.75" customHeight="1" x14ac:dyDescent="0.25">
      <c r="A46" s="177"/>
      <c r="B46" s="20">
        <f>DATE(2020,8,1)</f>
        <v>44044</v>
      </c>
      <c r="C46" s="21">
        <v>248866</v>
      </c>
      <c r="D46" s="21">
        <v>437029</v>
      </c>
      <c r="E46" s="23">
        <f t="shared" si="15"/>
        <v>-0.43055037537554713</v>
      </c>
      <c r="F46" s="21">
        <f>+C46-132898</f>
        <v>115968</v>
      </c>
      <c r="G46" s="21">
        <f>+D46-215022</f>
        <v>222007</v>
      </c>
      <c r="H46" s="23">
        <f t="shared" si="16"/>
        <v>-0.47763809249257905</v>
      </c>
      <c r="I46" s="24">
        <f t="shared" si="17"/>
        <v>60.671518688772274</v>
      </c>
      <c r="J46" s="24">
        <f t="shared" si="18"/>
        <v>130.20038433016003</v>
      </c>
      <c r="K46" s="21">
        <v>15099078.17</v>
      </c>
      <c r="L46" s="21">
        <v>21337482.579999998</v>
      </c>
      <c r="M46" s="25">
        <f t="shared" si="19"/>
        <v>-0.292368342263926</v>
      </c>
      <c r="N46" s="10"/>
      <c r="R46" s="2"/>
    </row>
    <row r="47" spans="1:18" ht="15.75" customHeight="1" x14ac:dyDescent="0.25">
      <c r="A47" s="177"/>
      <c r="B47" s="20">
        <f>DATE(2020,9,1)</f>
        <v>44075</v>
      </c>
      <c r="C47" s="21">
        <v>249571</v>
      </c>
      <c r="D47" s="21">
        <v>403849</v>
      </c>
      <c r="E47" s="23">
        <f t="shared" si="15"/>
        <v>-0.38201902196117854</v>
      </c>
      <c r="F47" s="21">
        <f>+C47-130815</f>
        <v>118756</v>
      </c>
      <c r="G47" s="21">
        <f>+D47-198275</f>
        <v>205574</v>
      </c>
      <c r="H47" s="23">
        <f t="shared" si="16"/>
        <v>-0.42231994318347649</v>
      </c>
      <c r="I47" s="24">
        <f t="shared" si="17"/>
        <v>59.832789787274962</v>
      </c>
      <c r="J47" s="24">
        <f t="shared" si="18"/>
        <v>125.74126090471218</v>
      </c>
      <c r="K47" s="21">
        <v>14932529.18</v>
      </c>
      <c r="L47" s="21">
        <v>18931793.91</v>
      </c>
      <c r="M47" s="25">
        <f t="shared" si="19"/>
        <v>-0.21124594684540385</v>
      </c>
      <c r="N47" s="10"/>
      <c r="R47" s="2"/>
    </row>
    <row r="48" spans="1:18" ht="15.75" customHeight="1" x14ac:dyDescent="0.25">
      <c r="A48" s="177"/>
      <c r="B48" s="20">
        <f>DATE(2020,10,1)</f>
        <v>44105</v>
      </c>
      <c r="C48" s="21">
        <v>272084</v>
      </c>
      <c r="D48" s="21">
        <v>396586</v>
      </c>
      <c r="E48" s="23">
        <f t="shared" si="15"/>
        <v>-0.3139344303631495</v>
      </c>
      <c r="F48" s="21">
        <f>+C48-143559</f>
        <v>128525</v>
      </c>
      <c r="G48" s="21">
        <f>+D48-195500</f>
        <v>201086</v>
      </c>
      <c r="H48" s="23">
        <f t="shared" si="16"/>
        <v>-0.36084560834667756</v>
      </c>
      <c r="I48" s="24">
        <f t="shared" si="17"/>
        <v>58.308031490275063</v>
      </c>
      <c r="J48" s="24">
        <f t="shared" si="18"/>
        <v>123.43654884263762</v>
      </c>
      <c r="K48" s="21">
        <v>15864682.439999999</v>
      </c>
      <c r="L48" s="21">
        <v>19033251.550000001</v>
      </c>
      <c r="M48" s="25">
        <f t="shared" si="19"/>
        <v>-0.16647544964538658</v>
      </c>
      <c r="N48" s="10"/>
      <c r="R48" s="2"/>
    </row>
    <row r="49" spans="1:18" ht="15.75" customHeight="1" x14ac:dyDescent="0.25">
      <c r="A49" s="177"/>
      <c r="B49" s="20">
        <f>DATE(2020,11,1)</f>
        <v>44136</v>
      </c>
      <c r="C49" s="21">
        <v>232899</v>
      </c>
      <c r="D49" s="21">
        <v>419787</v>
      </c>
      <c r="E49" s="23">
        <f t="shared" si="15"/>
        <v>-0.44519720715505723</v>
      </c>
      <c r="F49" s="21">
        <f>+C49-123557</f>
        <v>109342</v>
      </c>
      <c r="G49" s="21">
        <f>+D49-213343</f>
        <v>206444</v>
      </c>
      <c r="H49" s="23">
        <f t="shared" si="16"/>
        <v>-0.47035515684640872</v>
      </c>
      <c r="I49" s="24">
        <f t="shared" si="17"/>
        <v>58.263514184260124</v>
      </c>
      <c r="J49" s="24">
        <f t="shared" si="18"/>
        <v>124.10157295458286</v>
      </c>
      <c r="K49" s="21">
        <v>13569514.189999999</v>
      </c>
      <c r="L49" s="21">
        <v>20240058.129999999</v>
      </c>
      <c r="M49" s="25">
        <f t="shared" si="19"/>
        <v>-0.32957138251064894</v>
      </c>
      <c r="N49" s="10"/>
      <c r="R49" s="2"/>
    </row>
    <row r="50" spans="1:18" ht="15.75" customHeight="1" x14ac:dyDescent="0.25">
      <c r="A50" s="177"/>
      <c r="B50" s="20">
        <f>DATE(2020,12,1)</f>
        <v>44166</v>
      </c>
      <c r="C50" s="21">
        <v>226657</v>
      </c>
      <c r="D50" s="21">
        <v>398020</v>
      </c>
      <c r="E50" s="23">
        <f t="shared" si="15"/>
        <v>-0.43053866639867344</v>
      </c>
      <c r="F50" s="21">
        <f>+C50-116839</f>
        <v>109818</v>
      </c>
      <c r="G50" s="21">
        <f>+D50-203674</f>
        <v>194346</v>
      </c>
      <c r="H50" s="23">
        <f t="shared" si="16"/>
        <v>-0.43493563026766696</v>
      </c>
      <c r="I50" s="24">
        <f t="shared" si="17"/>
        <v>64.91430231583405</v>
      </c>
      <c r="J50" s="24">
        <f t="shared" si="18"/>
        <v>133.9787741535996</v>
      </c>
      <c r="K50" s="21">
        <v>14713281.02</v>
      </c>
      <c r="L50" s="21">
        <v>19602359.640000001</v>
      </c>
      <c r="M50" s="25">
        <f t="shared" si="19"/>
        <v>-0.24941275998342008</v>
      </c>
      <c r="N50" s="10"/>
      <c r="R50" s="2"/>
    </row>
    <row r="51" spans="1:18" ht="15.75" customHeight="1" x14ac:dyDescent="0.25">
      <c r="A51" s="177"/>
      <c r="B51" s="20">
        <f>DATE(2021,1,1)</f>
        <v>44197</v>
      </c>
      <c r="C51" s="21">
        <v>237906</v>
      </c>
      <c r="D51" s="21">
        <v>392807</v>
      </c>
      <c r="E51" s="23">
        <f t="shared" si="15"/>
        <v>-0.39434378715246926</v>
      </c>
      <c r="F51" s="21">
        <f>+C51-125011</f>
        <v>112895</v>
      </c>
      <c r="G51" s="21">
        <f>+D51-203293</f>
        <v>189514</v>
      </c>
      <c r="H51" s="23">
        <f t="shared" si="16"/>
        <v>-0.40429203119558449</v>
      </c>
      <c r="I51" s="24">
        <f t="shared" si="17"/>
        <v>61.053592679461637</v>
      </c>
      <c r="J51" s="24">
        <f t="shared" si="18"/>
        <v>128.65951565614066</v>
      </c>
      <c r="K51" s="21">
        <v>14525016.02</v>
      </c>
      <c r="L51" s="21">
        <v>19127515.219999999</v>
      </c>
      <c r="M51" s="25">
        <f t="shared" si="19"/>
        <v>-0.24062190760604185</v>
      </c>
      <c r="N51" s="10"/>
      <c r="R51" s="2"/>
    </row>
    <row r="52" spans="1:18" ht="15.75" customHeight="1" x14ac:dyDescent="0.25">
      <c r="A52" s="177"/>
      <c r="B52" s="20">
        <f>DATE(2021,2,1)</f>
        <v>44228</v>
      </c>
      <c r="C52" s="21">
        <v>199774</v>
      </c>
      <c r="D52" s="21">
        <v>433656</v>
      </c>
      <c r="E52" s="23">
        <f t="shared" si="15"/>
        <v>-0.53932610179497109</v>
      </c>
      <c r="F52" s="21">
        <f>+C52-106979</f>
        <v>92795</v>
      </c>
      <c r="G52" s="21">
        <f>+D52-224157</f>
        <v>209499</v>
      </c>
      <c r="H52" s="23">
        <f t="shared" si="16"/>
        <v>-0.55706232487983232</v>
      </c>
      <c r="I52" s="24">
        <f t="shared" si="17"/>
        <v>59.775344138876932</v>
      </c>
      <c r="J52" s="24">
        <f t="shared" si="18"/>
        <v>128.6875327334447</v>
      </c>
      <c r="K52" s="21">
        <v>11941559.6</v>
      </c>
      <c r="L52" s="21">
        <v>20615850.09</v>
      </c>
      <c r="M52" s="25">
        <f t="shared" si="19"/>
        <v>-0.4207583219771075</v>
      </c>
      <c r="N52" s="10"/>
      <c r="R52" s="2"/>
    </row>
    <row r="53" spans="1:18" ht="15.75" customHeight="1" x14ac:dyDescent="0.25">
      <c r="A53" s="177"/>
      <c r="B53" s="20">
        <f>DATE(2021,3,1)</f>
        <v>44256</v>
      </c>
      <c r="C53" s="21">
        <v>270587</v>
      </c>
      <c r="D53" s="21">
        <v>188413</v>
      </c>
      <c r="E53" s="23">
        <f t="shared" si="15"/>
        <v>0.43613763381507648</v>
      </c>
      <c r="F53" s="21">
        <f>+C53-144521</f>
        <v>126066</v>
      </c>
      <c r="G53" s="21">
        <f>+D53-94334</f>
        <v>94079</v>
      </c>
      <c r="H53" s="23">
        <f t="shared" si="16"/>
        <v>0.34000148811105563</v>
      </c>
      <c r="I53" s="24">
        <f t="shared" si="17"/>
        <v>64.945731834862713</v>
      </c>
      <c r="J53" s="24">
        <f t="shared" si="18"/>
        <v>139.39897149112369</v>
      </c>
      <c r="K53" s="21">
        <v>17573470.739999998</v>
      </c>
      <c r="L53" s="21">
        <v>9518141.2899999991</v>
      </c>
      <c r="M53" s="25">
        <f t="shared" si="19"/>
        <v>0.8463132879171622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SUM(C45:C54)</f>
        <v>2164580</v>
      </c>
      <c r="D55" s="41">
        <f>SUM(D45:D54)</f>
        <v>3508364</v>
      </c>
      <c r="E55" s="280">
        <f>(+C55-D55)/D55</f>
        <v>-0.38302297025052134</v>
      </c>
      <c r="F55" s="41">
        <f>SUM(F45:F54)</f>
        <v>1019340</v>
      </c>
      <c r="G55" s="41">
        <f>SUM(G45:G54)</f>
        <v>1738849</v>
      </c>
      <c r="H55" s="42">
        <f>(+F55-G55)/G55</f>
        <v>-0.41378463569867191</v>
      </c>
      <c r="I55" s="43">
        <f>K55/C55</f>
        <v>61.350498623289496</v>
      </c>
      <c r="J55" s="43">
        <f>K55/F55</f>
        <v>130.27847657307666</v>
      </c>
      <c r="K55" s="41">
        <f>SUM(K45:K54)</f>
        <v>132798062.30999997</v>
      </c>
      <c r="L55" s="41">
        <f>SUM(L45:L54)</f>
        <v>168853503.65999997</v>
      </c>
      <c r="M55" s="44">
        <f>(+K55-L55)/L55</f>
        <v>-0.21353090441404465</v>
      </c>
      <c r="N55" s="10"/>
      <c r="R55" s="2"/>
    </row>
    <row r="56" spans="1:18" ht="15.75" thickTop="1" x14ac:dyDescent="0.2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63</v>
      </c>
      <c r="B57" s="20">
        <f>DATE(2020,7,1)</f>
        <v>44013</v>
      </c>
      <c r="C57" s="21">
        <v>260785</v>
      </c>
      <c r="D57" s="21">
        <v>288759</v>
      </c>
      <c r="E57" s="23">
        <f t="shared" ref="E57:E65" si="20">(+C57-D57)/D57</f>
        <v>-9.6876634148199706E-2</v>
      </c>
      <c r="F57" s="21">
        <f>+C57-121006</f>
        <v>139779</v>
      </c>
      <c r="G57" s="21">
        <f>+D57-131177</f>
        <v>157582</v>
      </c>
      <c r="H57" s="23">
        <f t="shared" ref="H57:H65" si="21">(+F57-G57)/G57</f>
        <v>-0.11297610133137033</v>
      </c>
      <c r="I57" s="24">
        <f t="shared" ref="I57:I65" si="22">K57/C57</f>
        <v>60.581983204555478</v>
      </c>
      <c r="J57" s="24">
        <f t="shared" ref="J57:J65" si="23">K57/F57</f>
        <v>113.02751121413088</v>
      </c>
      <c r="K57" s="21">
        <v>15798872.49</v>
      </c>
      <c r="L57" s="21">
        <v>14077474.74</v>
      </c>
      <c r="M57" s="25">
        <f t="shared" ref="M57:M65" si="24">(+K57-L57)/L57</f>
        <v>0.12228029400108162</v>
      </c>
      <c r="N57" s="10"/>
      <c r="R57" s="2"/>
    </row>
    <row r="58" spans="1:18" ht="15.75" x14ac:dyDescent="0.25">
      <c r="A58" s="19"/>
      <c r="B58" s="20">
        <f>DATE(2020,8,1)</f>
        <v>44044</v>
      </c>
      <c r="C58" s="21">
        <v>267898</v>
      </c>
      <c r="D58" s="21">
        <v>292957</v>
      </c>
      <c r="E58" s="23">
        <f t="shared" si="20"/>
        <v>-8.5538150650095401E-2</v>
      </c>
      <c r="F58" s="21">
        <f>+C58-127416</f>
        <v>140482</v>
      </c>
      <c r="G58" s="21">
        <f>+D58-131852</f>
        <v>161105</v>
      </c>
      <c r="H58" s="23">
        <f t="shared" si="21"/>
        <v>-0.12800968312591168</v>
      </c>
      <c r="I58" s="24">
        <f t="shared" si="22"/>
        <v>58.202546790196273</v>
      </c>
      <c r="J58" s="24">
        <f t="shared" si="23"/>
        <v>110.99177033356587</v>
      </c>
      <c r="K58" s="21">
        <v>15592345.880000001</v>
      </c>
      <c r="L58" s="21">
        <v>15580367.26</v>
      </c>
      <c r="M58" s="25">
        <f t="shared" si="24"/>
        <v>7.6882783313806454E-4</v>
      </c>
      <c r="N58" s="10"/>
      <c r="R58" s="2"/>
    </row>
    <row r="59" spans="1:18" ht="15.75" x14ac:dyDescent="0.25">
      <c r="A59" s="19"/>
      <c r="B59" s="20">
        <f>DATE(2020,9,1)</f>
        <v>44075</v>
      </c>
      <c r="C59" s="21">
        <v>245708</v>
      </c>
      <c r="D59" s="21">
        <v>276713</v>
      </c>
      <c r="E59" s="23">
        <f t="shared" si="20"/>
        <v>-0.11204750047883547</v>
      </c>
      <c r="F59" s="21">
        <f>+C59-116526</f>
        <v>129182</v>
      </c>
      <c r="G59" s="21">
        <f>+D59-125818</f>
        <v>150895</v>
      </c>
      <c r="H59" s="23">
        <f t="shared" si="21"/>
        <v>-0.1438947612578283</v>
      </c>
      <c r="I59" s="24">
        <f t="shared" si="22"/>
        <v>59.831889071580903</v>
      </c>
      <c r="J59" s="24">
        <f t="shared" si="23"/>
        <v>113.8020296945395</v>
      </c>
      <c r="K59" s="21">
        <v>14701173.800000001</v>
      </c>
      <c r="L59" s="21">
        <v>14642977.08</v>
      </c>
      <c r="M59" s="25">
        <f t="shared" si="24"/>
        <v>3.9743775928931984E-3</v>
      </c>
      <c r="N59" s="10"/>
      <c r="R59" s="2"/>
    </row>
    <row r="60" spans="1:18" ht="15.75" x14ac:dyDescent="0.25">
      <c r="A60" s="19"/>
      <c r="B60" s="20">
        <f>DATE(2020,10,1)</f>
        <v>44105</v>
      </c>
      <c r="C60" s="21">
        <v>252286</v>
      </c>
      <c r="D60" s="21">
        <v>265218</v>
      </c>
      <c r="E60" s="23">
        <f t="shared" si="20"/>
        <v>-4.8759888092060118E-2</v>
      </c>
      <c r="F60" s="21">
        <f>+C60-116651</f>
        <v>135635</v>
      </c>
      <c r="G60" s="21">
        <f>+D60-120794</f>
        <v>144424</v>
      </c>
      <c r="H60" s="23">
        <f t="shared" si="21"/>
        <v>-6.0855536475931976E-2</v>
      </c>
      <c r="I60" s="24">
        <f t="shared" si="22"/>
        <v>59.269037441633706</v>
      </c>
      <c r="J60" s="24">
        <f t="shared" si="23"/>
        <v>110.24255081652966</v>
      </c>
      <c r="K60" s="21">
        <v>14952748.380000001</v>
      </c>
      <c r="L60" s="21">
        <v>14675391.32</v>
      </c>
      <c r="M60" s="25">
        <f t="shared" si="24"/>
        <v>1.8899466048446095E-2</v>
      </c>
      <c r="N60" s="10"/>
      <c r="R60" s="2"/>
    </row>
    <row r="61" spans="1:18" ht="15.75" x14ac:dyDescent="0.25">
      <c r="A61" s="19"/>
      <c r="B61" s="20">
        <f>DATE(2020,11,1)</f>
        <v>44136</v>
      </c>
      <c r="C61" s="21">
        <v>229647</v>
      </c>
      <c r="D61" s="21">
        <v>288764</v>
      </c>
      <c r="E61" s="23">
        <f t="shared" si="20"/>
        <v>-0.20472427310883629</v>
      </c>
      <c r="F61" s="21">
        <f>+C61-106423</f>
        <v>123224</v>
      </c>
      <c r="G61" s="21">
        <f>+D61-130395</f>
        <v>158369</v>
      </c>
      <c r="H61" s="23">
        <f t="shared" si="21"/>
        <v>-0.22191843100606812</v>
      </c>
      <c r="I61" s="24">
        <f t="shared" si="22"/>
        <v>54.453050290228049</v>
      </c>
      <c r="J61" s="24">
        <f t="shared" si="23"/>
        <v>101.48168895669676</v>
      </c>
      <c r="K61" s="21">
        <v>12504979.640000001</v>
      </c>
      <c r="L61" s="21">
        <v>14546056.49</v>
      </c>
      <c r="M61" s="25">
        <f t="shared" si="24"/>
        <v>-0.1403182265518618</v>
      </c>
      <c r="N61" s="10"/>
      <c r="R61" s="2"/>
    </row>
    <row r="62" spans="1:18" ht="15.75" x14ac:dyDescent="0.25">
      <c r="A62" s="19"/>
      <c r="B62" s="20">
        <f>DATE(2020,12,1)</f>
        <v>44166</v>
      </c>
      <c r="C62" s="21">
        <v>237315</v>
      </c>
      <c r="D62" s="21">
        <v>302309</v>
      </c>
      <c r="E62" s="23">
        <f t="shared" si="20"/>
        <v>-0.21499194532746296</v>
      </c>
      <c r="F62" s="21">
        <f>+C62-109898</f>
        <v>127417</v>
      </c>
      <c r="G62" s="21">
        <f>+D62-138214</f>
        <v>164095</v>
      </c>
      <c r="H62" s="23">
        <f t="shared" si="21"/>
        <v>-0.22351686523050671</v>
      </c>
      <c r="I62" s="24">
        <f t="shared" si="22"/>
        <v>55.607328782419991</v>
      </c>
      <c r="J62" s="24">
        <f t="shared" si="23"/>
        <v>103.56901535901802</v>
      </c>
      <c r="K62" s="21">
        <v>13196453.23</v>
      </c>
      <c r="L62" s="21">
        <v>14887793.43</v>
      </c>
      <c r="M62" s="25">
        <f t="shared" si="24"/>
        <v>-0.11360583473651806</v>
      </c>
      <c r="N62" s="10"/>
      <c r="R62" s="2"/>
    </row>
    <row r="63" spans="1:18" ht="15.75" x14ac:dyDescent="0.25">
      <c r="A63" s="19"/>
      <c r="B63" s="20">
        <f>DATE(2021,1,1)</f>
        <v>44197</v>
      </c>
      <c r="C63" s="21">
        <v>253729</v>
      </c>
      <c r="D63" s="21">
        <v>268298</v>
      </c>
      <c r="E63" s="23">
        <f t="shared" si="20"/>
        <v>-5.4301560205443203E-2</v>
      </c>
      <c r="F63" s="21">
        <f>+C63-120009</f>
        <v>133720</v>
      </c>
      <c r="G63" s="21">
        <f>+D63-120188</f>
        <v>148110</v>
      </c>
      <c r="H63" s="23">
        <f t="shared" si="21"/>
        <v>-9.7157518060900686E-2</v>
      </c>
      <c r="I63" s="24">
        <f t="shared" si="22"/>
        <v>59.379527290928507</v>
      </c>
      <c r="J63" s="24">
        <f t="shared" si="23"/>
        <v>112.67056595871972</v>
      </c>
      <c r="K63" s="21">
        <v>15066308.08</v>
      </c>
      <c r="L63" s="21">
        <v>14430034.130000001</v>
      </c>
      <c r="M63" s="25">
        <f t="shared" si="24"/>
        <v>4.4093724537850362E-2</v>
      </c>
      <c r="N63" s="10"/>
      <c r="R63" s="2"/>
    </row>
    <row r="64" spans="1:18" ht="15.75" x14ac:dyDescent="0.25">
      <c r="A64" s="19"/>
      <c r="B64" s="20">
        <f>DATE(2021,2,1)</f>
        <v>44228</v>
      </c>
      <c r="C64" s="21">
        <v>221549</v>
      </c>
      <c r="D64" s="21">
        <v>290524</v>
      </c>
      <c r="E64" s="23">
        <f t="shared" si="20"/>
        <v>-0.23741584172047747</v>
      </c>
      <c r="F64" s="21">
        <f>+C64-106025</f>
        <v>115524</v>
      </c>
      <c r="G64" s="21">
        <f>+D64-132889</f>
        <v>157635</v>
      </c>
      <c r="H64" s="23">
        <f t="shared" si="21"/>
        <v>-0.26714244932914644</v>
      </c>
      <c r="I64" s="24">
        <f t="shared" si="22"/>
        <v>59.652362095969742</v>
      </c>
      <c r="J64" s="24">
        <f t="shared" si="23"/>
        <v>114.39978852879055</v>
      </c>
      <c r="K64" s="21">
        <v>13215921.17</v>
      </c>
      <c r="L64" s="21">
        <v>15353247.609999999</v>
      </c>
      <c r="M64" s="25">
        <f t="shared" si="24"/>
        <v>-0.13921005472535328</v>
      </c>
      <c r="N64" s="10"/>
      <c r="R64" s="2"/>
    </row>
    <row r="65" spans="1:18" ht="15.75" x14ac:dyDescent="0.25">
      <c r="A65" s="19"/>
      <c r="B65" s="20">
        <f>DATE(2021,3,1)</f>
        <v>44256</v>
      </c>
      <c r="C65" s="21">
        <v>295514</v>
      </c>
      <c r="D65" s="21">
        <v>144177</v>
      </c>
      <c r="E65" s="23">
        <f t="shared" si="20"/>
        <v>1.0496611803547029</v>
      </c>
      <c r="F65" s="21">
        <f>+C65-144217</f>
        <v>151297</v>
      </c>
      <c r="G65" s="21">
        <f>+D65-66448</f>
        <v>77729</v>
      </c>
      <c r="H65" s="23">
        <f t="shared" si="21"/>
        <v>0.94646785626986063</v>
      </c>
      <c r="I65" s="24">
        <f t="shared" si="22"/>
        <v>62.187900945471277</v>
      </c>
      <c r="J65" s="24">
        <f t="shared" si="23"/>
        <v>121.46569568464675</v>
      </c>
      <c r="K65" s="21">
        <v>18377395.359999999</v>
      </c>
      <c r="L65" s="21">
        <v>7243170.3700000001</v>
      </c>
      <c r="M65" s="25">
        <f t="shared" si="24"/>
        <v>1.5372032440540258</v>
      </c>
      <c r="N65" s="10"/>
      <c r="R65" s="2"/>
    </row>
    <row r="66" spans="1:18" ht="15.75" thickBot="1" x14ac:dyDescent="0.25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SUM(C57:C66)</f>
        <v>2264431</v>
      </c>
      <c r="D67" s="41">
        <f>SUM(D57:D66)</f>
        <v>2417719</v>
      </c>
      <c r="E67" s="281">
        <f>(+C67-D67)/D67</f>
        <v>-6.3401908989423508E-2</v>
      </c>
      <c r="F67" s="47">
        <f>SUM(F57:F66)</f>
        <v>1196260</v>
      </c>
      <c r="G67" s="48">
        <f>SUM(G57:G66)</f>
        <v>1319944</v>
      </c>
      <c r="H67" s="49">
        <f>(+F67-G67)/G67</f>
        <v>-9.3703975320165098E-2</v>
      </c>
      <c r="I67" s="50">
        <f>K67/C67</f>
        <v>58.91378365249372</v>
      </c>
      <c r="J67" s="51">
        <f>K67/F67</f>
        <v>111.51940048986006</v>
      </c>
      <c r="K67" s="48">
        <f>SUM(K57:K66)</f>
        <v>133406198.03</v>
      </c>
      <c r="L67" s="47">
        <f>SUM(L57:L66)</f>
        <v>125436512.42999999</v>
      </c>
      <c r="M67" s="44">
        <f>(+K67-L67)/L67</f>
        <v>6.3535612124480126E-2</v>
      </c>
      <c r="N67" s="10"/>
      <c r="R67" s="2"/>
    </row>
    <row r="68" spans="1:18" ht="15.75" customHeight="1" thickTop="1" x14ac:dyDescent="0.25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274" t="s">
        <v>64</v>
      </c>
      <c r="B69" s="20">
        <f>DATE(2020,7,1)</f>
        <v>44013</v>
      </c>
      <c r="C69" s="21">
        <v>75978</v>
      </c>
      <c r="D69" s="21">
        <v>110928</v>
      </c>
      <c r="E69" s="23">
        <f t="shared" ref="E69:E77" si="25">(+C69-D69)/D69</f>
        <v>-0.31506923409779314</v>
      </c>
      <c r="F69" s="21">
        <f>+C69-36462</f>
        <v>39516</v>
      </c>
      <c r="G69" s="21">
        <f>+D69-54910</f>
        <v>56018</v>
      </c>
      <c r="H69" s="23">
        <f t="shared" ref="H69:H77" si="26">(+F69-G69)/G69</f>
        <v>-0.29458388375165123</v>
      </c>
      <c r="I69" s="24">
        <f t="shared" ref="I69:I77" si="27">K69/C69</f>
        <v>65.902360814972752</v>
      </c>
      <c r="J69" s="24">
        <f t="shared" ref="J69:J77" si="28">K69/F69</f>
        <v>126.71144776799272</v>
      </c>
      <c r="K69" s="21">
        <v>5007129.57</v>
      </c>
      <c r="L69" s="21">
        <v>4456959.1900000004</v>
      </c>
      <c r="M69" s="25">
        <f t="shared" ref="M69:M77" si="29">(+K69-L69)/L69</f>
        <v>0.12344074884831957</v>
      </c>
      <c r="N69" s="10"/>
      <c r="R69" s="2"/>
    </row>
    <row r="70" spans="1:18" ht="15.75" x14ac:dyDescent="0.25">
      <c r="A70" s="274"/>
      <c r="B70" s="20">
        <f>DATE(2020,8,1)</f>
        <v>44044</v>
      </c>
      <c r="C70" s="21">
        <v>75051</v>
      </c>
      <c r="D70" s="21">
        <v>114308</v>
      </c>
      <c r="E70" s="23">
        <f t="shared" si="25"/>
        <v>-0.34343178080274345</v>
      </c>
      <c r="F70" s="21">
        <f>+C70-37094</f>
        <v>37957</v>
      </c>
      <c r="G70" s="21">
        <f>+D70-54234</f>
        <v>60074</v>
      </c>
      <c r="H70" s="23">
        <f t="shared" si="26"/>
        <v>-0.36816259946066515</v>
      </c>
      <c r="I70" s="24">
        <f t="shared" si="27"/>
        <v>66.127390707652125</v>
      </c>
      <c r="J70" s="24">
        <f t="shared" si="28"/>
        <v>130.75129225175857</v>
      </c>
      <c r="K70" s="21">
        <v>4962926.8</v>
      </c>
      <c r="L70" s="21">
        <v>5215749.95</v>
      </c>
      <c r="M70" s="25">
        <f t="shared" si="29"/>
        <v>-4.8473019685309177E-2</v>
      </c>
      <c r="N70" s="10"/>
      <c r="R70" s="2"/>
    </row>
    <row r="71" spans="1:18" ht="15.75" x14ac:dyDescent="0.25">
      <c r="A71" s="274"/>
      <c r="B71" s="20">
        <f>DATE(2020,9,1)</f>
        <v>44075</v>
      </c>
      <c r="C71" s="21">
        <v>76058</v>
      </c>
      <c r="D71" s="21">
        <v>108669</v>
      </c>
      <c r="E71" s="23">
        <f t="shared" si="25"/>
        <v>-0.30009478324085065</v>
      </c>
      <c r="F71" s="21">
        <f>+C71-37383</f>
        <v>38675</v>
      </c>
      <c r="G71" s="21">
        <f>+D71-53294</f>
        <v>55375</v>
      </c>
      <c r="H71" s="23">
        <f t="shared" si="26"/>
        <v>-0.30158013544018059</v>
      </c>
      <c r="I71" s="24">
        <f t="shared" si="27"/>
        <v>65.497897131136753</v>
      </c>
      <c r="J71" s="24">
        <f t="shared" si="28"/>
        <v>128.80773264382674</v>
      </c>
      <c r="K71" s="21">
        <v>4981639.0599999996</v>
      </c>
      <c r="L71" s="21">
        <v>5069628.72</v>
      </c>
      <c r="M71" s="25">
        <f t="shared" si="29"/>
        <v>-1.7356233534987577E-2</v>
      </c>
      <c r="N71" s="10"/>
      <c r="R71" s="2"/>
    </row>
    <row r="72" spans="1:18" ht="15.75" x14ac:dyDescent="0.25">
      <c r="A72" s="274"/>
      <c r="B72" s="20">
        <f>DATE(2020,10,1)</f>
        <v>44105</v>
      </c>
      <c r="C72" s="21">
        <v>79279</v>
      </c>
      <c r="D72" s="21">
        <v>108635</v>
      </c>
      <c r="E72" s="23">
        <f t="shared" si="25"/>
        <v>-0.27022598610024395</v>
      </c>
      <c r="F72" s="21">
        <f>+C72-39288</f>
        <v>39991</v>
      </c>
      <c r="G72" s="21">
        <f>+D72-52866</f>
        <v>55769</v>
      </c>
      <c r="H72" s="23">
        <f t="shared" si="26"/>
        <v>-0.28291703276013558</v>
      </c>
      <c r="I72" s="24">
        <f t="shared" si="27"/>
        <v>62.994921605973836</v>
      </c>
      <c r="J72" s="24">
        <f t="shared" si="28"/>
        <v>124.8824583031182</v>
      </c>
      <c r="K72" s="21">
        <v>4994174.3899999997</v>
      </c>
      <c r="L72" s="21">
        <v>5103440.46</v>
      </c>
      <c r="M72" s="25">
        <f t="shared" si="29"/>
        <v>-2.141027623549473E-2</v>
      </c>
      <c r="N72" s="10"/>
      <c r="R72" s="2"/>
    </row>
    <row r="73" spans="1:18" ht="15.75" x14ac:dyDescent="0.25">
      <c r="A73" s="274"/>
      <c r="B73" s="20">
        <f>DATE(2020,11,1)</f>
        <v>44136</v>
      </c>
      <c r="C73" s="21">
        <v>73436</v>
      </c>
      <c r="D73" s="21">
        <v>108978</v>
      </c>
      <c r="E73" s="23">
        <f t="shared" si="25"/>
        <v>-0.32613922076015345</v>
      </c>
      <c r="F73" s="21">
        <f>+C73-36298</f>
        <v>37138</v>
      </c>
      <c r="G73" s="21">
        <f>+D73-53627</f>
        <v>55351</v>
      </c>
      <c r="H73" s="23">
        <f t="shared" si="26"/>
        <v>-0.3290455456992647</v>
      </c>
      <c r="I73" s="24">
        <f t="shared" si="27"/>
        <v>61.221220518546758</v>
      </c>
      <c r="J73" s="24">
        <f t="shared" si="28"/>
        <v>121.05771850934353</v>
      </c>
      <c r="K73" s="21">
        <v>4495841.55</v>
      </c>
      <c r="L73" s="21">
        <v>5108677.83</v>
      </c>
      <c r="M73" s="25">
        <f t="shared" si="29"/>
        <v>-0.11995986053401224</v>
      </c>
      <c r="N73" s="10"/>
      <c r="R73" s="2"/>
    </row>
    <row r="74" spans="1:18" ht="15.75" x14ac:dyDescent="0.25">
      <c r="A74" s="274"/>
      <c r="B74" s="20">
        <f>DATE(2020,12,1)</f>
        <v>44166</v>
      </c>
      <c r="C74" s="21">
        <v>90055</v>
      </c>
      <c r="D74" s="21">
        <v>115824</v>
      </c>
      <c r="E74" s="23">
        <f t="shared" si="25"/>
        <v>-0.22248411382787678</v>
      </c>
      <c r="F74" s="21">
        <f>+C74-45539</f>
        <v>44516</v>
      </c>
      <c r="G74" s="21">
        <f>+D74-57047</f>
        <v>58777</v>
      </c>
      <c r="H74" s="23">
        <f t="shared" si="26"/>
        <v>-0.24262891947530496</v>
      </c>
      <c r="I74" s="24">
        <f t="shared" si="27"/>
        <v>68.144607517628117</v>
      </c>
      <c r="J74" s="24">
        <f t="shared" si="28"/>
        <v>137.85521228322401</v>
      </c>
      <c r="K74" s="21">
        <v>6136762.6299999999</v>
      </c>
      <c r="L74" s="21">
        <v>5367894.3099999996</v>
      </c>
      <c r="M74" s="25">
        <f t="shared" si="29"/>
        <v>0.14323462341045987</v>
      </c>
      <c r="N74" s="10"/>
      <c r="R74" s="2"/>
    </row>
    <row r="75" spans="1:18" ht="15.75" x14ac:dyDescent="0.25">
      <c r="A75" s="274"/>
      <c r="B75" s="20">
        <f>DATE(2021,1,1)</f>
        <v>44197</v>
      </c>
      <c r="C75" s="21">
        <v>102968</v>
      </c>
      <c r="D75" s="21">
        <v>108065</v>
      </c>
      <c r="E75" s="23">
        <f t="shared" si="25"/>
        <v>-4.7166057465414336E-2</v>
      </c>
      <c r="F75" s="21">
        <f>+C75-52033</f>
        <v>50935</v>
      </c>
      <c r="G75" s="21">
        <f>+D75-54017</f>
        <v>54048</v>
      </c>
      <c r="H75" s="23">
        <f t="shared" si="26"/>
        <v>-5.759695085849615E-2</v>
      </c>
      <c r="I75" s="24">
        <f t="shared" si="27"/>
        <v>66.262410943205651</v>
      </c>
      <c r="J75" s="24">
        <f t="shared" si="28"/>
        <v>133.95323314027681</v>
      </c>
      <c r="K75" s="21">
        <v>6822907.9299999997</v>
      </c>
      <c r="L75" s="21">
        <v>5075834.1100000003</v>
      </c>
      <c r="M75" s="25">
        <f t="shared" si="29"/>
        <v>0.34419442837149761</v>
      </c>
      <c r="N75" s="10"/>
      <c r="R75" s="2"/>
    </row>
    <row r="76" spans="1:18" ht="15.75" x14ac:dyDescent="0.25">
      <c r="A76" s="274"/>
      <c r="B76" s="20">
        <f>DATE(2021,2,1)</f>
        <v>44228</v>
      </c>
      <c r="C76" s="21">
        <v>73388</v>
      </c>
      <c r="D76" s="21">
        <v>122509</v>
      </c>
      <c r="E76" s="23">
        <f t="shared" si="25"/>
        <v>-0.40095829694144919</v>
      </c>
      <c r="F76" s="21">
        <f>+C76-36566</f>
        <v>36822</v>
      </c>
      <c r="G76" s="21">
        <f>+D76-61681</f>
        <v>60828</v>
      </c>
      <c r="H76" s="23">
        <f t="shared" si="26"/>
        <v>-0.39465377786545669</v>
      </c>
      <c r="I76" s="24">
        <f t="shared" si="27"/>
        <v>67.372777020766335</v>
      </c>
      <c r="J76" s="24">
        <f t="shared" si="28"/>
        <v>134.27715387540059</v>
      </c>
      <c r="K76" s="21">
        <v>4944353.3600000003</v>
      </c>
      <c r="L76" s="21">
        <v>5943612.7999999998</v>
      </c>
      <c r="M76" s="25">
        <f t="shared" si="29"/>
        <v>-0.16812323979112495</v>
      </c>
      <c r="N76" s="10"/>
      <c r="R76" s="2"/>
    </row>
    <row r="77" spans="1:18" ht="15.75" x14ac:dyDescent="0.25">
      <c r="A77" s="274"/>
      <c r="B77" s="20">
        <f>DATE(2021,3,1)</f>
        <v>44256</v>
      </c>
      <c r="C77" s="21">
        <v>112418</v>
      </c>
      <c r="D77" s="21">
        <v>63250</v>
      </c>
      <c r="E77" s="23">
        <f t="shared" si="25"/>
        <v>0.77735968379446641</v>
      </c>
      <c r="F77" s="21">
        <f>+C77-56050</f>
        <v>56368</v>
      </c>
      <c r="G77" s="21">
        <f>+D77-31674</f>
        <v>31576</v>
      </c>
      <c r="H77" s="23">
        <f t="shared" si="26"/>
        <v>0.78515328097289083</v>
      </c>
      <c r="I77" s="24">
        <f t="shared" si="27"/>
        <v>69.268129836858861</v>
      </c>
      <c r="J77" s="24">
        <f t="shared" si="28"/>
        <v>138.14548360772071</v>
      </c>
      <c r="K77" s="21">
        <v>7786984.6200000001</v>
      </c>
      <c r="L77" s="21">
        <v>2969716.05</v>
      </c>
      <c r="M77" s="25">
        <f t="shared" si="29"/>
        <v>1.622131035052998</v>
      </c>
      <c r="N77" s="10"/>
      <c r="R77" s="2"/>
    </row>
    <row r="78" spans="1:18" ht="15.75" customHeight="1" thickBot="1" x14ac:dyDescent="0.3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45" customHeight="1" thickTop="1" thickBot="1" x14ac:dyDescent="0.3">
      <c r="A79" s="39" t="s">
        <v>14</v>
      </c>
      <c r="B79" s="52"/>
      <c r="C79" s="47">
        <f>SUM(C69:C78)</f>
        <v>758631</v>
      </c>
      <c r="D79" s="48">
        <f>SUM(D69:D78)</f>
        <v>961166</v>
      </c>
      <c r="E79" s="281">
        <f>(+C79-D79)/D79</f>
        <v>-0.21071802373367349</v>
      </c>
      <c r="F79" s="48">
        <f>SUM(F69:F78)</f>
        <v>381918</v>
      </c>
      <c r="G79" s="47">
        <f>SUM(G69:G78)</f>
        <v>487816</v>
      </c>
      <c r="H79" s="46">
        <f>(+F79-G79)/G79</f>
        <v>-0.21708595044032997</v>
      </c>
      <c r="I79" s="51">
        <f>K79/C79</f>
        <v>66.083141751391651</v>
      </c>
      <c r="J79" s="50">
        <f>K79/F79</f>
        <v>131.26566412161773</v>
      </c>
      <c r="K79" s="47">
        <f>SUM(K69:K78)</f>
        <v>50132719.909999996</v>
      </c>
      <c r="L79" s="48">
        <f>SUM(L69:L78)</f>
        <v>44311513.419999994</v>
      </c>
      <c r="M79" s="44">
        <f>(+K79-L79)/L79</f>
        <v>0.13137006707093424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66</v>
      </c>
      <c r="B81" s="20">
        <f>DATE(2020,7,1)</f>
        <v>44013</v>
      </c>
      <c r="C81" s="21">
        <v>89782</v>
      </c>
      <c r="D81" s="21">
        <v>151411</v>
      </c>
      <c r="E81" s="23">
        <f t="shared" ref="E81:E89" si="30">(+C81-D81)/D81</f>
        <v>-0.40703119324223469</v>
      </c>
      <c r="F81" s="21">
        <f>+C81-42122</f>
        <v>47660</v>
      </c>
      <c r="G81" s="21">
        <f>+D81-71749</f>
        <v>79662</v>
      </c>
      <c r="H81" s="23">
        <f t="shared" ref="H81:H89" si="31">(+F81-G81)/G81</f>
        <v>-0.40172227661871407</v>
      </c>
      <c r="I81" s="24">
        <f t="shared" ref="I81:I89" si="32">K81/C81</f>
        <v>50.702362945802051</v>
      </c>
      <c r="J81" s="24">
        <f t="shared" ref="J81:J89" si="33">K81/F81</f>
        <v>95.513209190096518</v>
      </c>
      <c r="K81" s="21">
        <v>4552159.55</v>
      </c>
      <c r="L81" s="21">
        <v>5243377.2</v>
      </c>
      <c r="M81" s="25">
        <f t="shared" ref="M81:M89" si="34">(+K81-L81)/L81</f>
        <v>-0.13182680238987962</v>
      </c>
      <c r="N81" s="10"/>
      <c r="R81" s="2"/>
    </row>
    <row r="82" spans="1:18" ht="15.75" x14ac:dyDescent="0.25">
      <c r="A82" s="19"/>
      <c r="B82" s="20">
        <f>DATE(2020,8,1)</f>
        <v>44044</v>
      </c>
      <c r="C82" s="21">
        <v>90766</v>
      </c>
      <c r="D82" s="21">
        <v>153404</v>
      </c>
      <c r="E82" s="23">
        <f t="shared" si="30"/>
        <v>-0.40832051315480694</v>
      </c>
      <c r="F82" s="21">
        <f>+C82-42451</f>
        <v>48315</v>
      </c>
      <c r="G82" s="21">
        <f>+D82-72820</f>
        <v>80584</v>
      </c>
      <c r="H82" s="23">
        <f t="shared" si="31"/>
        <v>-0.40043929315993249</v>
      </c>
      <c r="I82" s="24">
        <f t="shared" si="32"/>
        <v>48.512467223409644</v>
      </c>
      <c r="J82" s="24">
        <f t="shared" si="33"/>
        <v>91.136967815378242</v>
      </c>
      <c r="K82" s="21">
        <v>4403282.5999999996</v>
      </c>
      <c r="L82" s="21">
        <v>5663787.5</v>
      </c>
      <c r="M82" s="25">
        <f t="shared" si="34"/>
        <v>-0.22255511881404455</v>
      </c>
      <c r="N82" s="10"/>
      <c r="R82" s="2"/>
    </row>
    <row r="83" spans="1:18" ht="15.75" x14ac:dyDescent="0.25">
      <c r="A83" s="19"/>
      <c r="B83" s="20">
        <f>DATE(2020,9,1)</f>
        <v>44075</v>
      </c>
      <c r="C83" s="21">
        <v>113899</v>
      </c>
      <c r="D83" s="21">
        <v>143049</v>
      </c>
      <c r="E83" s="23">
        <f t="shared" si="30"/>
        <v>-0.20377632839097093</v>
      </c>
      <c r="F83" s="21">
        <f>+C83-56486</f>
        <v>57413</v>
      </c>
      <c r="G83" s="21">
        <f>+D83-67371</f>
        <v>75678</v>
      </c>
      <c r="H83" s="23">
        <f t="shared" si="31"/>
        <v>-0.24135151563201987</v>
      </c>
      <c r="I83" s="24">
        <f t="shared" si="32"/>
        <v>47.025149035549042</v>
      </c>
      <c r="J83" s="24">
        <f t="shared" si="33"/>
        <v>93.291022068172722</v>
      </c>
      <c r="K83" s="21">
        <v>5356117.45</v>
      </c>
      <c r="L83" s="21">
        <v>5081304.75</v>
      </c>
      <c r="M83" s="25">
        <f t="shared" si="34"/>
        <v>5.4083097456416131E-2</v>
      </c>
      <c r="N83" s="10"/>
      <c r="R83" s="2"/>
    </row>
    <row r="84" spans="1:18" ht="15.75" x14ac:dyDescent="0.25">
      <c r="A84" s="19"/>
      <c r="B84" s="20">
        <f>DATE(2020,10,1)</f>
        <v>44105</v>
      </c>
      <c r="C84" s="21">
        <v>133252</v>
      </c>
      <c r="D84" s="21">
        <v>147133</v>
      </c>
      <c r="E84" s="23">
        <f t="shared" si="30"/>
        <v>-9.4343213283219943E-2</v>
      </c>
      <c r="F84" s="21">
        <f>+C84-63794</f>
        <v>69458</v>
      </c>
      <c r="G84" s="21">
        <f>+D84-70441</f>
        <v>76692</v>
      </c>
      <c r="H84" s="23">
        <f t="shared" si="31"/>
        <v>-9.4325353361497943E-2</v>
      </c>
      <c r="I84" s="24">
        <f t="shared" si="32"/>
        <v>46.002726563203559</v>
      </c>
      <c r="J84" s="24">
        <f t="shared" si="33"/>
        <v>88.254129401940745</v>
      </c>
      <c r="K84" s="21">
        <v>6129955.3200000003</v>
      </c>
      <c r="L84" s="21">
        <v>5402701.21</v>
      </c>
      <c r="M84" s="25">
        <f t="shared" si="34"/>
        <v>0.13460935219847192</v>
      </c>
      <c r="N84" s="10"/>
      <c r="R84" s="2"/>
    </row>
    <row r="85" spans="1:18" ht="15.75" x14ac:dyDescent="0.25">
      <c r="A85" s="19"/>
      <c r="B85" s="20">
        <f>DATE(2020,11,1)</f>
        <v>44136</v>
      </c>
      <c r="C85" s="21">
        <v>128642</v>
      </c>
      <c r="D85" s="21">
        <v>147609</v>
      </c>
      <c r="E85" s="23">
        <f t="shared" si="30"/>
        <v>-0.1284948749737482</v>
      </c>
      <c r="F85" s="21">
        <f>+C85-61517</f>
        <v>67125</v>
      </c>
      <c r="G85" s="21">
        <f>+D85-72727</f>
        <v>74882</v>
      </c>
      <c r="H85" s="23">
        <f t="shared" si="31"/>
        <v>-0.10358964771240084</v>
      </c>
      <c r="I85" s="24">
        <f t="shared" si="32"/>
        <v>44.797572410254816</v>
      </c>
      <c r="J85" s="24">
        <f t="shared" si="33"/>
        <v>85.852503687150829</v>
      </c>
      <c r="K85" s="21">
        <v>5762849.3099999996</v>
      </c>
      <c r="L85" s="21">
        <v>5427921.8600000003</v>
      </c>
      <c r="M85" s="25">
        <f t="shared" si="34"/>
        <v>6.1704545245608831E-2</v>
      </c>
      <c r="N85" s="10"/>
      <c r="R85" s="2"/>
    </row>
    <row r="86" spans="1:18" ht="15.75" x14ac:dyDescent="0.25">
      <c r="A86" s="19"/>
      <c r="B86" s="20">
        <f>DATE(2020,12,1)</f>
        <v>44166</v>
      </c>
      <c r="C86" s="21">
        <v>136324</v>
      </c>
      <c r="D86" s="21">
        <v>146815</v>
      </c>
      <c r="E86" s="23">
        <f t="shared" si="30"/>
        <v>-7.1457276163879715E-2</v>
      </c>
      <c r="F86" s="21">
        <f>+C86-65497</f>
        <v>70827</v>
      </c>
      <c r="G86" s="21">
        <f>+D86-72079</f>
        <v>74736</v>
      </c>
      <c r="H86" s="23">
        <f t="shared" si="31"/>
        <v>-5.2304110468850355E-2</v>
      </c>
      <c r="I86" s="24">
        <f t="shared" si="32"/>
        <v>46.829371570669878</v>
      </c>
      <c r="J86" s="24">
        <f t="shared" si="33"/>
        <v>90.134655569203829</v>
      </c>
      <c r="K86" s="21">
        <v>6383967.25</v>
      </c>
      <c r="L86" s="21">
        <v>5406096.8300000001</v>
      </c>
      <c r="M86" s="25">
        <f t="shared" si="34"/>
        <v>0.18088289032736396</v>
      </c>
      <c r="N86" s="10"/>
      <c r="R86" s="2"/>
    </row>
    <row r="87" spans="1:18" ht="15.75" x14ac:dyDescent="0.25">
      <c r="A87" s="19"/>
      <c r="B87" s="20">
        <f>DATE(2021,1,1)</f>
        <v>44197</v>
      </c>
      <c r="C87" s="21">
        <v>148941</v>
      </c>
      <c r="D87" s="21">
        <v>138036</v>
      </c>
      <c r="E87" s="23">
        <f t="shared" si="30"/>
        <v>7.9001130139963488E-2</v>
      </c>
      <c r="F87" s="21">
        <f>+C87-73418</f>
        <v>75523</v>
      </c>
      <c r="G87" s="21">
        <f>+D87-67428</f>
        <v>70608</v>
      </c>
      <c r="H87" s="23">
        <f t="shared" si="31"/>
        <v>6.9609675957398601E-2</v>
      </c>
      <c r="I87" s="24">
        <f t="shared" si="32"/>
        <v>46.43704581008587</v>
      </c>
      <c r="J87" s="24">
        <f t="shared" si="33"/>
        <v>91.579784171709278</v>
      </c>
      <c r="K87" s="21">
        <v>6916380.04</v>
      </c>
      <c r="L87" s="21">
        <v>5190044.03</v>
      </c>
      <c r="M87" s="25">
        <f t="shared" si="34"/>
        <v>0.33262454037408229</v>
      </c>
      <c r="N87" s="10"/>
      <c r="R87" s="2"/>
    </row>
    <row r="88" spans="1:18" ht="15.75" x14ac:dyDescent="0.25">
      <c r="A88" s="19"/>
      <c r="B88" s="20">
        <f>DATE(2021,2,1)</f>
        <v>44228</v>
      </c>
      <c r="C88" s="21">
        <v>128308</v>
      </c>
      <c r="D88" s="21">
        <v>152132</v>
      </c>
      <c r="E88" s="23">
        <f t="shared" si="30"/>
        <v>-0.15660084663318696</v>
      </c>
      <c r="F88" s="21">
        <f>+C88-63434</f>
        <v>64874</v>
      </c>
      <c r="G88" s="21">
        <f>+D88-75603</f>
        <v>76529</v>
      </c>
      <c r="H88" s="23">
        <f t="shared" si="31"/>
        <v>-0.1522952083523893</v>
      </c>
      <c r="I88" s="24">
        <f t="shared" si="32"/>
        <v>49.659509071920688</v>
      </c>
      <c r="J88" s="24">
        <f t="shared" si="33"/>
        <v>98.216732281037082</v>
      </c>
      <c r="K88" s="21">
        <v>6371712.29</v>
      </c>
      <c r="L88" s="21">
        <v>5810822.3499999996</v>
      </c>
      <c r="M88" s="25">
        <f t="shared" si="34"/>
        <v>9.6525053807573452E-2</v>
      </c>
      <c r="N88" s="10"/>
      <c r="R88" s="2"/>
    </row>
    <row r="89" spans="1:18" ht="15.75" x14ac:dyDescent="0.25">
      <c r="A89" s="19"/>
      <c r="B89" s="20">
        <f>DATE(2021,3,1)</f>
        <v>44256</v>
      </c>
      <c r="C89" s="21">
        <v>178294</v>
      </c>
      <c r="D89" s="21">
        <v>83823</v>
      </c>
      <c r="E89" s="23">
        <f t="shared" si="30"/>
        <v>1.1270295742218723</v>
      </c>
      <c r="F89" s="21">
        <f>+C89-86034</f>
        <v>92260</v>
      </c>
      <c r="G89" s="21">
        <f>+D89-41284</f>
        <v>42539</v>
      </c>
      <c r="H89" s="23">
        <f t="shared" si="31"/>
        <v>1.1688333059075202</v>
      </c>
      <c r="I89" s="24">
        <f t="shared" si="32"/>
        <v>55.776427417636036</v>
      </c>
      <c r="J89" s="24">
        <f t="shared" si="33"/>
        <v>107.78888304790809</v>
      </c>
      <c r="K89" s="21">
        <v>9944602.3499999996</v>
      </c>
      <c r="L89" s="21">
        <v>3343303.65</v>
      </c>
      <c r="M89" s="25">
        <f t="shared" si="34"/>
        <v>1.9744837415530592</v>
      </c>
      <c r="N89" s="10"/>
      <c r="R89" s="2"/>
    </row>
    <row r="90" spans="1:18" ht="15.75" customHeight="1" thickBot="1" x14ac:dyDescent="0.3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SUM(C81:C90)</f>
        <v>1148208</v>
      </c>
      <c r="D91" s="48">
        <f>SUM(D81:D90)</f>
        <v>1263412</v>
      </c>
      <c r="E91" s="281">
        <f>(+C91-D91)/D91</f>
        <v>-9.1184823319708855E-2</v>
      </c>
      <c r="F91" s="48">
        <f>SUM(F81:F90)</f>
        <v>593455</v>
      </c>
      <c r="G91" s="47">
        <f>SUM(G81:G90)</f>
        <v>651910</v>
      </c>
      <c r="H91" s="53">
        <f>(+F91-G91)/G91</f>
        <v>-8.9667285361476279E-2</v>
      </c>
      <c r="I91" s="51">
        <f>K91/C91</f>
        <v>48.615778813594744</v>
      </c>
      <c r="J91" s="50">
        <f>K91/F91</f>
        <v>94.061093360069421</v>
      </c>
      <c r="K91" s="47">
        <f>SUM(K81:K90)</f>
        <v>55821026.159999996</v>
      </c>
      <c r="L91" s="48">
        <f>SUM(L81:L90)</f>
        <v>46569359.380000003</v>
      </c>
      <c r="M91" s="44">
        <f>(+K91-L91)/L91</f>
        <v>0.19866424840650221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 x14ac:dyDescent="0.25">
      <c r="A93" s="19" t="s">
        <v>60</v>
      </c>
      <c r="B93" s="20">
        <f>DATE(2020,7,1)</f>
        <v>44013</v>
      </c>
      <c r="C93" s="21">
        <v>198458</v>
      </c>
      <c r="D93" s="21">
        <v>323723</v>
      </c>
      <c r="E93" s="23">
        <f t="shared" ref="E93:E101" si="35">(+C93-D93)/D93</f>
        <v>-0.38695118975173221</v>
      </c>
      <c r="F93" s="21">
        <f>+C93-91512</f>
        <v>106946</v>
      </c>
      <c r="G93" s="21">
        <f>+D93-139054</f>
        <v>184669</v>
      </c>
      <c r="H93" s="23">
        <f t="shared" ref="H93:H101" si="36">(+F93-G93)/G93</f>
        <v>-0.42087735353524414</v>
      </c>
      <c r="I93" s="24">
        <f t="shared" ref="I93:I101" si="37">K93/C93</f>
        <v>57.559684013745979</v>
      </c>
      <c r="J93" s="24">
        <f t="shared" ref="J93:J101" si="38">K93/F93</f>
        <v>106.81259486095786</v>
      </c>
      <c r="K93" s="21">
        <v>11423179.77</v>
      </c>
      <c r="L93" s="21">
        <v>12562489.76</v>
      </c>
      <c r="M93" s="25">
        <f t="shared" ref="M93:M101" si="39">(+K93-L93)/L93</f>
        <v>-9.0691416412346612E-2</v>
      </c>
      <c r="N93" s="10"/>
      <c r="R93" s="2"/>
    </row>
    <row r="94" spans="1:18" ht="15.75" customHeight="1" x14ac:dyDescent="0.25">
      <c r="A94" s="19"/>
      <c r="B94" s="20">
        <f>DATE(2020,8,1)</f>
        <v>44044</v>
      </c>
      <c r="C94" s="21">
        <v>207170</v>
      </c>
      <c r="D94" s="21">
        <v>324702</v>
      </c>
      <c r="E94" s="23">
        <f t="shared" si="35"/>
        <v>-0.36196882064169605</v>
      </c>
      <c r="F94" s="21">
        <f>+C94-94983</f>
        <v>112187</v>
      </c>
      <c r="G94" s="21">
        <f>+D94-140464</f>
        <v>184238</v>
      </c>
      <c r="H94" s="23">
        <f t="shared" si="36"/>
        <v>-0.39107567385664194</v>
      </c>
      <c r="I94" s="24">
        <f t="shared" si="37"/>
        <v>58.301137906067481</v>
      </c>
      <c r="J94" s="24">
        <f t="shared" si="38"/>
        <v>107.66173210799826</v>
      </c>
      <c r="K94" s="21">
        <v>12078246.74</v>
      </c>
      <c r="L94" s="21">
        <v>12914541.609999999</v>
      </c>
      <c r="M94" s="25">
        <f t="shared" si="39"/>
        <v>-6.4756062991228325E-2</v>
      </c>
      <c r="N94" s="10"/>
      <c r="R94" s="2"/>
    </row>
    <row r="95" spans="1:18" ht="15.75" customHeight="1" x14ac:dyDescent="0.25">
      <c r="A95" s="19"/>
      <c r="B95" s="20">
        <f>DATE(2020,9,1)</f>
        <v>44075</v>
      </c>
      <c r="C95" s="21">
        <v>214679</v>
      </c>
      <c r="D95" s="21">
        <v>300779</v>
      </c>
      <c r="E95" s="23">
        <f t="shared" si="35"/>
        <v>-0.28625668680326749</v>
      </c>
      <c r="F95" s="21">
        <f>+C95-98438</f>
        <v>116241</v>
      </c>
      <c r="G95" s="21">
        <f>+D95-129539</f>
        <v>171240</v>
      </c>
      <c r="H95" s="23">
        <f t="shared" si="36"/>
        <v>-0.32118079887876666</v>
      </c>
      <c r="I95" s="24">
        <f t="shared" si="37"/>
        <v>53.75294761015283</v>
      </c>
      <c r="J95" s="24">
        <f t="shared" si="38"/>
        <v>99.273311826291916</v>
      </c>
      <c r="K95" s="21">
        <v>11539629.039999999</v>
      </c>
      <c r="L95" s="21">
        <v>12290273.1</v>
      </c>
      <c r="M95" s="25">
        <f t="shared" si="39"/>
        <v>-6.107627177137346E-2</v>
      </c>
      <c r="N95" s="10"/>
      <c r="R95" s="2"/>
    </row>
    <row r="96" spans="1:18" ht="15.75" customHeight="1" x14ac:dyDescent="0.25">
      <c r="A96" s="19"/>
      <c r="B96" s="20">
        <f>DATE(2020,10,1)</f>
        <v>44105</v>
      </c>
      <c r="C96" s="21">
        <v>212255</v>
      </c>
      <c r="D96" s="21">
        <v>283562</v>
      </c>
      <c r="E96" s="23">
        <f t="shared" si="35"/>
        <v>-0.2514688145802329</v>
      </c>
      <c r="F96" s="21">
        <f>+C96-97155</f>
        <v>115100</v>
      </c>
      <c r="G96" s="21">
        <f>+D96-124664</f>
        <v>158898</v>
      </c>
      <c r="H96" s="23">
        <f t="shared" si="36"/>
        <v>-0.27563594255434304</v>
      </c>
      <c r="I96" s="24">
        <f t="shared" si="37"/>
        <v>53.311127323266824</v>
      </c>
      <c r="J96" s="24">
        <f t="shared" si="38"/>
        <v>98.310628410078195</v>
      </c>
      <c r="K96" s="21">
        <v>11315553.33</v>
      </c>
      <c r="L96" s="21">
        <v>11906925.060000001</v>
      </c>
      <c r="M96" s="25">
        <f t="shared" si="39"/>
        <v>-4.9666200721011376E-2</v>
      </c>
      <c r="N96" s="10"/>
      <c r="R96" s="2"/>
    </row>
    <row r="97" spans="1:18" ht="15.75" customHeight="1" x14ac:dyDescent="0.25">
      <c r="A97" s="19"/>
      <c r="B97" s="20">
        <f>DATE(2020,11,1)</f>
        <v>44136</v>
      </c>
      <c r="C97" s="21">
        <v>182201</v>
      </c>
      <c r="D97" s="21">
        <v>284154</v>
      </c>
      <c r="E97" s="23">
        <f t="shared" si="35"/>
        <v>-0.35879487883330868</v>
      </c>
      <c r="F97" s="21">
        <f>+C97-83158</f>
        <v>99043</v>
      </c>
      <c r="G97" s="21">
        <f>+D97-126846</f>
        <v>157308</v>
      </c>
      <c r="H97" s="23">
        <f t="shared" si="36"/>
        <v>-0.37038802858087322</v>
      </c>
      <c r="I97" s="24">
        <f t="shared" si="37"/>
        <v>57.958710984023135</v>
      </c>
      <c r="J97" s="24">
        <f t="shared" si="38"/>
        <v>106.62172086871358</v>
      </c>
      <c r="K97" s="21">
        <v>10560135.1</v>
      </c>
      <c r="L97" s="21">
        <v>12108761.949999999</v>
      </c>
      <c r="M97" s="25">
        <f t="shared" si="39"/>
        <v>-0.12789307911037096</v>
      </c>
      <c r="N97" s="10"/>
      <c r="R97" s="2"/>
    </row>
    <row r="98" spans="1:18" ht="15.75" customHeight="1" x14ac:dyDescent="0.25">
      <c r="A98" s="19"/>
      <c r="B98" s="20">
        <f>DATE(2020,12,1)</f>
        <v>44166</v>
      </c>
      <c r="C98" s="21">
        <v>236586</v>
      </c>
      <c r="D98" s="21">
        <v>309372</v>
      </c>
      <c r="E98" s="23">
        <f t="shared" si="35"/>
        <v>-0.23527016019549279</v>
      </c>
      <c r="F98" s="21">
        <f>+C98-114318</f>
        <v>122268</v>
      </c>
      <c r="G98" s="21">
        <f>+D98-141822</f>
        <v>167550</v>
      </c>
      <c r="H98" s="23">
        <f t="shared" si="36"/>
        <v>-0.27025962399283798</v>
      </c>
      <c r="I98" s="24">
        <f t="shared" si="37"/>
        <v>58.413076259795595</v>
      </c>
      <c r="J98" s="24">
        <f t="shared" si="38"/>
        <v>113.02806997742664</v>
      </c>
      <c r="K98" s="21">
        <v>13819716.060000001</v>
      </c>
      <c r="L98" s="21">
        <v>12730914.02</v>
      </c>
      <c r="M98" s="25">
        <f t="shared" si="39"/>
        <v>8.5524263088220989E-2</v>
      </c>
      <c r="N98" s="10"/>
      <c r="R98" s="2"/>
    </row>
    <row r="99" spans="1:18" ht="15.75" customHeight="1" x14ac:dyDescent="0.25">
      <c r="A99" s="19"/>
      <c r="B99" s="20">
        <f>DATE(2021,1,1)</f>
        <v>44197</v>
      </c>
      <c r="C99" s="21">
        <v>267613</v>
      </c>
      <c r="D99" s="21">
        <v>285267</v>
      </c>
      <c r="E99" s="23">
        <f t="shared" si="35"/>
        <v>-6.1885882348817076E-2</v>
      </c>
      <c r="F99" s="21">
        <f>+C99-127713</f>
        <v>139900</v>
      </c>
      <c r="G99" s="21">
        <f>+D99-129272</f>
        <v>155995</v>
      </c>
      <c r="H99" s="23">
        <f t="shared" si="36"/>
        <v>-0.103176383858457</v>
      </c>
      <c r="I99" s="24">
        <f t="shared" si="37"/>
        <v>59.538376274695175</v>
      </c>
      <c r="J99" s="24">
        <f t="shared" si="38"/>
        <v>113.89023223731236</v>
      </c>
      <c r="K99" s="21">
        <v>15933243.49</v>
      </c>
      <c r="L99" s="21">
        <v>12532066.99</v>
      </c>
      <c r="M99" s="25">
        <f t="shared" si="39"/>
        <v>0.27139788693389355</v>
      </c>
      <c r="N99" s="10"/>
      <c r="R99" s="2"/>
    </row>
    <row r="100" spans="1:18" ht="15.75" customHeight="1" x14ac:dyDescent="0.25">
      <c r="A100" s="19"/>
      <c r="B100" s="20">
        <f>DATE(2021,2,1)</f>
        <v>44228</v>
      </c>
      <c r="C100" s="21">
        <v>191978</v>
      </c>
      <c r="D100" s="21">
        <v>302605</v>
      </c>
      <c r="E100" s="23">
        <f t="shared" si="35"/>
        <v>-0.3655821946101353</v>
      </c>
      <c r="F100" s="21">
        <f>+C100-89920</f>
        <v>102058</v>
      </c>
      <c r="G100" s="21">
        <f>+D100-136090</f>
        <v>166515</v>
      </c>
      <c r="H100" s="23">
        <f t="shared" si="36"/>
        <v>-0.38709425577275319</v>
      </c>
      <c r="I100" s="24">
        <f t="shared" si="37"/>
        <v>60.660395045265602</v>
      </c>
      <c r="J100" s="24">
        <f t="shared" si="38"/>
        <v>114.1063054341649</v>
      </c>
      <c r="K100" s="21">
        <v>11645461.32</v>
      </c>
      <c r="L100" s="21">
        <v>14123619.1</v>
      </c>
      <c r="M100" s="25">
        <f t="shared" si="39"/>
        <v>-0.17546195224140529</v>
      </c>
      <c r="N100" s="10"/>
      <c r="R100" s="2"/>
    </row>
    <row r="101" spans="1:18" ht="15.75" customHeight="1" x14ac:dyDescent="0.25">
      <c r="A101" s="19"/>
      <c r="B101" s="20">
        <f>DATE(2021,3,1)</f>
        <v>44256</v>
      </c>
      <c r="C101" s="21">
        <v>267033</v>
      </c>
      <c r="D101" s="21">
        <v>159571</v>
      </c>
      <c r="E101" s="23">
        <f t="shared" si="35"/>
        <v>0.67344316949821714</v>
      </c>
      <c r="F101" s="21">
        <f>+C101-127518</f>
        <v>139515</v>
      </c>
      <c r="G101" s="21">
        <f>+D101-71512</f>
        <v>88059</v>
      </c>
      <c r="H101" s="23">
        <f t="shared" si="36"/>
        <v>0.5843355023336626</v>
      </c>
      <c r="I101" s="24">
        <f t="shared" si="37"/>
        <v>63.947218957956501</v>
      </c>
      <c r="J101" s="24">
        <f t="shared" si="38"/>
        <v>122.39556836182489</v>
      </c>
      <c r="K101" s="21">
        <v>17076017.719999999</v>
      </c>
      <c r="L101" s="21">
        <v>7271133.6100000003</v>
      </c>
      <c r="M101" s="25">
        <f t="shared" si="39"/>
        <v>1.34846705285615</v>
      </c>
      <c r="N101" s="10"/>
      <c r="R101" s="2"/>
    </row>
    <row r="102" spans="1:18" ht="15.75" customHeight="1" thickBot="1" x14ac:dyDescent="0.3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SUM(C93:C102)</f>
        <v>1977973</v>
      </c>
      <c r="D103" s="41">
        <f>SUM(D93:D102)</f>
        <v>2573735</v>
      </c>
      <c r="E103" s="280">
        <f>(+C103-D103)/D103</f>
        <v>-0.23147759967518022</v>
      </c>
      <c r="F103" s="41">
        <f>SUM(F93:F102)</f>
        <v>1053258</v>
      </c>
      <c r="G103" s="41">
        <f>SUM(G93:G102)</f>
        <v>1434472</v>
      </c>
      <c r="H103" s="42">
        <f>(+F103-G103)/G103</f>
        <v>-0.26575213737179953</v>
      </c>
      <c r="I103" s="43">
        <f>K103/C103</f>
        <v>58.338097926513655</v>
      </c>
      <c r="J103" s="43">
        <f>K103/F103</f>
        <v>109.55642641214213</v>
      </c>
      <c r="K103" s="41">
        <f>SUM(K93:K102)</f>
        <v>115391182.56999999</v>
      </c>
      <c r="L103" s="41">
        <f>SUM(L93:L102)</f>
        <v>108440725.19999999</v>
      </c>
      <c r="M103" s="44">
        <f>(+K103-L103)/L103</f>
        <v>6.4094530511310199E-2</v>
      </c>
      <c r="N103" s="10"/>
      <c r="R103" s="2"/>
    </row>
    <row r="104" spans="1:18" ht="15.75" customHeight="1" thickTop="1" x14ac:dyDescent="0.2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 x14ac:dyDescent="0.25">
      <c r="A105" s="19" t="s">
        <v>16</v>
      </c>
      <c r="B105" s="20">
        <f>DATE(2020,7,1)</f>
        <v>44013</v>
      </c>
      <c r="C105" s="21">
        <v>211446</v>
      </c>
      <c r="D105" s="21">
        <v>366609</v>
      </c>
      <c r="E105" s="23">
        <f t="shared" ref="E105:E113" si="40">(+C105-D105)/D105</f>
        <v>-0.42323838203644754</v>
      </c>
      <c r="F105" s="21">
        <f>+C105-102823</f>
        <v>108623</v>
      </c>
      <c r="G105" s="21">
        <f>+D105-178251</f>
        <v>188358</v>
      </c>
      <c r="H105" s="23">
        <f t="shared" ref="H105:H113" si="41">(+F105-G105)/G105</f>
        <v>-0.42331623822720565</v>
      </c>
      <c r="I105" s="24">
        <f t="shared" ref="I105:I113" si="42">K105/C105</f>
        <v>65.394689944477548</v>
      </c>
      <c r="J105" s="24">
        <f t="shared" ref="J105:J113" si="43">K105/F105</f>
        <v>127.29758531802656</v>
      </c>
      <c r="K105" s="21">
        <v>13827445.609999999</v>
      </c>
      <c r="L105" s="21">
        <v>15689376.039999999</v>
      </c>
      <c r="M105" s="25">
        <f t="shared" ref="M105:M113" si="44">(+K105-L105)/L105</f>
        <v>-0.11867460026791478</v>
      </c>
      <c r="N105" s="10"/>
      <c r="R105" s="2"/>
    </row>
    <row r="106" spans="1:18" ht="15.75" customHeight="1" x14ac:dyDescent="0.25">
      <c r="A106" s="19"/>
      <c r="B106" s="20">
        <f>DATE(2020,8,1)</f>
        <v>44044</v>
      </c>
      <c r="C106" s="21">
        <v>225551</v>
      </c>
      <c r="D106" s="21">
        <v>384874</v>
      </c>
      <c r="E106" s="23">
        <f t="shared" si="40"/>
        <v>-0.41396145231946041</v>
      </c>
      <c r="F106" s="21">
        <f>+C106-110461</f>
        <v>115090</v>
      </c>
      <c r="G106" s="21">
        <f>+D106-186167</f>
        <v>198707</v>
      </c>
      <c r="H106" s="23">
        <f t="shared" si="41"/>
        <v>-0.42080550760667718</v>
      </c>
      <c r="I106" s="24">
        <f t="shared" si="42"/>
        <v>63.5922016750092</v>
      </c>
      <c r="J106" s="24">
        <f t="shared" si="43"/>
        <v>124.62668068468155</v>
      </c>
      <c r="K106" s="21">
        <v>14343284.68</v>
      </c>
      <c r="L106" s="21">
        <v>16597532.279999999</v>
      </c>
      <c r="M106" s="25">
        <f t="shared" si="44"/>
        <v>-0.13581823863758136</v>
      </c>
      <c r="N106" s="10"/>
      <c r="R106" s="2"/>
    </row>
    <row r="107" spans="1:18" ht="15.75" customHeight="1" x14ac:dyDescent="0.25">
      <c r="A107" s="19"/>
      <c r="B107" s="20">
        <f>DATE(2020,9,1)</f>
        <v>44075</v>
      </c>
      <c r="C107" s="21">
        <v>224827</v>
      </c>
      <c r="D107" s="21">
        <v>348168</v>
      </c>
      <c r="E107" s="23">
        <f t="shared" si="40"/>
        <v>-0.35425714023115279</v>
      </c>
      <c r="F107" s="21">
        <f>+C107-110393</f>
        <v>114434</v>
      </c>
      <c r="G107" s="21">
        <f>+D107-163347</f>
        <v>184821</v>
      </c>
      <c r="H107" s="23">
        <f t="shared" si="41"/>
        <v>-0.3808387575005005</v>
      </c>
      <c r="I107" s="24">
        <f t="shared" si="42"/>
        <v>60.458002019330422</v>
      </c>
      <c r="J107" s="24">
        <f t="shared" si="43"/>
        <v>118.78105475645351</v>
      </c>
      <c r="K107" s="21">
        <v>13592591.220000001</v>
      </c>
      <c r="L107" s="21">
        <v>15466295.43</v>
      </c>
      <c r="M107" s="25">
        <f t="shared" si="44"/>
        <v>-0.12114757657904114</v>
      </c>
      <c r="N107" s="10"/>
      <c r="R107" s="2"/>
    </row>
    <row r="108" spans="1:18" ht="15.75" customHeight="1" x14ac:dyDescent="0.25">
      <c r="A108" s="19"/>
      <c r="B108" s="20">
        <f>DATE(2020,10,1)</f>
        <v>44105</v>
      </c>
      <c r="C108" s="21">
        <v>236689</v>
      </c>
      <c r="D108" s="21">
        <v>347400</v>
      </c>
      <c r="E108" s="23">
        <f t="shared" si="40"/>
        <v>-0.31868451352907312</v>
      </c>
      <c r="F108" s="21">
        <f>+C108-116990</f>
        <v>119699</v>
      </c>
      <c r="G108" s="21">
        <f>+D108-164019</f>
        <v>183381</v>
      </c>
      <c r="H108" s="23">
        <f t="shared" si="41"/>
        <v>-0.3472660744570048</v>
      </c>
      <c r="I108" s="24">
        <f t="shared" si="42"/>
        <v>61.045766089678864</v>
      </c>
      <c r="J108" s="24">
        <f t="shared" si="43"/>
        <v>120.70995856272818</v>
      </c>
      <c r="K108" s="21">
        <v>14448861.33</v>
      </c>
      <c r="L108" s="21">
        <v>16339837.66</v>
      </c>
      <c r="M108" s="25">
        <f t="shared" si="44"/>
        <v>-0.11572797535370373</v>
      </c>
      <c r="N108" s="10"/>
      <c r="R108" s="2"/>
    </row>
    <row r="109" spans="1:18" ht="15.75" customHeight="1" x14ac:dyDescent="0.25">
      <c r="A109" s="19"/>
      <c r="B109" s="20">
        <f>DATE(2020,11,1)</f>
        <v>44136</v>
      </c>
      <c r="C109" s="21">
        <v>217833</v>
      </c>
      <c r="D109" s="21">
        <v>367906</v>
      </c>
      <c r="E109" s="23">
        <f t="shared" si="40"/>
        <v>-0.4079112599413981</v>
      </c>
      <c r="F109" s="21">
        <f>+C109-108450</f>
        <v>109383</v>
      </c>
      <c r="G109" s="21">
        <f>+D109-173004</f>
        <v>194902</v>
      </c>
      <c r="H109" s="23">
        <f t="shared" si="41"/>
        <v>-0.43877948917917725</v>
      </c>
      <c r="I109" s="24">
        <f t="shared" si="42"/>
        <v>57.770713482346565</v>
      </c>
      <c r="J109" s="24">
        <f t="shared" si="43"/>
        <v>115.04866231498497</v>
      </c>
      <c r="K109" s="21">
        <v>12584367.83</v>
      </c>
      <c r="L109" s="21">
        <v>16579737.300000001</v>
      </c>
      <c r="M109" s="25">
        <f t="shared" si="44"/>
        <v>-0.24097905761148583</v>
      </c>
      <c r="N109" s="10"/>
      <c r="R109" s="2"/>
    </row>
    <row r="110" spans="1:18" ht="15.75" customHeight="1" x14ac:dyDescent="0.25">
      <c r="A110" s="19"/>
      <c r="B110" s="20">
        <f>DATE(2020,12,1)</f>
        <v>44166</v>
      </c>
      <c r="C110" s="21">
        <v>232838</v>
      </c>
      <c r="D110" s="21">
        <v>375779</v>
      </c>
      <c r="E110" s="23">
        <f t="shared" si="40"/>
        <v>-0.3803858118734682</v>
      </c>
      <c r="F110" s="21">
        <f>+C110-115697</f>
        <v>117141</v>
      </c>
      <c r="G110" s="21">
        <f>+D110-181369</f>
        <v>194410</v>
      </c>
      <c r="H110" s="23">
        <f t="shared" si="41"/>
        <v>-0.39745383467928602</v>
      </c>
      <c r="I110" s="24">
        <f t="shared" si="42"/>
        <v>60.641073922641489</v>
      </c>
      <c r="J110" s="24">
        <f t="shared" si="43"/>
        <v>120.53462382940216</v>
      </c>
      <c r="K110" s="21">
        <v>14119546.369999999</v>
      </c>
      <c r="L110" s="21">
        <v>15685280.15</v>
      </c>
      <c r="M110" s="25">
        <f t="shared" si="44"/>
        <v>-9.9821856226138317E-2</v>
      </c>
      <c r="N110" s="10"/>
      <c r="R110" s="2"/>
    </row>
    <row r="111" spans="1:18" ht="15.75" customHeight="1" x14ac:dyDescent="0.25">
      <c r="A111" s="19"/>
      <c r="B111" s="20">
        <f>DATE(2021,1,1)</f>
        <v>44197</v>
      </c>
      <c r="C111" s="21">
        <v>260524</v>
      </c>
      <c r="D111" s="21">
        <v>330613</v>
      </c>
      <c r="E111" s="23">
        <f t="shared" si="40"/>
        <v>-0.211997108401666</v>
      </c>
      <c r="F111" s="21">
        <f>+C111-129652</f>
        <v>130872</v>
      </c>
      <c r="G111" s="21">
        <f>+D111-158076</f>
        <v>172537</v>
      </c>
      <c r="H111" s="23">
        <f t="shared" si="41"/>
        <v>-0.24148443522258994</v>
      </c>
      <c r="I111" s="24">
        <f t="shared" si="42"/>
        <v>60.423358462176225</v>
      </c>
      <c r="J111" s="24">
        <f t="shared" si="43"/>
        <v>120.28344519836175</v>
      </c>
      <c r="K111" s="21">
        <v>15741735.039999999</v>
      </c>
      <c r="L111" s="21">
        <v>15064884.390000001</v>
      </c>
      <c r="M111" s="25">
        <f t="shared" si="44"/>
        <v>4.4929030484249108E-2</v>
      </c>
      <c r="N111" s="10"/>
      <c r="R111" s="2"/>
    </row>
    <row r="112" spans="1:18" ht="15.75" customHeight="1" x14ac:dyDescent="0.25">
      <c r="A112" s="19"/>
      <c r="B112" s="20">
        <f>DATE(2021,2,1)</f>
        <v>44228</v>
      </c>
      <c r="C112" s="21">
        <v>219600</v>
      </c>
      <c r="D112" s="21">
        <v>374709</v>
      </c>
      <c r="E112" s="23">
        <f t="shared" si="40"/>
        <v>-0.41394522149187768</v>
      </c>
      <c r="F112" s="21">
        <f>+C112-109391</f>
        <v>110209</v>
      </c>
      <c r="G112" s="21">
        <f>+D112-179401</f>
        <v>195308</v>
      </c>
      <c r="H112" s="23">
        <f t="shared" si="41"/>
        <v>-0.43571691891781189</v>
      </c>
      <c r="I112" s="24">
        <f t="shared" si="42"/>
        <v>60.750195628415305</v>
      </c>
      <c r="J112" s="24">
        <f t="shared" si="43"/>
        <v>121.04948742843145</v>
      </c>
      <c r="K112" s="21">
        <v>13340742.960000001</v>
      </c>
      <c r="L112" s="21">
        <v>17069473.640000001</v>
      </c>
      <c r="M112" s="25">
        <f t="shared" si="44"/>
        <v>-0.21844438549424419</v>
      </c>
      <c r="N112" s="10"/>
      <c r="R112" s="2"/>
    </row>
    <row r="113" spans="1:18" ht="15.75" customHeight="1" x14ac:dyDescent="0.25">
      <c r="A113" s="19"/>
      <c r="B113" s="20">
        <f>DATE(2021,3,1)</f>
        <v>44256</v>
      </c>
      <c r="C113" s="21">
        <v>314144</v>
      </c>
      <c r="D113" s="21">
        <v>181154</v>
      </c>
      <c r="E113" s="23">
        <f t="shared" si="40"/>
        <v>0.73412676507281094</v>
      </c>
      <c r="F113" s="21">
        <f>+C113-159326</f>
        <v>154818</v>
      </c>
      <c r="G113" s="21">
        <f>+D113-86940</f>
        <v>94214</v>
      </c>
      <c r="H113" s="23">
        <f t="shared" si="41"/>
        <v>0.64325896363597768</v>
      </c>
      <c r="I113" s="24">
        <f t="shared" si="42"/>
        <v>62.675175301772434</v>
      </c>
      <c r="J113" s="24">
        <f t="shared" si="43"/>
        <v>127.17533019416346</v>
      </c>
      <c r="K113" s="21">
        <v>19689030.27</v>
      </c>
      <c r="L113" s="21">
        <v>8556336.3699999992</v>
      </c>
      <c r="M113" s="25">
        <f t="shared" si="44"/>
        <v>1.3011052182372305</v>
      </c>
      <c r="N113" s="10"/>
      <c r="R113" s="2"/>
    </row>
    <row r="114" spans="1:18" ht="15.75" customHeight="1" thickBot="1" x14ac:dyDescent="0.3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SUM(C105:C114)</f>
        <v>2143452</v>
      </c>
      <c r="D115" s="41">
        <f>SUM(D105:D114)</f>
        <v>3077212</v>
      </c>
      <c r="E115" s="280">
        <f>(+C115-D115)/D115</f>
        <v>-0.30344350665472514</v>
      </c>
      <c r="F115" s="41">
        <f>SUM(F105:F114)</f>
        <v>1080269</v>
      </c>
      <c r="G115" s="41">
        <f>SUM(G105:G114)</f>
        <v>1606638</v>
      </c>
      <c r="H115" s="42">
        <f>(+F115-G115)/G115</f>
        <v>-0.32762140569313064</v>
      </c>
      <c r="I115" s="43">
        <f>K115/C115</f>
        <v>61.43716085547986</v>
      </c>
      <c r="J115" s="43">
        <f>K115/F115</f>
        <v>121.90260510113686</v>
      </c>
      <c r="K115" s="41">
        <f>SUM(K105:K114)</f>
        <v>131687605.31000002</v>
      </c>
      <c r="L115" s="41">
        <f>SUM(L105:L114)</f>
        <v>137048753.25999999</v>
      </c>
      <c r="M115" s="44">
        <f>(+K115-L115)/L115</f>
        <v>-3.9118545936927651E-2</v>
      </c>
      <c r="N115" s="10"/>
      <c r="R115" s="2"/>
    </row>
    <row r="116" spans="1:18" ht="15.75" customHeight="1" thickTop="1" x14ac:dyDescent="0.2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 x14ac:dyDescent="0.25">
      <c r="A117" s="19" t="s">
        <v>54</v>
      </c>
      <c r="B117" s="20">
        <f>DATE(2020,7,1)</f>
        <v>44013</v>
      </c>
      <c r="C117" s="21">
        <v>223492</v>
      </c>
      <c r="D117" s="21">
        <v>420137</v>
      </c>
      <c r="E117" s="23">
        <f t="shared" ref="E117:E125" si="45">(+C117-D117)/D117</f>
        <v>-0.46804970759537962</v>
      </c>
      <c r="F117" s="21">
        <f>+C117-109534</f>
        <v>113958</v>
      </c>
      <c r="G117" s="21">
        <f>+D117-190250</f>
        <v>229887</v>
      </c>
      <c r="H117" s="23">
        <f t="shared" ref="H117:H125" si="46">(+F117-G117)/G117</f>
        <v>-0.50428688877578987</v>
      </c>
      <c r="I117" s="24">
        <f t="shared" ref="I117:I125" si="47">K117/C117</f>
        <v>67.284607413240749</v>
      </c>
      <c r="J117" s="24">
        <f t="shared" ref="J117:J125" si="48">K117/F117</f>
        <v>131.9571375419014</v>
      </c>
      <c r="K117" s="21">
        <v>15037571.48</v>
      </c>
      <c r="L117" s="21">
        <v>18224766.800000001</v>
      </c>
      <c r="M117" s="25">
        <f t="shared" ref="M117:M125" si="49">(+K117-L117)/L117</f>
        <v>-0.17488263937621415</v>
      </c>
      <c r="N117" s="10"/>
      <c r="R117" s="2"/>
    </row>
    <row r="118" spans="1:18" ht="15.75" customHeight="1" x14ac:dyDescent="0.25">
      <c r="A118" s="19"/>
      <c r="B118" s="20">
        <f>DATE(2020,8,1)</f>
        <v>44044</v>
      </c>
      <c r="C118" s="21">
        <v>243172</v>
      </c>
      <c r="D118" s="21">
        <v>436427</v>
      </c>
      <c r="E118" s="23">
        <f t="shared" si="45"/>
        <v>-0.44281174171167226</v>
      </c>
      <c r="F118" s="21">
        <f>+C118-117936</f>
        <v>125236</v>
      </c>
      <c r="G118" s="21">
        <f>+D118-195454</f>
        <v>240973</v>
      </c>
      <c r="H118" s="23">
        <f t="shared" si="46"/>
        <v>-0.48029032298224283</v>
      </c>
      <c r="I118" s="24">
        <f t="shared" si="47"/>
        <v>65.227788561183033</v>
      </c>
      <c r="J118" s="24">
        <f t="shared" si="48"/>
        <v>126.65345268133764</v>
      </c>
      <c r="K118" s="21">
        <v>15861571.800000001</v>
      </c>
      <c r="L118" s="21">
        <v>19518295.300000001</v>
      </c>
      <c r="M118" s="25">
        <f t="shared" si="49"/>
        <v>-0.18734850783818194</v>
      </c>
      <c r="N118" s="10"/>
      <c r="R118" s="2"/>
    </row>
    <row r="119" spans="1:18" ht="15.75" customHeight="1" x14ac:dyDescent="0.25">
      <c r="A119" s="19"/>
      <c r="B119" s="20">
        <f>DATE(2020,9,1)</f>
        <v>44075</v>
      </c>
      <c r="C119" s="21">
        <v>258989</v>
      </c>
      <c r="D119" s="21">
        <v>419890</v>
      </c>
      <c r="E119" s="23">
        <f t="shared" si="45"/>
        <v>-0.38319798042344422</v>
      </c>
      <c r="F119" s="21">
        <f>+C119-126754</f>
        <v>132235</v>
      </c>
      <c r="G119" s="21">
        <f>+D119-187135</f>
        <v>232755</v>
      </c>
      <c r="H119" s="23">
        <f t="shared" si="46"/>
        <v>-0.43187042168804107</v>
      </c>
      <c r="I119" s="24">
        <f t="shared" si="47"/>
        <v>63.346609122395158</v>
      </c>
      <c r="J119" s="24">
        <f t="shared" si="48"/>
        <v>124.06756872235036</v>
      </c>
      <c r="K119" s="21">
        <v>16406074.949999999</v>
      </c>
      <c r="L119" s="21">
        <v>18459322.530000001</v>
      </c>
      <c r="M119" s="25">
        <f t="shared" si="49"/>
        <v>-0.11123092825660714</v>
      </c>
      <c r="N119" s="10"/>
      <c r="R119" s="2"/>
    </row>
    <row r="120" spans="1:18" ht="15.75" customHeight="1" x14ac:dyDescent="0.25">
      <c r="A120" s="19"/>
      <c r="B120" s="20">
        <f>DATE(2020,10,1)</f>
        <v>44105</v>
      </c>
      <c r="C120" s="21">
        <v>272659</v>
      </c>
      <c r="D120" s="21">
        <v>422307</v>
      </c>
      <c r="E120" s="23">
        <f t="shared" si="45"/>
        <v>-0.3543583222631877</v>
      </c>
      <c r="F120" s="21">
        <f>+C120-130567</f>
        <v>142092</v>
      </c>
      <c r="G120" s="21">
        <f>+D120-185957</f>
        <v>236350</v>
      </c>
      <c r="H120" s="23">
        <f t="shared" si="46"/>
        <v>-0.39880685424159085</v>
      </c>
      <c r="I120" s="24">
        <f t="shared" si="47"/>
        <v>60.090470587803807</v>
      </c>
      <c r="J120" s="24">
        <f t="shared" si="48"/>
        <v>115.30703783464234</v>
      </c>
      <c r="K120" s="21">
        <v>16384207.619999999</v>
      </c>
      <c r="L120" s="21">
        <v>18621742.489999998</v>
      </c>
      <c r="M120" s="25">
        <f t="shared" si="49"/>
        <v>-0.12015711586612104</v>
      </c>
      <c r="N120" s="10"/>
      <c r="R120" s="2"/>
    </row>
    <row r="121" spans="1:18" ht="15.75" customHeight="1" x14ac:dyDescent="0.25">
      <c r="A121" s="19"/>
      <c r="B121" s="20">
        <f>DATE(2020,11,1)</f>
        <v>44136</v>
      </c>
      <c r="C121" s="21">
        <v>229316</v>
      </c>
      <c r="D121" s="21">
        <v>434809</v>
      </c>
      <c r="E121" s="23">
        <f t="shared" si="45"/>
        <v>-0.4726052128635792</v>
      </c>
      <c r="F121" s="21">
        <f>+C121-112072</f>
        <v>117244</v>
      </c>
      <c r="G121" s="21">
        <f>+D121-195397</f>
        <v>239412</v>
      </c>
      <c r="H121" s="23">
        <f t="shared" si="46"/>
        <v>-0.51028352797687671</v>
      </c>
      <c r="I121" s="24">
        <f t="shared" si="47"/>
        <v>63.174358483490032</v>
      </c>
      <c r="J121" s="24">
        <f t="shared" si="48"/>
        <v>123.56189817815837</v>
      </c>
      <c r="K121" s="21">
        <v>14486891.189999999</v>
      </c>
      <c r="L121" s="21">
        <v>19750307.149999999</v>
      </c>
      <c r="M121" s="25">
        <f t="shared" si="49"/>
        <v>-0.26649792937524008</v>
      </c>
      <c r="N121" s="10"/>
      <c r="R121" s="2"/>
    </row>
    <row r="122" spans="1:18" ht="15.75" customHeight="1" x14ac:dyDescent="0.25">
      <c r="A122" s="19"/>
      <c r="B122" s="20">
        <f>DATE(2020,12,1)</f>
        <v>44166</v>
      </c>
      <c r="C122" s="21">
        <v>224469</v>
      </c>
      <c r="D122" s="21">
        <v>424920</v>
      </c>
      <c r="E122" s="23">
        <f t="shared" si="45"/>
        <v>-0.47173820954532619</v>
      </c>
      <c r="F122" s="21">
        <f>+C122-110658</f>
        <v>113811</v>
      </c>
      <c r="G122" s="21">
        <f>+D122-195550</f>
        <v>229370</v>
      </c>
      <c r="H122" s="23">
        <f t="shared" si="46"/>
        <v>-0.5038104372847364</v>
      </c>
      <c r="I122" s="24">
        <f t="shared" si="47"/>
        <v>62.790052479406953</v>
      </c>
      <c r="J122" s="24">
        <f t="shared" si="48"/>
        <v>123.84058034812099</v>
      </c>
      <c r="K122" s="21">
        <v>14094420.289999999</v>
      </c>
      <c r="L122" s="21">
        <v>19938989.449999999</v>
      </c>
      <c r="M122" s="25">
        <f t="shared" si="49"/>
        <v>-0.29312263666401611</v>
      </c>
      <c r="N122" s="10"/>
      <c r="R122" s="2"/>
    </row>
    <row r="123" spans="1:18" ht="15.75" customHeight="1" x14ac:dyDescent="0.25">
      <c r="A123" s="19"/>
      <c r="B123" s="20">
        <f>DATE(2021,1,1)</f>
        <v>44197</v>
      </c>
      <c r="C123" s="21">
        <v>245222</v>
      </c>
      <c r="D123" s="21">
        <v>399730</v>
      </c>
      <c r="E123" s="23">
        <f t="shared" si="45"/>
        <v>-0.38653090836314513</v>
      </c>
      <c r="F123" s="21">
        <f>+C123-119074</f>
        <v>126148</v>
      </c>
      <c r="G123" s="21">
        <f>+D123-185431</f>
        <v>214299</v>
      </c>
      <c r="H123" s="23">
        <f t="shared" si="46"/>
        <v>-0.41134582989188001</v>
      </c>
      <c r="I123" s="24">
        <f t="shared" si="47"/>
        <v>63.976695280195088</v>
      </c>
      <c r="J123" s="24">
        <f t="shared" si="48"/>
        <v>124.36577012715223</v>
      </c>
      <c r="K123" s="21">
        <v>15688493.17</v>
      </c>
      <c r="L123" s="21">
        <v>18939147.039999999</v>
      </c>
      <c r="M123" s="25">
        <f t="shared" si="49"/>
        <v>-0.17163676184225873</v>
      </c>
      <c r="N123" s="10"/>
      <c r="R123" s="2"/>
    </row>
    <row r="124" spans="1:18" ht="15.75" customHeight="1" x14ac:dyDescent="0.25">
      <c r="A124" s="19"/>
      <c r="B124" s="20">
        <f>DATE(2021,2,1)</f>
        <v>44228</v>
      </c>
      <c r="C124" s="21">
        <v>206903</v>
      </c>
      <c r="D124" s="21">
        <v>435690</v>
      </c>
      <c r="E124" s="23">
        <f t="shared" si="45"/>
        <v>-0.52511418669237298</v>
      </c>
      <c r="F124" s="21">
        <f>+C124-98743</f>
        <v>108160</v>
      </c>
      <c r="G124" s="21">
        <f>+D124-192836</f>
        <v>242854</v>
      </c>
      <c r="H124" s="23">
        <f t="shared" si="46"/>
        <v>-0.55462953049980646</v>
      </c>
      <c r="I124" s="24">
        <f t="shared" si="47"/>
        <v>64.500585636747658</v>
      </c>
      <c r="J124" s="24">
        <f t="shared" si="48"/>
        <v>123.38539820636095</v>
      </c>
      <c r="K124" s="21">
        <v>13345364.67</v>
      </c>
      <c r="L124" s="21">
        <v>18816164.98</v>
      </c>
      <c r="M124" s="25">
        <f t="shared" si="49"/>
        <v>-0.29075001817931556</v>
      </c>
      <c r="N124" s="10"/>
      <c r="R124" s="2"/>
    </row>
    <row r="125" spans="1:18" ht="15.75" customHeight="1" x14ac:dyDescent="0.25">
      <c r="A125" s="19"/>
      <c r="B125" s="20">
        <f>DATE(2021,3,1)</f>
        <v>44256</v>
      </c>
      <c r="C125" s="21">
        <v>292430</v>
      </c>
      <c r="D125" s="21">
        <v>197840</v>
      </c>
      <c r="E125" s="23">
        <f t="shared" si="45"/>
        <v>0.4781136271734735</v>
      </c>
      <c r="F125" s="21">
        <f>+C125-142039</f>
        <v>150391</v>
      </c>
      <c r="G125" s="21">
        <f>+D125-89524</f>
        <v>108316</v>
      </c>
      <c r="H125" s="23">
        <f t="shared" si="46"/>
        <v>0.38844676686731416</v>
      </c>
      <c r="I125" s="24">
        <f t="shared" si="47"/>
        <v>64.788983004479704</v>
      </c>
      <c r="J125" s="24">
        <f t="shared" si="48"/>
        <v>125.97989440857499</v>
      </c>
      <c r="K125" s="21">
        <v>18946242.300000001</v>
      </c>
      <c r="L125" s="21">
        <v>9648338.7699999996</v>
      </c>
      <c r="M125" s="25">
        <f t="shared" si="49"/>
        <v>0.96367921480020768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SUM(C117:C126)</f>
        <v>2196652</v>
      </c>
      <c r="D127" s="41">
        <f>SUM(D117:D126)</f>
        <v>3591750</v>
      </c>
      <c r="E127" s="280">
        <f>(+C127-D127)/D127</f>
        <v>-0.38841734530521332</v>
      </c>
      <c r="F127" s="41">
        <f>SUM(F117:F126)</f>
        <v>1129275</v>
      </c>
      <c r="G127" s="41">
        <f>SUM(G117:G126)</f>
        <v>1974216</v>
      </c>
      <c r="H127" s="42">
        <f>(+F127-G127)/G127</f>
        <v>-0.42798812288017118</v>
      </c>
      <c r="I127" s="43">
        <f>K127/C127</f>
        <v>63.847545023062381</v>
      </c>
      <c r="J127" s="43">
        <f>K127/F127</f>
        <v>124.19546830488591</v>
      </c>
      <c r="K127" s="41">
        <f>SUM(K117:K126)</f>
        <v>140250837.47000003</v>
      </c>
      <c r="L127" s="41">
        <f>SUM(L117:L126)</f>
        <v>161917074.51000002</v>
      </c>
      <c r="M127" s="44">
        <f>(+K127-L127)/L127</f>
        <v>-0.13381069973977255</v>
      </c>
      <c r="N127" s="10"/>
      <c r="R127" s="2"/>
    </row>
    <row r="128" spans="1:18" ht="15.75" customHeight="1" thickTop="1" x14ac:dyDescent="0.2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 x14ac:dyDescent="0.25">
      <c r="A129" s="19" t="s">
        <v>55</v>
      </c>
      <c r="B129" s="20">
        <f>DATE(2020,7,1)</f>
        <v>44013</v>
      </c>
      <c r="C129" s="21">
        <v>43226</v>
      </c>
      <c r="D129" s="21">
        <v>61327</v>
      </c>
      <c r="E129" s="23">
        <f t="shared" ref="E129:E137" si="50">(+C129-D129)/D129</f>
        <v>-0.29515547801131636</v>
      </c>
      <c r="F129" s="21">
        <f>+C129-22161</f>
        <v>21065</v>
      </c>
      <c r="G129" s="21">
        <f>+D129-29380</f>
        <v>31947</v>
      </c>
      <c r="H129" s="23">
        <f t="shared" ref="H129:H137" si="51">(+F129-G129)/G129</f>
        <v>-0.34062666291044541</v>
      </c>
      <c r="I129" s="24">
        <f t="shared" ref="I129:I137" si="52">K129/C129</f>
        <v>68.785856891685569</v>
      </c>
      <c r="J129" s="24">
        <f t="shared" ref="J129:J137" si="53">K129/F129</f>
        <v>141.15060289579873</v>
      </c>
      <c r="K129" s="21">
        <v>2973337.45</v>
      </c>
      <c r="L129" s="21">
        <v>2748922.94</v>
      </c>
      <c r="M129" s="25">
        <f t="shared" ref="M129:M137" si="54">(+K129-L129)/L129</f>
        <v>8.1637250260642169E-2</v>
      </c>
      <c r="N129" s="10"/>
      <c r="R129" s="2"/>
    </row>
    <row r="130" spans="1:18" ht="15" customHeight="1" x14ac:dyDescent="0.25">
      <c r="A130" s="19"/>
      <c r="B130" s="20">
        <f>DATE(2020,8,1)</f>
        <v>44044</v>
      </c>
      <c r="C130" s="21">
        <v>46706</v>
      </c>
      <c r="D130" s="21">
        <v>62887</v>
      </c>
      <c r="E130" s="23">
        <f t="shared" si="50"/>
        <v>-0.25730278117894001</v>
      </c>
      <c r="F130" s="21">
        <f>+C130-23797</f>
        <v>22909</v>
      </c>
      <c r="G130" s="21">
        <f>+D130-30695</f>
        <v>32192</v>
      </c>
      <c r="H130" s="23">
        <f t="shared" si="51"/>
        <v>-0.28836356858846918</v>
      </c>
      <c r="I130" s="24">
        <f t="shared" si="52"/>
        <v>65.788545797113855</v>
      </c>
      <c r="J130" s="24">
        <f t="shared" si="53"/>
        <v>134.12719106028197</v>
      </c>
      <c r="K130" s="21">
        <v>3072719.82</v>
      </c>
      <c r="L130" s="21">
        <v>2960495.62</v>
      </c>
      <c r="M130" s="25">
        <f t="shared" si="54"/>
        <v>3.7907233924568254E-2</v>
      </c>
      <c r="N130" s="10"/>
      <c r="R130" s="2"/>
    </row>
    <row r="131" spans="1:18" ht="15" customHeight="1" x14ac:dyDescent="0.25">
      <c r="A131" s="19"/>
      <c r="B131" s="20">
        <f>DATE(2020,9,1)</f>
        <v>44075</v>
      </c>
      <c r="C131" s="21">
        <v>44655</v>
      </c>
      <c r="D131" s="21">
        <v>59108</v>
      </c>
      <c r="E131" s="23">
        <f t="shared" si="50"/>
        <v>-0.24451850849292819</v>
      </c>
      <c r="F131" s="21">
        <f>+C131-22941</f>
        <v>21714</v>
      </c>
      <c r="G131" s="21">
        <f>+D131-28508</f>
        <v>30600</v>
      </c>
      <c r="H131" s="23">
        <f t="shared" si="51"/>
        <v>-0.29039215686274511</v>
      </c>
      <c r="I131" s="24">
        <f t="shared" si="52"/>
        <v>63.064807748292466</v>
      </c>
      <c r="J131" s="24">
        <f t="shared" si="53"/>
        <v>129.69323892419638</v>
      </c>
      <c r="K131" s="21">
        <v>2816158.99</v>
      </c>
      <c r="L131" s="21">
        <v>2697791.52</v>
      </c>
      <c r="M131" s="25">
        <f t="shared" si="54"/>
        <v>4.3875692069786108E-2</v>
      </c>
      <c r="N131" s="10"/>
      <c r="R131" s="2"/>
    </row>
    <row r="132" spans="1:18" ht="15" customHeight="1" x14ac:dyDescent="0.25">
      <c r="A132" s="19"/>
      <c r="B132" s="20">
        <f>DATE(2020,10,1)</f>
        <v>44105</v>
      </c>
      <c r="C132" s="21">
        <v>42403</v>
      </c>
      <c r="D132" s="21">
        <v>56197</v>
      </c>
      <c r="E132" s="23">
        <f t="shared" si="50"/>
        <v>-0.24545794259480044</v>
      </c>
      <c r="F132" s="21">
        <f>+C132-22277</f>
        <v>20126</v>
      </c>
      <c r="G132" s="21">
        <f>+D132-27661</f>
        <v>28536</v>
      </c>
      <c r="H132" s="23">
        <f t="shared" si="51"/>
        <v>-0.29471544715447157</v>
      </c>
      <c r="I132" s="24">
        <f t="shared" si="52"/>
        <v>67.736065136900692</v>
      </c>
      <c r="J132" s="24">
        <f t="shared" si="53"/>
        <v>142.71153582430688</v>
      </c>
      <c r="K132" s="21">
        <v>2872212.37</v>
      </c>
      <c r="L132" s="21">
        <v>2815045.18</v>
      </c>
      <c r="M132" s="25">
        <f t="shared" si="54"/>
        <v>2.0307734457036295E-2</v>
      </c>
      <c r="N132" s="10"/>
      <c r="R132" s="2"/>
    </row>
    <row r="133" spans="1:18" ht="15" customHeight="1" x14ac:dyDescent="0.25">
      <c r="A133" s="19"/>
      <c r="B133" s="20">
        <f>DATE(2020,11,1)</f>
        <v>44136</v>
      </c>
      <c r="C133" s="21">
        <v>37816</v>
      </c>
      <c r="D133" s="21">
        <v>56040</v>
      </c>
      <c r="E133" s="23">
        <f t="shared" si="50"/>
        <v>-0.32519628836545322</v>
      </c>
      <c r="F133" s="21">
        <f>+C133-19316</f>
        <v>18500</v>
      </c>
      <c r="G133" s="21">
        <f>+D133-27978</f>
        <v>28062</v>
      </c>
      <c r="H133" s="23">
        <f t="shared" si="51"/>
        <v>-0.34074549212458127</v>
      </c>
      <c r="I133" s="24">
        <f t="shared" si="52"/>
        <v>70.016627882377819</v>
      </c>
      <c r="J133" s="24">
        <f t="shared" si="53"/>
        <v>143.12155675675675</v>
      </c>
      <c r="K133" s="21">
        <v>2647748.7999999998</v>
      </c>
      <c r="L133" s="21">
        <v>2921369.96</v>
      </c>
      <c r="M133" s="25">
        <f t="shared" si="54"/>
        <v>-9.3661933868862041E-2</v>
      </c>
      <c r="N133" s="10"/>
      <c r="R133" s="2"/>
    </row>
    <row r="134" spans="1:18" ht="15" customHeight="1" x14ac:dyDescent="0.25">
      <c r="A134" s="19"/>
      <c r="B134" s="20">
        <f>DATE(2020,12,1)</f>
        <v>44166</v>
      </c>
      <c r="C134" s="21">
        <v>48198</v>
      </c>
      <c r="D134" s="21">
        <v>57797</v>
      </c>
      <c r="E134" s="23">
        <f t="shared" si="50"/>
        <v>-0.16608128449573506</v>
      </c>
      <c r="F134" s="21">
        <f>+C134-24463</f>
        <v>23735</v>
      </c>
      <c r="G134" s="21">
        <f>+D134-28840</f>
        <v>28957</v>
      </c>
      <c r="H134" s="23">
        <f t="shared" si="51"/>
        <v>-0.18033636081085747</v>
      </c>
      <c r="I134" s="24">
        <f t="shared" si="52"/>
        <v>68.945855222208394</v>
      </c>
      <c r="J134" s="24">
        <f t="shared" si="53"/>
        <v>140.00641794817781</v>
      </c>
      <c r="K134" s="21">
        <v>3323052.33</v>
      </c>
      <c r="L134" s="21">
        <v>2789521.62</v>
      </c>
      <c r="M134" s="25">
        <f t="shared" si="54"/>
        <v>0.1912624394716109</v>
      </c>
      <c r="N134" s="10"/>
      <c r="R134" s="2"/>
    </row>
    <row r="135" spans="1:18" ht="15" customHeight="1" x14ac:dyDescent="0.25">
      <c r="A135" s="19"/>
      <c r="B135" s="20">
        <f>DATE(2021,1,1)</f>
        <v>44197</v>
      </c>
      <c r="C135" s="21">
        <v>49456</v>
      </c>
      <c r="D135" s="21">
        <v>48934</v>
      </c>
      <c r="E135" s="23">
        <f t="shared" si="50"/>
        <v>1.0667429599051785E-2</v>
      </c>
      <c r="F135" s="21">
        <f>+C135-25797</f>
        <v>23659</v>
      </c>
      <c r="G135" s="21">
        <f>+D135-24962</f>
        <v>23972</v>
      </c>
      <c r="H135" s="23">
        <f t="shared" si="51"/>
        <v>-1.3056899716335725E-2</v>
      </c>
      <c r="I135" s="24">
        <f t="shared" si="52"/>
        <v>70.99026670171466</v>
      </c>
      <c r="J135" s="24">
        <f t="shared" si="53"/>
        <v>148.39573227947082</v>
      </c>
      <c r="K135" s="21">
        <v>3510894.63</v>
      </c>
      <c r="L135" s="21">
        <v>2557164.2999999998</v>
      </c>
      <c r="M135" s="25">
        <f t="shared" si="54"/>
        <v>0.37296404067583772</v>
      </c>
      <c r="N135" s="10"/>
      <c r="R135" s="2"/>
    </row>
    <row r="136" spans="1:18" ht="15" customHeight="1" x14ac:dyDescent="0.25">
      <c r="A136" s="19"/>
      <c r="B136" s="20">
        <f>DATE(2021,2,1)</f>
        <v>44228</v>
      </c>
      <c r="C136" s="21">
        <v>37429</v>
      </c>
      <c r="D136" s="21">
        <v>57643</v>
      </c>
      <c r="E136" s="23">
        <f t="shared" si="50"/>
        <v>-0.35067571084086535</v>
      </c>
      <c r="F136" s="21">
        <f>+C136-19952</f>
        <v>17477</v>
      </c>
      <c r="G136" s="21">
        <f>+D136-29130</f>
        <v>28513</v>
      </c>
      <c r="H136" s="23">
        <f t="shared" si="51"/>
        <v>-0.38705152035913443</v>
      </c>
      <c r="I136" s="24">
        <f t="shared" si="52"/>
        <v>70.194734029763026</v>
      </c>
      <c r="J136" s="24">
        <f t="shared" si="53"/>
        <v>150.33007381129485</v>
      </c>
      <c r="K136" s="21">
        <v>2627318.7000000002</v>
      </c>
      <c r="L136" s="21">
        <v>2997668.94</v>
      </c>
      <c r="M136" s="25">
        <f t="shared" si="54"/>
        <v>-0.12354607777335137</v>
      </c>
      <c r="N136" s="10"/>
      <c r="R136" s="2"/>
    </row>
    <row r="137" spans="1:18" ht="15" customHeight="1" x14ac:dyDescent="0.25">
      <c r="A137" s="19"/>
      <c r="B137" s="20">
        <f>DATE(2021,3,1)</f>
        <v>44256</v>
      </c>
      <c r="C137" s="21">
        <v>59560</v>
      </c>
      <c r="D137" s="21">
        <v>31920</v>
      </c>
      <c r="E137" s="23">
        <f t="shared" si="50"/>
        <v>0.86591478696741853</v>
      </c>
      <c r="F137" s="21">
        <f>+C137-31450</f>
        <v>28110</v>
      </c>
      <c r="G137" s="21">
        <f>+D137-15915</f>
        <v>16005</v>
      </c>
      <c r="H137" s="23">
        <f t="shared" si="51"/>
        <v>0.75632614807872545</v>
      </c>
      <c r="I137" s="24">
        <f t="shared" si="52"/>
        <v>71.871571020819331</v>
      </c>
      <c r="J137" s="24">
        <f t="shared" si="53"/>
        <v>152.28284489505512</v>
      </c>
      <c r="K137" s="21">
        <v>4280670.7699999996</v>
      </c>
      <c r="L137" s="21">
        <v>1820820.56</v>
      </c>
      <c r="M137" s="25">
        <f t="shared" si="54"/>
        <v>1.3509569608550551</v>
      </c>
      <c r="N137" s="10"/>
      <c r="R137" s="2"/>
    </row>
    <row r="138" spans="1:18" ht="15.75" thickBot="1" x14ac:dyDescent="0.25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62" t="s">
        <v>14</v>
      </c>
      <c r="B139" s="52"/>
      <c r="C139" s="48">
        <f>SUM(C129:C138)</f>
        <v>409449</v>
      </c>
      <c r="D139" s="48">
        <f>SUM(D129:D138)</f>
        <v>491853</v>
      </c>
      <c r="E139" s="280">
        <f>(+C139-D139)/D139</f>
        <v>-0.16753786192215966</v>
      </c>
      <c r="F139" s="48">
        <f>SUM(F129:F138)</f>
        <v>197295</v>
      </c>
      <c r="G139" s="48">
        <f>SUM(G129:G138)</f>
        <v>248784</v>
      </c>
      <c r="H139" s="42">
        <f>(+F139-G139)/G139</f>
        <v>-0.20696266640941541</v>
      </c>
      <c r="I139" s="50">
        <f>K139/C139</f>
        <v>68.687709238513207</v>
      </c>
      <c r="J139" s="50">
        <f>K139/F139</f>
        <v>142.54853828024022</v>
      </c>
      <c r="K139" s="48">
        <f>SUM(K129:K138)</f>
        <v>28124113.859999996</v>
      </c>
      <c r="L139" s="48">
        <f>SUM(L129:L138)</f>
        <v>24308800.640000001</v>
      </c>
      <c r="M139" s="44">
        <f>(+K139-L139)/L139</f>
        <v>0.15695193179222169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17</v>
      </c>
      <c r="B141" s="20">
        <f>DATE(2020,7,1)</f>
        <v>44013</v>
      </c>
      <c r="C141" s="21">
        <v>316439</v>
      </c>
      <c r="D141" s="21">
        <v>447474</v>
      </c>
      <c r="E141" s="23">
        <f t="shared" ref="E141:E149" si="55">(+C141-D141)/D141</f>
        <v>-0.29283265619901938</v>
      </c>
      <c r="F141" s="21">
        <f>+C141-163690</f>
        <v>152749</v>
      </c>
      <c r="G141" s="21">
        <f>+D141-208413</f>
        <v>239061</v>
      </c>
      <c r="H141" s="23">
        <f t="shared" ref="H141:H149" si="56">(+F141-G141)/G141</f>
        <v>-0.36104592551691828</v>
      </c>
      <c r="I141" s="24">
        <f t="shared" ref="I141:I149" si="57">K141/C141</f>
        <v>71.817670419891343</v>
      </c>
      <c r="J141" s="24">
        <f t="shared" ref="J141:J149" si="58">K141/F141</f>
        <v>148.77944739409094</v>
      </c>
      <c r="K141" s="21">
        <v>22725911.809999999</v>
      </c>
      <c r="L141" s="21">
        <v>22798067.890000001</v>
      </c>
      <c r="M141" s="25">
        <f t="shared" ref="M141:M149" si="59">(+K141-L141)/L141</f>
        <v>-3.1650085589775799E-3</v>
      </c>
      <c r="N141" s="10"/>
      <c r="R141" s="2"/>
    </row>
    <row r="142" spans="1:18" ht="15.75" x14ac:dyDescent="0.25">
      <c r="A142" s="19"/>
      <c r="B142" s="20">
        <f>DATE(2020,8,1)</f>
        <v>44044</v>
      </c>
      <c r="C142" s="21">
        <v>305395</v>
      </c>
      <c r="D142" s="21">
        <v>463395</v>
      </c>
      <c r="E142" s="23">
        <f t="shared" si="55"/>
        <v>-0.34096181443476947</v>
      </c>
      <c r="F142" s="21">
        <f>+C142-155433</f>
        <v>149962</v>
      </c>
      <c r="G142" s="21">
        <f>+D142-219743</f>
        <v>243652</v>
      </c>
      <c r="H142" s="23">
        <f t="shared" si="56"/>
        <v>-0.38452382906768667</v>
      </c>
      <c r="I142" s="24">
        <f t="shared" si="57"/>
        <v>68.028956891894097</v>
      </c>
      <c r="J142" s="24">
        <f t="shared" si="58"/>
        <v>138.53978534562088</v>
      </c>
      <c r="K142" s="21">
        <v>20775703.289999999</v>
      </c>
      <c r="L142" s="21">
        <v>23200828.350000001</v>
      </c>
      <c r="M142" s="25">
        <f t="shared" si="59"/>
        <v>-0.10452752045812201</v>
      </c>
      <c r="N142" s="10"/>
      <c r="R142" s="2"/>
    </row>
    <row r="143" spans="1:18" ht="15.75" x14ac:dyDescent="0.25">
      <c r="A143" s="19"/>
      <c r="B143" s="20">
        <f>DATE(2020,9,1)</f>
        <v>44075</v>
      </c>
      <c r="C143" s="21">
        <v>318330</v>
      </c>
      <c r="D143" s="21">
        <v>425892</v>
      </c>
      <c r="E143" s="23">
        <f t="shared" si="55"/>
        <v>-0.25255698627821138</v>
      </c>
      <c r="F143" s="21">
        <f>+C143-166686</f>
        <v>151644</v>
      </c>
      <c r="G143" s="21">
        <f>+D143-202215</f>
        <v>223677</v>
      </c>
      <c r="H143" s="23">
        <f t="shared" si="56"/>
        <v>-0.32204026341555009</v>
      </c>
      <c r="I143" s="24">
        <f t="shared" si="57"/>
        <v>64.07588870040523</v>
      </c>
      <c r="J143" s="24">
        <f t="shared" si="58"/>
        <v>134.50764718683232</v>
      </c>
      <c r="K143" s="21">
        <v>20397277.649999999</v>
      </c>
      <c r="L143" s="21">
        <v>21530902.170000002</v>
      </c>
      <c r="M143" s="25">
        <f t="shared" si="59"/>
        <v>-5.2651045973332901E-2</v>
      </c>
      <c r="N143" s="10"/>
      <c r="R143" s="2"/>
    </row>
    <row r="144" spans="1:18" ht="15.75" x14ac:dyDescent="0.25">
      <c r="A144" s="19"/>
      <c r="B144" s="20">
        <f>DATE(2020,10,1)</f>
        <v>44105</v>
      </c>
      <c r="C144" s="21">
        <v>335355</v>
      </c>
      <c r="D144" s="21">
        <v>405696</v>
      </c>
      <c r="E144" s="23">
        <f t="shared" si="55"/>
        <v>-0.17338351869380028</v>
      </c>
      <c r="F144" s="21">
        <f>+C144-175973</f>
        <v>159382</v>
      </c>
      <c r="G144" s="21">
        <f>+D144-186355</f>
        <v>219341</v>
      </c>
      <c r="H144" s="23">
        <f t="shared" si="56"/>
        <v>-0.27335974578396194</v>
      </c>
      <c r="I144" s="24">
        <f t="shared" si="57"/>
        <v>65.370092558631896</v>
      </c>
      <c r="J144" s="24">
        <f t="shared" si="58"/>
        <v>137.54493851250456</v>
      </c>
      <c r="K144" s="21">
        <v>21922187.390000001</v>
      </c>
      <c r="L144" s="21">
        <v>21798172.190000001</v>
      </c>
      <c r="M144" s="25">
        <f t="shared" si="59"/>
        <v>5.6892476543006542E-3</v>
      </c>
      <c r="N144" s="10"/>
      <c r="R144" s="2"/>
    </row>
    <row r="145" spans="1:18" ht="15.75" x14ac:dyDescent="0.25">
      <c r="A145" s="19"/>
      <c r="B145" s="20">
        <f>DATE(2020,11,1)</f>
        <v>44136</v>
      </c>
      <c r="C145" s="21">
        <v>293538</v>
      </c>
      <c r="D145" s="21">
        <v>410474</v>
      </c>
      <c r="E145" s="23">
        <f t="shared" si="55"/>
        <v>-0.28488040655437374</v>
      </c>
      <c r="F145" s="21">
        <f>+C145-151202</f>
        <v>142336</v>
      </c>
      <c r="G145" s="21">
        <f>+D145-191079</f>
        <v>219395</v>
      </c>
      <c r="H145" s="23">
        <f t="shared" si="56"/>
        <v>-0.35123407552587799</v>
      </c>
      <c r="I145" s="24">
        <f t="shared" si="57"/>
        <v>64.933159624988917</v>
      </c>
      <c r="J145" s="24">
        <f t="shared" si="58"/>
        <v>133.91095583689298</v>
      </c>
      <c r="K145" s="21">
        <v>19060349.809999999</v>
      </c>
      <c r="L145" s="21">
        <v>20825709.969999999</v>
      </c>
      <c r="M145" s="25">
        <f t="shared" si="59"/>
        <v>-8.4768306220678644E-2</v>
      </c>
      <c r="N145" s="10"/>
      <c r="R145" s="2"/>
    </row>
    <row r="146" spans="1:18" ht="15.75" x14ac:dyDescent="0.25">
      <c r="A146" s="19"/>
      <c r="B146" s="20">
        <f>DATE(2020,12,1)</f>
        <v>44166</v>
      </c>
      <c r="C146" s="21">
        <v>344056</v>
      </c>
      <c r="D146" s="21">
        <v>436988</v>
      </c>
      <c r="E146" s="23">
        <f t="shared" si="55"/>
        <v>-0.21266487866943715</v>
      </c>
      <c r="F146" s="21">
        <f>+C146-176597</f>
        <v>167459</v>
      </c>
      <c r="G146" s="21">
        <f>+D146-202156</f>
        <v>234832</v>
      </c>
      <c r="H146" s="23">
        <f t="shared" si="56"/>
        <v>-0.28689871908428155</v>
      </c>
      <c r="I146" s="24">
        <f t="shared" si="57"/>
        <v>69.410434028181456</v>
      </c>
      <c r="J146" s="24">
        <f t="shared" si="58"/>
        <v>142.60849694552098</v>
      </c>
      <c r="K146" s="21">
        <v>23881076.289999999</v>
      </c>
      <c r="L146" s="21">
        <v>22010059.18</v>
      </c>
      <c r="M146" s="25">
        <f t="shared" si="59"/>
        <v>8.5007363892058346E-2</v>
      </c>
      <c r="N146" s="10"/>
      <c r="R146" s="2"/>
    </row>
    <row r="147" spans="1:18" ht="15.75" x14ac:dyDescent="0.25">
      <c r="A147" s="19"/>
      <c r="B147" s="20">
        <f>DATE(2021,1,1)</f>
        <v>44197</v>
      </c>
      <c r="C147" s="21">
        <v>393510</v>
      </c>
      <c r="D147" s="21">
        <v>413705</v>
      </c>
      <c r="E147" s="23">
        <f t="shared" si="55"/>
        <v>-4.8814976855488815E-2</v>
      </c>
      <c r="F147" s="21">
        <f>+C147-207236</f>
        <v>186274</v>
      </c>
      <c r="G147" s="21">
        <f>+D147-196166</f>
        <v>217539</v>
      </c>
      <c r="H147" s="23">
        <f t="shared" si="56"/>
        <v>-0.14372135571093</v>
      </c>
      <c r="I147" s="24">
        <f t="shared" si="57"/>
        <v>66.007952860156038</v>
      </c>
      <c r="J147" s="24">
        <f t="shared" si="58"/>
        <v>139.44398858670561</v>
      </c>
      <c r="K147" s="21">
        <v>25974789.530000001</v>
      </c>
      <c r="L147" s="21">
        <v>21171280.829999998</v>
      </c>
      <c r="M147" s="25">
        <f t="shared" si="59"/>
        <v>0.22688795914479415</v>
      </c>
      <c r="N147" s="10"/>
      <c r="R147" s="2"/>
    </row>
    <row r="148" spans="1:18" ht="15.75" x14ac:dyDescent="0.25">
      <c r="A148" s="19"/>
      <c r="B148" s="20">
        <f>DATE(2021,2,1)</f>
        <v>44228</v>
      </c>
      <c r="C148" s="21">
        <v>319714</v>
      </c>
      <c r="D148" s="21">
        <v>430579</v>
      </c>
      <c r="E148" s="23">
        <f t="shared" si="55"/>
        <v>-0.25747888308533395</v>
      </c>
      <c r="F148" s="21">
        <f>+C148-169622</f>
        <v>150092</v>
      </c>
      <c r="G148" s="21">
        <f>+D148-205960</f>
        <v>224619</v>
      </c>
      <c r="H148" s="23">
        <f t="shared" si="56"/>
        <v>-0.33179294716831614</v>
      </c>
      <c r="I148" s="24">
        <f t="shared" si="57"/>
        <v>68.923530436577693</v>
      </c>
      <c r="J148" s="24">
        <f t="shared" si="58"/>
        <v>146.81540395224263</v>
      </c>
      <c r="K148" s="21">
        <v>22035817.609999999</v>
      </c>
      <c r="L148" s="21">
        <v>21286896.960000001</v>
      </c>
      <c r="M148" s="25">
        <f t="shared" si="59"/>
        <v>3.5182236819546221E-2</v>
      </c>
      <c r="N148" s="10"/>
      <c r="R148" s="2"/>
    </row>
    <row r="149" spans="1:18" ht="15.75" x14ac:dyDescent="0.25">
      <c r="A149" s="19"/>
      <c r="B149" s="20">
        <f>DATE(2021,3,1)</f>
        <v>44256</v>
      </c>
      <c r="C149" s="21">
        <v>399522</v>
      </c>
      <c r="D149" s="21">
        <v>213931</v>
      </c>
      <c r="E149" s="23">
        <f t="shared" si="55"/>
        <v>0.86752738032356225</v>
      </c>
      <c r="F149" s="21">
        <f>+C149-209767</f>
        <v>189755</v>
      </c>
      <c r="G149" s="21">
        <f>+D149-102211</f>
        <v>111720</v>
      </c>
      <c r="H149" s="23">
        <f t="shared" si="56"/>
        <v>0.69848728965270324</v>
      </c>
      <c r="I149" s="24">
        <f t="shared" si="57"/>
        <v>70.026791240532447</v>
      </c>
      <c r="J149" s="24">
        <f t="shared" si="58"/>
        <v>147.4387694131907</v>
      </c>
      <c r="K149" s="21">
        <v>27977243.690000001</v>
      </c>
      <c r="L149" s="21">
        <v>11674661.050000001</v>
      </c>
      <c r="M149" s="25">
        <f t="shared" si="59"/>
        <v>1.3964073620792614</v>
      </c>
      <c r="N149" s="10"/>
      <c r="R149" s="2"/>
    </row>
    <row r="150" spans="1:18" ht="15.75" thickBot="1" x14ac:dyDescent="0.25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Top="1" thickBot="1" x14ac:dyDescent="0.3">
      <c r="A151" s="39" t="s">
        <v>14</v>
      </c>
      <c r="B151" s="40"/>
      <c r="C151" s="41">
        <f>SUM(C141:C150)</f>
        <v>3025859</v>
      </c>
      <c r="D151" s="41">
        <f>SUM(D141:D150)</f>
        <v>3648134</v>
      </c>
      <c r="E151" s="280">
        <f>(+C151-D151)/D151</f>
        <v>-0.17057350415308209</v>
      </c>
      <c r="F151" s="41">
        <f>SUM(F141:F150)</f>
        <v>1449653</v>
      </c>
      <c r="G151" s="41">
        <f>SUM(G141:G150)</f>
        <v>1933836</v>
      </c>
      <c r="H151" s="42">
        <f>(+F151-G151)/G151</f>
        <v>-0.25037438541841189</v>
      </c>
      <c r="I151" s="43">
        <f>K151/C151</f>
        <v>67.666853303475136</v>
      </c>
      <c r="J151" s="43">
        <f>K151/F151</f>
        <v>141.24094322572367</v>
      </c>
      <c r="K151" s="41">
        <f>SUM(K141:K150)</f>
        <v>204750357.06999999</v>
      </c>
      <c r="L151" s="41">
        <f>SUM(L141:L150)</f>
        <v>186296578.59</v>
      </c>
      <c r="M151" s="44">
        <f>(+K151-L151)/L151</f>
        <v>9.9055917288813522E-2</v>
      </c>
      <c r="N151" s="10"/>
      <c r="R151" s="2"/>
    </row>
    <row r="152" spans="1:18" ht="15.75" customHeight="1" thickTop="1" x14ac:dyDescent="0.25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 x14ac:dyDescent="0.25">
      <c r="A153" s="19" t="s">
        <v>57</v>
      </c>
      <c r="B153" s="20">
        <f>DATE(2020,7,1)</f>
        <v>44013</v>
      </c>
      <c r="C153" s="21">
        <v>61338</v>
      </c>
      <c r="D153" s="21">
        <v>77431</v>
      </c>
      <c r="E153" s="23">
        <f t="shared" ref="E153:E161" si="60">(+C153-D153)/D153</f>
        <v>-0.2078366545698751</v>
      </c>
      <c r="F153" s="21">
        <f>+C153-27914</f>
        <v>33424</v>
      </c>
      <c r="G153" s="21">
        <f>+D153-35761</f>
        <v>41670</v>
      </c>
      <c r="H153" s="23">
        <f t="shared" ref="H153:H161" si="61">(+F153-G153)/G153</f>
        <v>-0.19788816894648428</v>
      </c>
      <c r="I153" s="24">
        <f t="shared" ref="I153:I161" si="62">K153/C153</f>
        <v>57.274320812546875</v>
      </c>
      <c r="J153" s="24">
        <f t="shared" ref="J153:J161" si="63">K153/F153</f>
        <v>105.10687799186213</v>
      </c>
      <c r="K153" s="21">
        <v>3513092.29</v>
      </c>
      <c r="L153" s="21">
        <v>3396657.88</v>
      </c>
      <c r="M153" s="25">
        <f t="shared" ref="M153:M161" si="64">(+K153-L153)/L153</f>
        <v>3.4279110264705301E-2</v>
      </c>
      <c r="N153" s="10"/>
      <c r="R153" s="2"/>
    </row>
    <row r="154" spans="1:18" ht="15.75" x14ac:dyDescent="0.25">
      <c r="A154" s="19"/>
      <c r="B154" s="20">
        <f>DATE(2020,8,1)</f>
        <v>44044</v>
      </c>
      <c r="C154" s="21">
        <v>61855</v>
      </c>
      <c r="D154" s="21">
        <v>83032</v>
      </c>
      <c r="E154" s="23">
        <f t="shared" si="60"/>
        <v>-0.25504624722998365</v>
      </c>
      <c r="F154" s="21">
        <f>+C154-27562</f>
        <v>34293</v>
      </c>
      <c r="G154" s="21">
        <f>+D154-37844</f>
        <v>45188</v>
      </c>
      <c r="H154" s="23">
        <f t="shared" si="61"/>
        <v>-0.24110383287598477</v>
      </c>
      <c r="I154" s="24">
        <f t="shared" si="62"/>
        <v>57.364789265217041</v>
      </c>
      <c r="J154" s="24">
        <f t="shared" si="63"/>
        <v>103.47006794389526</v>
      </c>
      <c r="K154" s="21">
        <v>3548299.04</v>
      </c>
      <c r="L154" s="21">
        <v>3491800.49</v>
      </c>
      <c r="M154" s="25">
        <f t="shared" si="64"/>
        <v>1.618034883774239E-2</v>
      </c>
      <c r="N154" s="10"/>
      <c r="R154" s="2"/>
    </row>
    <row r="155" spans="1:18" ht="15.75" x14ac:dyDescent="0.25">
      <c r="A155" s="19"/>
      <c r="B155" s="20">
        <f>DATE(2020,9,1)</f>
        <v>44075</v>
      </c>
      <c r="C155" s="21">
        <v>58255</v>
      </c>
      <c r="D155" s="21">
        <v>70924</v>
      </c>
      <c r="E155" s="23">
        <f t="shared" si="60"/>
        <v>-0.17862782696971405</v>
      </c>
      <c r="F155" s="21">
        <f>+C155-26013</f>
        <v>32242</v>
      </c>
      <c r="G155" s="21">
        <f>+D155-32729</f>
        <v>38195</v>
      </c>
      <c r="H155" s="23">
        <f t="shared" si="61"/>
        <v>-0.15585809660950387</v>
      </c>
      <c r="I155" s="24">
        <f t="shared" si="62"/>
        <v>55.064059394043426</v>
      </c>
      <c r="J155" s="24">
        <f t="shared" si="63"/>
        <v>99.490006203089138</v>
      </c>
      <c r="K155" s="21">
        <v>3207756.78</v>
      </c>
      <c r="L155" s="21">
        <v>3371438.75</v>
      </c>
      <c r="M155" s="25">
        <f t="shared" si="64"/>
        <v>-4.8549590289902259E-2</v>
      </c>
      <c r="N155" s="10"/>
      <c r="R155" s="2"/>
    </row>
    <row r="156" spans="1:18" ht="15.75" x14ac:dyDescent="0.25">
      <c r="A156" s="19"/>
      <c r="B156" s="20">
        <f>DATE(2020,10,1)</f>
        <v>44105</v>
      </c>
      <c r="C156" s="21">
        <v>55328</v>
      </c>
      <c r="D156" s="21">
        <v>70482</v>
      </c>
      <c r="E156" s="23">
        <f t="shared" si="60"/>
        <v>-0.21500524956726541</v>
      </c>
      <c r="F156" s="21">
        <f>+C156-22799</f>
        <v>32529</v>
      </c>
      <c r="G156" s="21">
        <f>+D156-33635</f>
        <v>36847</v>
      </c>
      <c r="H156" s="23">
        <f t="shared" si="61"/>
        <v>-0.11718728797459765</v>
      </c>
      <c r="I156" s="24">
        <f t="shared" si="62"/>
        <v>52.386605696934645</v>
      </c>
      <c r="J156" s="24">
        <f t="shared" si="63"/>
        <v>89.103449844753911</v>
      </c>
      <c r="K156" s="21">
        <v>2898446.12</v>
      </c>
      <c r="L156" s="21">
        <v>3274009.79</v>
      </c>
      <c r="M156" s="25">
        <f t="shared" si="64"/>
        <v>-0.11471061300644428</v>
      </c>
      <c r="N156" s="10"/>
      <c r="R156" s="2"/>
    </row>
    <row r="157" spans="1:18" ht="15.75" x14ac:dyDescent="0.25">
      <c r="A157" s="19"/>
      <c r="B157" s="20">
        <f>DATE(2020,11,1)</f>
        <v>44136</v>
      </c>
      <c r="C157" s="21">
        <v>49882</v>
      </c>
      <c r="D157" s="21">
        <v>73056</v>
      </c>
      <c r="E157" s="23">
        <f t="shared" si="60"/>
        <v>-0.31720871660096367</v>
      </c>
      <c r="F157" s="21">
        <f>+C157-20773</f>
        <v>29109</v>
      </c>
      <c r="G157" s="21">
        <f>+D157-35437</f>
        <v>37619</v>
      </c>
      <c r="H157" s="23">
        <f t="shared" si="61"/>
        <v>-0.22621547622212179</v>
      </c>
      <c r="I157" s="24">
        <f t="shared" si="62"/>
        <v>51.305875065153764</v>
      </c>
      <c r="J157" s="24">
        <f t="shared" si="63"/>
        <v>87.919188567109828</v>
      </c>
      <c r="K157" s="21">
        <v>2559239.66</v>
      </c>
      <c r="L157" s="21">
        <v>3377500.2</v>
      </c>
      <c r="M157" s="25">
        <f t="shared" si="64"/>
        <v>-0.24226809520248141</v>
      </c>
      <c r="N157" s="10"/>
      <c r="R157" s="2"/>
    </row>
    <row r="158" spans="1:18" ht="15.75" x14ac:dyDescent="0.25">
      <c r="A158" s="19"/>
      <c r="B158" s="20">
        <f>DATE(2020,12,1)</f>
        <v>44166</v>
      </c>
      <c r="C158" s="21">
        <v>53490</v>
      </c>
      <c r="D158" s="21">
        <v>74995</v>
      </c>
      <c r="E158" s="23">
        <f t="shared" si="60"/>
        <v>-0.28675245016334422</v>
      </c>
      <c r="F158" s="21">
        <f>+C158-22512</f>
        <v>30978</v>
      </c>
      <c r="G158" s="21">
        <f>+D158-35471</f>
        <v>39524</v>
      </c>
      <c r="H158" s="23">
        <f t="shared" si="61"/>
        <v>-0.21622305434672603</v>
      </c>
      <c r="I158" s="24">
        <f t="shared" si="62"/>
        <v>52.612236118900725</v>
      </c>
      <c r="J158" s="24">
        <f t="shared" si="63"/>
        <v>90.846036219252369</v>
      </c>
      <c r="K158" s="21">
        <v>2814228.51</v>
      </c>
      <c r="L158" s="21">
        <v>3534603.49</v>
      </c>
      <c r="M158" s="25">
        <f t="shared" si="64"/>
        <v>-0.20380644732515679</v>
      </c>
      <c r="N158" s="10"/>
      <c r="R158" s="2"/>
    </row>
    <row r="159" spans="1:18" ht="15.75" x14ac:dyDescent="0.25">
      <c r="A159" s="19"/>
      <c r="B159" s="20">
        <f>DATE(2021,1,1)</f>
        <v>44197</v>
      </c>
      <c r="C159" s="21">
        <v>60656</v>
      </c>
      <c r="D159" s="21">
        <v>73278</v>
      </c>
      <c r="E159" s="23">
        <f t="shared" si="60"/>
        <v>-0.17224815087748027</v>
      </c>
      <c r="F159" s="21">
        <f>+C159-26102</f>
        <v>34554</v>
      </c>
      <c r="G159" s="21">
        <f>+D159-33277</f>
        <v>40001</v>
      </c>
      <c r="H159" s="23">
        <f t="shared" si="61"/>
        <v>-0.13617159571010726</v>
      </c>
      <c r="I159" s="24">
        <f t="shared" si="62"/>
        <v>51.859267838301243</v>
      </c>
      <c r="J159" s="24">
        <f t="shared" si="63"/>
        <v>91.033621288418132</v>
      </c>
      <c r="K159" s="21">
        <v>3145575.75</v>
      </c>
      <c r="L159" s="21">
        <v>3413407.42</v>
      </c>
      <c r="M159" s="25">
        <f t="shared" si="64"/>
        <v>-7.8464606489898572E-2</v>
      </c>
      <c r="N159" s="10"/>
      <c r="R159" s="2"/>
    </row>
    <row r="160" spans="1:18" ht="15.75" x14ac:dyDescent="0.25">
      <c r="A160" s="19"/>
      <c r="B160" s="20">
        <f>DATE(2021,2,1)</f>
        <v>44228</v>
      </c>
      <c r="C160" s="21">
        <v>50775</v>
      </c>
      <c r="D160" s="21">
        <v>79497</v>
      </c>
      <c r="E160" s="23">
        <f t="shared" si="60"/>
        <v>-0.36129665270387562</v>
      </c>
      <c r="F160" s="21">
        <f>+C160-21966</f>
        <v>28809</v>
      </c>
      <c r="G160" s="21">
        <f>+D160-36820</f>
        <v>42677</v>
      </c>
      <c r="H160" s="23">
        <f t="shared" si="61"/>
        <v>-0.32495255055416267</v>
      </c>
      <c r="I160" s="24">
        <f t="shared" si="62"/>
        <v>55.419195864106349</v>
      </c>
      <c r="J160" s="24">
        <f t="shared" si="63"/>
        <v>97.674673539518892</v>
      </c>
      <c r="K160" s="21">
        <v>2813909.67</v>
      </c>
      <c r="L160" s="21">
        <v>3872279.72</v>
      </c>
      <c r="M160" s="25">
        <f t="shared" si="64"/>
        <v>-0.27331962733312049</v>
      </c>
      <c r="N160" s="10"/>
      <c r="R160" s="2"/>
    </row>
    <row r="161" spans="1:18" ht="15.75" x14ac:dyDescent="0.25">
      <c r="A161" s="19"/>
      <c r="B161" s="20">
        <f>DATE(2021,3,1)</f>
        <v>44256</v>
      </c>
      <c r="C161" s="21">
        <v>76729</v>
      </c>
      <c r="D161" s="21">
        <v>43437</v>
      </c>
      <c r="E161" s="23">
        <f t="shared" si="60"/>
        <v>0.76644335474365177</v>
      </c>
      <c r="F161" s="21">
        <f>+C161-32968</f>
        <v>43761</v>
      </c>
      <c r="G161" s="21">
        <f>+D161-19777</f>
        <v>23660</v>
      </c>
      <c r="H161" s="23">
        <f t="shared" si="61"/>
        <v>0.84957734573119192</v>
      </c>
      <c r="I161" s="24">
        <f t="shared" si="62"/>
        <v>58.294842106635045</v>
      </c>
      <c r="J161" s="24">
        <f t="shared" si="63"/>
        <v>102.21212815063642</v>
      </c>
      <c r="K161" s="21">
        <v>4472904.9400000004</v>
      </c>
      <c r="L161" s="21">
        <v>2122954.5099999998</v>
      </c>
      <c r="M161" s="25">
        <f t="shared" si="64"/>
        <v>1.1069245332063196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26" t="s">
        <v>14</v>
      </c>
      <c r="B163" s="27"/>
      <c r="C163" s="28">
        <f>SUM(C153:C162)</f>
        <v>528308</v>
      </c>
      <c r="D163" s="28">
        <f>SUM(D153:D162)</f>
        <v>646132</v>
      </c>
      <c r="E163" s="280">
        <f>(+C163-D163)/D163</f>
        <v>-0.1823528319290795</v>
      </c>
      <c r="F163" s="28">
        <f>SUM(F153:F162)</f>
        <v>299699</v>
      </c>
      <c r="G163" s="28">
        <f>SUM(G153:G162)</f>
        <v>345381</v>
      </c>
      <c r="H163" s="42">
        <f>(+F163-G163)/G163</f>
        <v>-0.13226552705562841</v>
      </c>
      <c r="I163" s="43">
        <f>K163/C163</f>
        <v>54.841972410033542</v>
      </c>
      <c r="J163" s="43">
        <f>K163/F163</f>
        <v>96.675173290534843</v>
      </c>
      <c r="K163" s="28">
        <f>SUM(K153:K162)</f>
        <v>28973452.760000002</v>
      </c>
      <c r="L163" s="28">
        <f>SUM(L153:L162)</f>
        <v>29854652.25</v>
      </c>
      <c r="M163" s="44">
        <f>(+K163-L163)/L163</f>
        <v>-2.9516320693368597E-2</v>
      </c>
      <c r="N163" s="10"/>
      <c r="R163" s="2"/>
    </row>
    <row r="164" spans="1:18" ht="16.5" thickTop="1" thickBot="1" x14ac:dyDescent="0.25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Top="1" thickBot="1" x14ac:dyDescent="0.3">
      <c r="A165" s="64" t="s">
        <v>18</v>
      </c>
      <c r="B165" s="65"/>
      <c r="C165" s="28">
        <f>C163+C151+C67+C91+C103+C43+C19+C115+C127+C55+C139+C31+C79</f>
        <v>19727511</v>
      </c>
      <c r="D165" s="28">
        <f>D163+D151+D67+D91+D103+D43+D19+D115+D127+D55+D139+D31+D79</f>
        <v>26007912</v>
      </c>
      <c r="E165" s="279">
        <f>(+C165-D165)/D165</f>
        <v>-0.24148040027204029</v>
      </c>
      <c r="F165" s="28">
        <f>F163+F151+F67+F91+F103+F43+F19+F115+F127+F55+F139+F31+F79</f>
        <v>10007974</v>
      </c>
      <c r="G165" s="28">
        <f>G163+G151+G67+G91+G103+G43+G19+G115+G127+G55+G139+G31+G79</f>
        <v>13750859</v>
      </c>
      <c r="H165" s="30">
        <f>(+F165-G165)/G165</f>
        <v>-0.27219281355441138</v>
      </c>
      <c r="I165" s="31">
        <f>K165/C165</f>
        <v>62.127502082244433</v>
      </c>
      <c r="J165" s="31">
        <f>K165/F165</f>
        <v>122.46444492461711</v>
      </c>
      <c r="K165" s="28">
        <f>K163+K151+K67+K91+K103+K43+K19+K115+K127+K55+K139+K31+K79</f>
        <v>1225620980.73</v>
      </c>
      <c r="L165" s="28">
        <f>L163+L151+L67+L91+L103+L43+L19+L115+L127+L55+L139+L31+L79</f>
        <v>1233214199.8699999</v>
      </c>
      <c r="M165" s="32">
        <f>(+K165-L165)/L165</f>
        <v>-6.1572589261462531E-3</v>
      </c>
      <c r="N165" s="10"/>
      <c r="R165" s="2"/>
    </row>
    <row r="166" spans="1:18" ht="17.25" thickTop="1" thickBot="1" x14ac:dyDescent="0.3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Top="1" thickBot="1" x14ac:dyDescent="0.3">
      <c r="A167" s="64" t="s">
        <v>19</v>
      </c>
      <c r="B167" s="65"/>
      <c r="C167" s="28">
        <f>SUM(C17+C29+C41+C53+C65+C77+C89+C101+C113+C125+C137+C149+C161)</f>
        <v>2712133</v>
      </c>
      <c r="D167" s="28">
        <f>SUM(D17+D29+D41+D53+D65+D77+D89+D101+D113+D125+D137+D149+D161)</f>
        <v>1538436</v>
      </c>
      <c r="E167" s="279">
        <f>(+C167-D167)/D167</f>
        <v>0.76291571440085904</v>
      </c>
      <c r="F167" s="28">
        <f>SUM(F17+F29+F41+F53+F65+F77+F89+F101+F113+F125+F137+F149+F161)</f>
        <v>1358209</v>
      </c>
      <c r="G167" s="28">
        <f>SUM(G17+G29+G41+G53+G65+G77+G89+G101+G113+G125+G137+G149+G161)</f>
        <v>809084</v>
      </c>
      <c r="H167" s="30">
        <f>(+F167-G167)/G167</f>
        <v>0.67869961586188821</v>
      </c>
      <c r="I167" s="31">
        <f>K167/C167</f>
        <v>65.144048945977204</v>
      </c>
      <c r="J167" s="31">
        <f>K167/F167</f>
        <v>130.08257558299201</v>
      </c>
      <c r="K167" s="28">
        <f>SUM(K17+K29+K41+K53+K65+K77+K89+K101+K113+K125+K137+K149+K161)</f>
        <v>176679324.90000001</v>
      </c>
      <c r="L167" s="28">
        <f>SUM(L17+L29+L41+L53+L65+L77+L89+L101+L113+L125+L137+L149+L161)</f>
        <v>76664491.870000005</v>
      </c>
      <c r="M167" s="44">
        <f>(+K167-L167)/L167</f>
        <v>1.3045783072507044</v>
      </c>
      <c r="N167" s="10"/>
      <c r="R167" s="2"/>
    </row>
    <row r="168" spans="1:18" ht="15.75" thickTop="1" x14ac:dyDescent="0.2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x14ac:dyDescent="0.2">
      <c r="A169" s="289" t="s">
        <v>77</v>
      </c>
      <c r="B169" s="290"/>
      <c r="C169" s="291"/>
      <c r="D169" s="290"/>
      <c r="E169" s="290"/>
      <c r="F169" s="290"/>
      <c r="G169" s="290"/>
      <c r="H169" s="290"/>
      <c r="I169" s="290"/>
      <c r="J169" s="290"/>
      <c r="K169" s="291"/>
      <c r="L169" s="291"/>
      <c r="M169" s="290"/>
      <c r="R169" s="2"/>
    </row>
    <row r="170" spans="1:18" ht="18.75" x14ac:dyDescent="0.3">
      <c r="A170" s="264" t="s">
        <v>20</v>
      </c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8" x14ac:dyDescent="0.25">
      <c r="A171" s="69"/>
      <c r="B171" s="70"/>
      <c r="C171" s="71"/>
      <c r="D171" s="71"/>
      <c r="E171" s="71"/>
      <c r="F171" s="71"/>
      <c r="G171" s="71"/>
      <c r="H171" s="71"/>
      <c r="I171" s="71"/>
      <c r="J171" s="71"/>
      <c r="K171" s="198"/>
      <c r="L171" s="198"/>
      <c r="M171" s="71"/>
      <c r="N171" s="2"/>
      <c r="O171" s="2"/>
      <c r="P171" s="2"/>
      <c r="Q171" s="2"/>
      <c r="R171" s="2"/>
    </row>
    <row r="172" spans="1:18" ht="15.75" x14ac:dyDescent="0.25">
      <c r="A172" s="7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x14ac:dyDescent="0.2">
      <c r="A182" s="2"/>
      <c r="B182" s="73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x14ac:dyDescent="0.2">
      <c r="A183" s="2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4"/>
      <c r="N183" s="2"/>
      <c r="O183" s="2"/>
      <c r="P183" s="2"/>
      <c r="Q183" s="2"/>
      <c r="R183" s="2"/>
    </row>
    <row r="184" spans="1:18" ht="15.75" x14ac:dyDescent="0.2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 x14ac:dyDescent="0.2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.75" x14ac:dyDescent="0.25">
      <c r="A186" s="76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0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 x14ac:dyDescent="0.2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.75" x14ac:dyDescent="0.25">
      <c r="A206" s="76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.75" x14ac:dyDescent="0.25">
      <c r="A219" s="76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.75" x14ac:dyDescent="0.25">
      <c r="A222" s="76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.75" x14ac:dyDescent="0.25">
      <c r="A228" s="76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6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STATS'!$C$21*2</f>
        <v>158942</v>
      </c>
      <c r="D10" s="89">
        <f>'MONTHLY STATS'!$C$33*2</f>
        <v>106210</v>
      </c>
      <c r="E10" s="89">
        <f>'MONTHLY STATS'!$C$45*2</f>
        <v>452472</v>
      </c>
      <c r="F10" s="89">
        <f>'MONTHLY STATS'!$C$57*2</f>
        <v>521570</v>
      </c>
      <c r="G10" s="89">
        <f>'MONTHLY STATS'!$C$69*2</f>
        <v>151956</v>
      </c>
      <c r="H10" s="89">
        <f>'MONTHLY STATS'!$C$81*2</f>
        <v>179564</v>
      </c>
      <c r="I10" s="89">
        <f>'MONTHLY STATS'!$C$93*2</f>
        <v>396916</v>
      </c>
      <c r="J10" s="89">
        <f>'MONTHLY STATS'!$C$105*2</f>
        <v>422892</v>
      </c>
      <c r="K10" s="89">
        <f>'MONTHLY STATS'!$C$117*2</f>
        <v>446984</v>
      </c>
      <c r="L10" s="89">
        <f>'MONTHLY STATS'!$C$129*2</f>
        <v>86452</v>
      </c>
      <c r="M10" s="89">
        <f>'MONTHLY STATS'!$C$141*2</f>
        <v>632878</v>
      </c>
      <c r="N10" s="89">
        <f>'MONTHLY STATS'!$C$153*2</f>
        <v>122676</v>
      </c>
      <c r="O10" s="90">
        <f t="shared" ref="O10:O15" si="0"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STATS'!$C$22*2</f>
        <v>176468</v>
      </c>
      <c r="D11" s="89">
        <f>'MONTHLY STATS'!$C$34*2</f>
        <v>105220</v>
      </c>
      <c r="E11" s="89">
        <f>'MONTHLY STATS'!$C$46*2</f>
        <v>497732</v>
      </c>
      <c r="F11" s="89">
        <f>'MONTHLY STATS'!$C$58*2</f>
        <v>535796</v>
      </c>
      <c r="G11" s="89">
        <f>'MONTHLY STATS'!$C$70*2</f>
        <v>150102</v>
      </c>
      <c r="H11" s="89">
        <f>'MONTHLY STATS'!$C$82*2</f>
        <v>181532</v>
      </c>
      <c r="I11" s="89">
        <f>'MONTHLY STATS'!$C$94*2</f>
        <v>414340</v>
      </c>
      <c r="J11" s="89">
        <f>'MONTHLY STATS'!$C$106*2</f>
        <v>451102</v>
      </c>
      <c r="K11" s="89">
        <f>'MONTHLY STATS'!$C$118*2</f>
        <v>486344</v>
      </c>
      <c r="L11" s="89">
        <f>'MONTHLY STATS'!$C$130*2</f>
        <v>93412</v>
      </c>
      <c r="M11" s="89">
        <f>'MONTHLY STATS'!$C$142*2</f>
        <v>610790</v>
      </c>
      <c r="N11" s="89">
        <f>'MONTHLY STATS'!$C$154*2</f>
        <v>123710</v>
      </c>
      <c r="O11" s="90">
        <f t="shared" si="0"/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STATS'!$C$23*2</f>
        <v>181896</v>
      </c>
      <c r="D12" s="89">
        <f>'MONTHLY STATS'!$C$35*2</f>
        <v>101704</v>
      </c>
      <c r="E12" s="89">
        <f>'MONTHLY STATS'!$C$47*2</f>
        <v>499142</v>
      </c>
      <c r="F12" s="89">
        <f>'MONTHLY STATS'!$C$59*2</f>
        <v>491416</v>
      </c>
      <c r="G12" s="89">
        <f>'MONTHLY STATS'!$C$71*2</f>
        <v>152116</v>
      </c>
      <c r="H12" s="89">
        <f>'MONTHLY STATS'!$C$83*2</f>
        <v>227798</v>
      </c>
      <c r="I12" s="89">
        <f>'MONTHLY STATS'!$C$95*2</f>
        <v>429358</v>
      </c>
      <c r="J12" s="89">
        <f>'MONTHLY STATS'!$C$107*2</f>
        <v>449654</v>
      </c>
      <c r="K12" s="89">
        <f>'MONTHLY STATS'!$C$119*2</f>
        <v>517978</v>
      </c>
      <c r="L12" s="89">
        <f>'MONTHLY STATS'!$C$131*2</f>
        <v>89310</v>
      </c>
      <c r="M12" s="89">
        <f>'MONTHLY STATS'!$C$143*2</f>
        <v>636660</v>
      </c>
      <c r="N12" s="89">
        <f>'MONTHLY STATS'!$C$155*2</f>
        <v>116510</v>
      </c>
      <c r="O12" s="90">
        <f t="shared" si="0"/>
        <v>4287050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STATS'!$C$24*2</f>
        <v>174198</v>
      </c>
      <c r="D13" s="89">
        <f>'MONTHLY STATS'!$C$36*2</f>
        <v>103276</v>
      </c>
      <c r="E13" s="89">
        <f>'MONTHLY STATS'!$C$48*2</f>
        <v>544168</v>
      </c>
      <c r="F13" s="89">
        <f>'MONTHLY STATS'!$C$60*2</f>
        <v>504572</v>
      </c>
      <c r="G13" s="89">
        <f>'MONTHLY STATS'!$C$72*2</f>
        <v>158558</v>
      </c>
      <c r="H13" s="89">
        <f>'MONTHLY STATS'!$C$84*2</f>
        <v>266504</v>
      </c>
      <c r="I13" s="89">
        <f>'MONTHLY STATS'!$C$96*2</f>
        <v>424510</v>
      </c>
      <c r="J13" s="89">
        <f>'MONTHLY STATS'!$C$108*2</f>
        <v>473378</v>
      </c>
      <c r="K13" s="89">
        <f>'MONTHLY STATS'!$C$120*2</f>
        <v>545318</v>
      </c>
      <c r="L13" s="89">
        <f>'MONTHLY STATS'!$C$132*2</f>
        <v>84806</v>
      </c>
      <c r="M13" s="89">
        <f>'MONTHLY STATS'!$C$144*2</f>
        <v>670710</v>
      </c>
      <c r="N13" s="89">
        <f>'MONTHLY STATS'!$C$156*2</f>
        <v>110656</v>
      </c>
      <c r="O13" s="90">
        <f t="shared" si="0"/>
        <v>4468308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STATS'!$C$25*2</f>
        <v>155566</v>
      </c>
      <c r="D14" s="89">
        <f>'MONTHLY STATS'!$C$37*2</f>
        <v>91494</v>
      </c>
      <c r="E14" s="89">
        <f>'MONTHLY STATS'!$C$49*2</f>
        <v>465798</v>
      </c>
      <c r="F14" s="89">
        <f>'MONTHLY STATS'!$C$61*2</f>
        <v>459294</v>
      </c>
      <c r="G14" s="89">
        <f>'MONTHLY STATS'!$C$73*2</f>
        <v>146872</v>
      </c>
      <c r="H14" s="89">
        <f>'MONTHLY STATS'!$C$85*2</f>
        <v>257284</v>
      </c>
      <c r="I14" s="89">
        <f>'MONTHLY STATS'!$C$97*2</f>
        <v>364402</v>
      </c>
      <c r="J14" s="89">
        <f>'MONTHLY STATS'!$C$109*2</f>
        <v>435666</v>
      </c>
      <c r="K14" s="89">
        <f>'MONTHLY STATS'!$C$121*2</f>
        <v>458632</v>
      </c>
      <c r="L14" s="89">
        <f>'MONTHLY STATS'!$C$133*2</f>
        <v>75632</v>
      </c>
      <c r="M14" s="89">
        <f>'MONTHLY STATS'!$C$145*2</f>
        <v>587076</v>
      </c>
      <c r="N14" s="89">
        <f>'MONTHLY STATS'!$C$157*2</f>
        <v>99764</v>
      </c>
      <c r="O14" s="90">
        <f t="shared" si="0"/>
        <v>3975776</v>
      </c>
      <c r="P14" s="83"/>
    </row>
    <row r="15" spans="1:16" ht="15.75" x14ac:dyDescent="0.25">
      <c r="A15" s="88">
        <f>DATE(2020,12,1)</f>
        <v>44166</v>
      </c>
      <c r="B15" s="89">
        <f>'MONTHLY STATS'!$C$14*2</f>
        <v>392152</v>
      </c>
      <c r="C15" s="89">
        <f>'MONTHLY STATS'!$C$26*2</f>
        <v>164878</v>
      </c>
      <c r="D15" s="89">
        <f>'MONTHLY STATS'!$C$38*2</f>
        <v>100036</v>
      </c>
      <c r="E15" s="89">
        <f>'MONTHLY STATS'!$C$50*2</f>
        <v>453314</v>
      </c>
      <c r="F15" s="89">
        <f>'MONTHLY STATS'!$C$62*2</f>
        <v>474630</v>
      </c>
      <c r="G15" s="89">
        <f>'MONTHLY STATS'!$C$74*2</f>
        <v>180110</v>
      </c>
      <c r="H15" s="89">
        <f>'MONTHLY STATS'!$C$86*2</f>
        <v>272648</v>
      </c>
      <c r="I15" s="89">
        <f>'MONTHLY STATS'!$C$98*2</f>
        <v>473172</v>
      </c>
      <c r="J15" s="89">
        <f>'MONTHLY STATS'!$C$110*2</f>
        <v>465676</v>
      </c>
      <c r="K15" s="89">
        <f>'MONTHLY STATS'!$C$122*2</f>
        <v>448938</v>
      </c>
      <c r="L15" s="89">
        <f>'MONTHLY STATS'!$C$134*2</f>
        <v>96396</v>
      </c>
      <c r="M15" s="89">
        <f>'MONTHLY STATS'!$C$146*2</f>
        <v>688112</v>
      </c>
      <c r="N15" s="89">
        <f>'MONTHLY STATS'!$C$158*2</f>
        <v>106980</v>
      </c>
      <c r="O15" s="90">
        <f t="shared" si="0"/>
        <v>4317042</v>
      </c>
      <c r="P15" s="83"/>
    </row>
    <row r="16" spans="1:16" ht="15.75" x14ac:dyDescent="0.25">
      <c r="A16" s="88">
        <f>DATE(2021,1,1)</f>
        <v>44197</v>
      </c>
      <c r="B16" s="89">
        <f>'MONTHLY STATS'!$C$15*2</f>
        <v>421458</v>
      </c>
      <c r="C16" s="89">
        <f>'MONTHLY STATS'!$C$27*2</f>
        <v>208314</v>
      </c>
      <c r="D16" s="89">
        <f>'MONTHLY STATS'!$C$39*2</f>
        <v>126504</v>
      </c>
      <c r="E16" s="89">
        <f>'MONTHLY STATS'!$C$51*2</f>
        <v>475812</v>
      </c>
      <c r="F16" s="89">
        <f>'MONTHLY STATS'!$C$63*2</f>
        <v>507458</v>
      </c>
      <c r="G16" s="89">
        <f>'MONTHLY STATS'!$C$75*2</f>
        <v>205936</v>
      </c>
      <c r="H16" s="89">
        <f>'MONTHLY STATS'!$C$87*2</f>
        <v>297882</v>
      </c>
      <c r="I16" s="89">
        <f>'MONTHLY STATS'!$C$99*2</f>
        <v>535226</v>
      </c>
      <c r="J16" s="89">
        <f>'MONTHLY STATS'!$C$111*2</f>
        <v>521048</v>
      </c>
      <c r="K16" s="89">
        <f>'MONTHLY STATS'!$C$123*2</f>
        <v>490444</v>
      </c>
      <c r="L16" s="89">
        <f>'MONTHLY STATS'!$C$135*2</f>
        <v>98912</v>
      </c>
      <c r="M16" s="89">
        <f>'MONTHLY STATS'!$C$147*2</f>
        <v>787020</v>
      </c>
      <c r="N16" s="89">
        <f>'MONTHLY STATS'!$C$159*2</f>
        <v>121312</v>
      </c>
      <c r="O16" s="90">
        <f>SUM(B16:N16)</f>
        <v>4797326</v>
      </c>
      <c r="P16" s="83"/>
    </row>
    <row r="17" spans="1:16" ht="15.75" x14ac:dyDescent="0.25">
      <c r="A17" s="88">
        <f>DATE(2021,2,1)</f>
        <v>44228</v>
      </c>
      <c r="B17" s="89">
        <f>'MONTHLY STATS'!$C$16*2</f>
        <v>357612</v>
      </c>
      <c r="C17" s="89">
        <f>'MONTHLY STATS'!$C$28*2</f>
        <v>176010</v>
      </c>
      <c r="D17" s="89">
        <f>'MONTHLY STATS'!$C$40*2</f>
        <v>83818</v>
      </c>
      <c r="E17" s="89">
        <f>'MONTHLY STATS'!$C$52*2</f>
        <v>399548</v>
      </c>
      <c r="F17" s="89">
        <f>'MONTHLY STATS'!$C$64*2</f>
        <v>443098</v>
      </c>
      <c r="G17" s="89">
        <f>'MONTHLY STATS'!$C$76*2</f>
        <v>146776</v>
      </c>
      <c r="H17" s="89">
        <f>'MONTHLY STATS'!$C$88*2</f>
        <v>256616</v>
      </c>
      <c r="I17" s="89">
        <f>'MONTHLY STATS'!$C$100*2</f>
        <v>383956</v>
      </c>
      <c r="J17" s="89">
        <f>'MONTHLY STATS'!$C$112*2</f>
        <v>439200</v>
      </c>
      <c r="K17" s="89">
        <f>'MONTHLY STATS'!$C$124*2</f>
        <v>413806</v>
      </c>
      <c r="L17" s="89">
        <f>'MONTHLY STATS'!$C$136*2</f>
        <v>74858</v>
      </c>
      <c r="M17" s="89">
        <f>'MONTHLY STATS'!$C$148*2</f>
        <v>639428</v>
      </c>
      <c r="N17" s="89">
        <f>'MONTHLY STATS'!$C$160*2</f>
        <v>101550</v>
      </c>
      <c r="O17" s="90">
        <f>SUM(B17:N17)</f>
        <v>3916276</v>
      </c>
      <c r="P17" s="83"/>
    </row>
    <row r="18" spans="1:16" ht="15.75" x14ac:dyDescent="0.25">
      <c r="A18" s="88">
        <f>DATE(2021,3,1)</f>
        <v>44256</v>
      </c>
      <c r="B18" s="89">
        <f>'MONTHLY STATS'!$C$17*2</f>
        <v>489270</v>
      </c>
      <c r="C18" s="89">
        <f>'MONTHLY STATS'!$C$29*2</f>
        <v>253988</v>
      </c>
      <c r="D18" s="89">
        <f>'MONTHLY STATS'!$C$41*2</f>
        <v>148546</v>
      </c>
      <c r="E18" s="89">
        <f>'MONTHLY STATS'!$C$53*2</f>
        <v>541174</v>
      </c>
      <c r="F18" s="89">
        <f>'MONTHLY STATS'!$C$65*2</f>
        <v>591028</v>
      </c>
      <c r="G18" s="89">
        <f>'MONTHLY STATS'!$C$77*2</f>
        <v>224836</v>
      </c>
      <c r="H18" s="89">
        <f>'MONTHLY STATS'!$C$89*2</f>
        <v>356588</v>
      </c>
      <c r="I18" s="89">
        <f>'MONTHLY STATS'!$C$101*2</f>
        <v>534066</v>
      </c>
      <c r="J18" s="89">
        <f>'MONTHLY STATS'!$C$113*2</f>
        <v>628288</v>
      </c>
      <c r="K18" s="89">
        <f>'MONTHLY STATS'!$C$125*2</f>
        <v>584860</v>
      </c>
      <c r="L18" s="89">
        <f>'MONTHLY STATS'!$C$137*2</f>
        <v>119120</v>
      </c>
      <c r="M18" s="89">
        <f>'MONTHLY STATS'!$C$149*2</f>
        <v>799044</v>
      </c>
      <c r="N18" s="89">
        <f>'MONTHLY STATS'!$C$161*2</f>
        <v>153458</v>
      </c>
      <c r="O18" s="90">
        <f>SUM(B18:N18)</f>
        <v>5424266</v>
      </c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3602868</v>
      </c>
      <c r="C23" s="90">
        <f t="shared" si="1"/>
        <v>1650260</v>
      </c>
      <c r="D23" s="90">
        <f t="shared" si="1"/>
        <v>966808</v>
      </c>
      <c r="E23" s="90">
        <f t="shared" si="1"/>
        <v>4329160</v>
      </c>
      <c r="F23" s="90">
        <f t="shared" si="1"/>
        <v>4528862</v>
      </c>
      <c r="G23" s="90">
        <f>SUM(G10:G21)</f>
        <v>1517262</v>
      </c>
      <c r="H23" s="90">
        <f t="shared" si="1"/>
        <v>2296416</v>
      </c>
      <c r="I23" s="90">
        <f>SUM(I10:I21)</f>
        <v>3955946</v>
      </c>
      <c r="J23" s="90">
        <f t="shared" si="1"/>
        <v>4286904</v>
      </c>
      <c r="K23" s="90">
        <f>SUM(K10:K21)</f>
        <v>4393304</v>
      </c>
      <c r="L23" s="90">
        <f t="shared" si="1"/>
        <v>818898</v>
      </c>
      <c r="M23" s="90">
        <f t="shared" si="1"/>
        <v>6051718</v>
      </c>
      <c r="N23" s="90">
        <f t="shared" si="1"/>
        <v>1056616</v>
      </c>
      <c r="O23" s="90">
        <f t="shared" si="1"/>
        <v>39455022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STATS'!$K$21*0.21</f>
        <v>1178796.7863</v>
      </c>
      <c r="D31" s="89">
        <f>'MONTHLY STATS'!$K$33*0.21</f>
        <v>728228.88599999994</v>
      </c>
      <c r="E31" s="89">
        <f>'MONTHLY STATS'!$K$45*0.21</f>
        <v>3061575.4994999999</v>
      </c>
      <c r="F31" s="89">
        <f>'MONTHLY STATS'!$K$57*0.21</f>
        <v>3317763.2228999999</v>
      </c>
      <c r="G31" s="89">
        <f>'MONTHLY STATS'!$K$69*0.21</f>
        <v>1051497.2097</v>
      </c>
      <c r="H31" s="89">
        <f>'MONTHLY STATS'!$K$81*0.21</f>
        <v>955953.50549999997</v>
      </c>
      <c r="I31" s="89">
        <f>'MONTHLY STATS'!$K$93*0.21</f>
        <v>2398867.7516999999</v>
      </c>
      <c r="J31" s="89">
        <f>'MONTHLY STATS'!$K$105*0.21</f>
        <v>2903763.5780999996</v>
      </c>
      <c r="K31" s="89">
        <f>'MONTHLY STATS'!$K$117*0.21</f>
        <v>3157890.0107999998</v>
      </c>
      <c r="L31" s="89">
        <f>'MONTHLY STATS'!$K$129*0.21</f>
        <v>624400.86450000003</v>
      </c>
      <c r="M31" s="89">
        <f>'MONTHLY STATS'!$K$141*0.21</f>
        <v>4772441.4800999993</v>
      </c>
      <c r="N31" s="89">
        <f>'MONTHLY STATS'!$K$153*0.21</f>
        <v>737749.38089999999</v>
      </c>
      <c r="O31" s="90">
        <f t="shared" ref="O31:O36" si="2">SUM(B31:N31)</f>
        <v>27748123.302899998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2650302.3833999997</v>
      </c>
      <c r="C32" s="89">
        <f>'MONTHLY STATS'!$K$22*0.21</f>
        <v>1258855.9683000001</v>
      </c>
      <c r="D32" s="89">
        <f>'MONTHLY STATS'!$K$34*0.21</f>
        <v>692227.40999999992</v>
      </c>
      <c r="E32" s="89">
        <f>'MONTHLY STATS'!$K$46*0.21</f>
        <v>3170806.4156999998</v>
      </c>
      <c r="F32" s="89">
        <f>'MONTHLY STATS'!$K$58*0.21</f>
        <v>3274392.6348000001</v>
      </c>
      <c r="G32" s="89">
        <f>'MONTHLY STATS'!$K$70*0.21</f>
        <v>1042214.6279999999</v>
      </c>
      <c r="H32" s="89">
        <f>'MONTHLY STATS'!$K$82*0.21</f>
        <v>924689.3459999999</v>
      </c>
      <c r="I32" s="89">
        <f>'MONTHLY STATS'!$K$94*0.21</f>
        <v>2536431.8153999997</v>
      </c>
      <c r="J32" s="89">
        <f>'MONTHLY STATS'!$K$106*0.21</f>
        <v>3012089.7827999997</v>
      </c>
      <c r="K32" s="89">
        <f>'MONTHLY STATS'!$K$118*0.21</f>
        <v>3330930.0780000002</v>
      </c>
      <c r="L32" s="89">
        <f>'MONTHLY STATS'!$K$130*0.21</f>
        <v>645271.1621999999</v>
      </c>
      <c r="M32" s="89">
        <f>'MONTHLY STATS'!$K$142*0.21</f>
        <v>4362897.6908999998</v>
      </c>
      <c r="N32" s="89">
        <f>'MONTHLY STATS'!$K$154*0.21</f>
        <v>745142.79839999997</v>
      </c>
      <c r="O32" s="90">
        <f t="shared" si="2"/>
        <v>27646252.113899998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STATS'!$K$23*0.21</f>
        <v>1240836.3785999999</v>
      </c>
      <c r="D33" s="89">
        <f>'MONTHLY STATS'!$K$35*0.21</f>
        <v>651075.1128</v>
      </c>
      <c r="E33" s="89">
        <f>'MONTHLY STATS'!$K$47*0.21</f>
        <v>3135831.1277999999</v>
      </c>
      <c r="F33" s="89">
        <f>'MONTHLY STATS'!$K$59*0.21</f>
        <v>3087246.4980000001</v>
      </c>
      <c r="G33" s="89">
        <f>'MONTHLY STATS'!$K$71*0.21</f>
        <v>1046144.2025999998</v>
      </c>
      <c r="H33" s="89">
        <f>'MONTHLY STATS'!$K$83*0.21</f>
        <v>1124784.6645</v>
      </c>
      <c r="I33" s="89">
        <f>'MONTHLY STATS'!$K$95*0.21</f>
        <v>2423322.0983999996</v>
      </c>
      <c r="J33" s="89">
        <f>'MONTHLY STATS'!$K$107*0.21</f>
        <v>2854444.1562000001</v>
      </c>
      <c r="K33" s="89">
        <f>'MONTHLY STATS'!$K$119*0.21</f>
        <v>3445275.7394999997</v>
      </c>
      <c r="L33" s="89">
        <f>'MONTHLY STATS'!$K$131*0.21</f>
        <v>591393.38789999997</v>
      </c>
      <c r="M33" s="89">
        <f>'MONTHLY STATS'!$K$143*0.21</f>
        <v>4283428.3064999999</v>
      </c>
      <c r="N33" s="89">
        <f>'MONTHLY STATS'!$K$155*0.21</f>
        <v>673628.92379999999</v>
      </c>
      <c r="O33" s="90">
        <f t="shared" si="2"/>
        <v>27167552.380499996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STATS'!$K$24*0.21</f>
        <v>1200866.0769</v>
      </c>
      <c r="D34" s="89">
        <f>'MONTHLY STATS'!$K$36*0.21</f>
        <v>709462.30530000001</v>
      </c>
      <c r="E34" s="89">
        <f>'MONTHLY STATS'!$K$48*0.21</f>
        <v>3331583.3123999997</v>
      </c>
      <c r="F34" s="89">
        <f>'MONTHLY STATS'!$K$60*0.21</f>
        <v>3140077.1598</v>
      </c>
      <c r="G34" s="89">
        <f>'MONTHLY STATS'!$K$72*0.21</f>
        <v>1048776.6218999999</v>
      </c>
      <c r="H34" s="89">
        <f>'MONTHLY STATS'!$K$84*0.21</f>
        <v>1287290.6172</v>
      </c>
      <c r="I34" s="89">
        <f>'MONTHLY STATS'!$K$96*0.21</f>
        <v>2376266.1993</v>
      </c>
      <c r="J34" s="89">
        <f>'MONTHLY STATS'!$K$108*0.21</f>
        <v>3034260.8792999997</v>
      </c>
      <c r="K34" s="89">
        <f>'MONTHLY STATS'!$K$120*0.21</f>
        <v>3440683.6001999998</v>
      </c>
      <c r="L34" s="89">
        <f>'MONTHLY STATS'!$K$132*0.21</f>
        <v>603164.59770000004</v>
      </c>
      <c r="M34" s="89">
        <f>'MONTHLY STATS'!$K$144*0.21</f>
        <v>4603659.3519000001</v>
      </c>
      <c r="N34" s="89">
        <f>'MONTHLY STATS'!$K$156*0.21</f>
        <v>608673.68519999995</v>
      </c>
      <c r="O34" s="90">
        <f t="shared" si="2"/>
        <v>28099550.251499999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STATS'!$K$25*0.21</f>
        <v>1123386.5726999999</v>
      </c>
      <c r="D35" s="89">
        <f>'MONTHLY STATS'!$K$37*0.21</f>
        <v>640084.75020000001</v>
      </c>
      <c r="E35" s="89">
        <f>'MONTHLY STATS'!$K$49*0.21</f>
        <v>2849597.9798999997</v>
      </c>
      <c r="F35" s="89">
        <f>'MONTHLY STATS'!$K$61*0.21</f>
        <v>2626045.7244000002</v>
      </c>
      <c r="G35" s="89">
        <f>'MONTHLY STATS'!$K$73*0.21</f>
        <v>944126.72549999994</v>
      </c>
      <c r="H35" s="89">
        <f>'MONTHLY STATS'!$K$85*0.21</f>
        <v>1210198.3550999998</v>
      </c>
      <c r="I35" s="89">
        <f>'MONTHLY STATS'!$K$97*0.21</f>
        <v>2217628.3709999998</v>
      </c>
      <c r="J35" s="89">
        <f>'MONTHLY STATS'!$K$109*0.21</f>
        <v>2642717.2442999999</v>
      </c>
      <c r="K35" s="89">
        <f>'MONTHLY STATS'!$K$121*0.21</f>
        <v>3042247.1498999996</v>
      </c>
      <c r="L35" s="89">
        <f>'MONTHLY STATS'!$K$133*0.21</f>
        <v>556027.24799999991</v>
      </c>
      <c r="M35" s="89">
        <f>'MONTHLY STATS'!$K$145*0.21</f>
        <v>4002673.4600999998</v>
      </c>
      <c r="N35" s="89">
        <f>'MONTHLY STATS'!$K$157*0.21</f>
        <v>537440.32860000001</v>
      </c>
      <c r="O35" s="90">
        <f t="shared" si="2"/>
        <v>24760442.7819</v>
      </c>
      <c r="P35" s="83"/>
    </row>
    <row r="36" spans="1:16" ht="15.75" x14ac:dyDescent="0.25">
      <c r="A36" s="88">
        <f>DATE(2020,12,1)</f>
        <v>44166</v>
      </c>
      <c r="B36" s="89">
        <f>'MONTHLY STATS'!$K$14*0.21</f>
        <v>2627025.0530999997</v>
      </c>
      <c r="C36" s="89">
        <f>'MONTHLY STATS'!$K$26*0.21</f>
        <v>1210539.8529000001</v>
      </c>
      <c r="D36" s="89">
        <f>'MONTHLY STATS'!$K$38*0.21</f>
        <v>705852.32129999995</v>
      </c>
      <c r="E36" s="89">
        <f>'MONTHLY STATS'!$K$50*0.21</f>
        <v>3089789.0141999996</v>
      </c>
      <c r="F36" s="89">
        <f>'MONTHLY STATS'!$K$62*0.21</f>
        <v>2771255.1782999998</v>
      </c>
      <c r="G36" s="89">
        <f>'MONTHLY STATS'!$K$74*0.21</f>
        <v>1288720.1523</v>
      </c>
      <c r="H36" s="89">
        <f>'MONTHLY STATS'!$K$86*0.21</f>
        <v>1340633.1225000001</v>
      </c>
      <c r="I36" s="89">
        <f>'MONTHLY STATS'!$K$98*0.21</f>
        <v>2902140.3725999999</v>
      </c>
      <c r="J36" s="89">
        <f>'MONTHLY STATS'!$K$110*0.21</f>
        <v>2965104.7376999999</v>
      </c>
      <c r="K36" s="89">
        <f>'MONTHLY STATS'!$K$122*0.21</f>
        <v>2959828.2608999996</v>
      </c>
      <c r="L36" s="89">
        <f>'MONTHLY STATS'!$K$134*0.21</f>
        <v>697840.98930000002</v>
      </c>
      <c r="M36" s="89">
        <f>'MONTHLY STATS'!$K$146*0.21</f>
        <v>5015026.0208999999</v>
      </c>
      <c r="N36" s="89">
        <f>'MONTHLY STATS'!$K$158*0.21</f>
        <v>590987.98709999991</v>
      </c>
      <c r="O36" s="90">
        <f t="shared" si="2"/>
        <v>28164743.063099999</v>
      </c>
      <c r="P36" s="83"/>
    </row>
    <row r="37" spans="1:16" ht="15.75" x14ac:dyDescent="0.25">
      <c r="A37" s="88">
        <f>DATE(2021,1,1)</f>
        <v>44197</v>
      </c>
      <c r="B37" s="89">
        <f>'MONTHLY STATS'!$K$15*0.21</f>
        <v>2688803.0274</v>
      </c>
      <c r="C37" s="89">
        <f>'MONTHLY STATS'!$K$27*0.21</f>
        <v>1489277.7479999999</v>
      </c>
      <c r="D37" s="89">
        <f>'MONTHLY STATS'!$K$39*0.21</f>
        <v>858947.24789999996</v>
      </c>
      <c r="E37" s="89">
        <f>'MONTHLY STATS'!$K$51*0.21</f>
        <v>3050253.3641999997</v>
      </c>
      <c r="F37" s="89">
        <f>'MONTHLY STATS'!$K$63*0.21</f>
        <v>3163924.6968</v>
      </c>
      <c r="G37" s="89">
        <f>'MONTHLY STATS'!$K$75*0.21</f>
        <v>1432810.6653</v>
      </c>
      <c r="H37" s="89">
        <f>'MONTHLY STATS'!$K$87*0.21</f>
        <v>1452439.8084</v>
      </c>
      <c r="I37" s="89">
        <f>'MONTHLY STATS'!$K$99*0.21</f>
        <v>3345981.1329000001</v>
      </c>
      <c r="J37" s="89">
        <f>'MONTHLY STATS'!$K$111*0.21</f>
        <v>3305764.3583999998</v>
      </c>
      <c r="K37" s="89">
        <f>'MONTHLY STATS'!$K$123*0.21</f>
        <v>3294583.5656999997</v>
      </c>
      <c r="L37" s="89">
        <f>'MONTHLY STATS'!$K$135*0.21</f>
        <v>737287.87229999993</v>
      </c>
      <c r="M37" s="89">
        <f>'MONTHLY STATS'!$K$147*0.21</f>
        <v>5454705.8013000004</v>
      </c>
      <c r="N37" s="89">
        <f>'MONTHLY STATS'!$K$159*0.21</f>
        <v>660570.90749999997</v>
      </c>
      <c r="O37" s="90">
        <f>SUM(B37:N37)</f>
        <v>30935350.196099997</v>
      </c>
      <c r="P37" s="83"/>
    </row>
    <row r="38" spans="1:16" ht="15.75" x14ac:dyDescent="0.25">
      <c r="A38" s="88">
        <f>DATE(2021,2,1)</f>
        <v>44228</v>
      </c>
      <c r="B38" s="89">
        <f>'MONTHLY STATS'!$K$16*0.21</f>
        <v>2383669.8731999998</v>
      </c>
      <c r="C38" s="89">
        <f>'MONTHLY STATS'!$K$28*0.21</f>
        <v>1256150.1434999998</v>
      </c>
      <c r="D38" s="89">
        <f>'MONTHLY STATS'!$K$40*0.21</f>
        <v>636659.73419999995</v>
      </c>
      <c r="E38" s="89">
        <f>'MONTHLY STATS'!$K$52*0.21</f>
        <v>2507727.5159999998</v>
      </c>
      <c r="F38" s="89">
        <f>'MONTHLY STATS'!$K$64*0.21</f>
        <v>2775343.4457</v>
      </c>
      <c r="G38" s="89">
        <f>'MONTHLY STATS'!$K$76*0.21</f>
        <v>1038314.2056</v>
      </c>
      <c r="H38" s="89">
        <f>'MONTHLY STATS'!$K$88*0.21</f>
        <v>1338059.5808999999</v>
      </c>
      <c r="I38" s="89">
        <f>'MONTHLY STATS'!$K$100*0.21</f>
        <v>2445546.8772</v>
      </c>
      <c r="J38" s="89">
        <f>'MONTHLY STATS'!$K$112*0.21</f>
        <v>2801556.0216000001</v>
      </c>
      <c r="K38" s="89">
        <f>'MONTHLY STATS'!$K$124*0.21</f>
        <v>2802526.5806999998</v>
      </c>
      <c r="L38" s="89">
        <f>'MONTHLY STATS'!$K$136*0.21</f>
        <v>551736.92700000003</v>
      </c>
      <c r="M38" s="89">
        <f>'MONTHLY STATS'!$K$148*0.21</f>
        <v>4627521.6980999997</v>
      </c>
      <c r="N38" s="89">
        <f>'MONTHLY STATS'!$K$160*0.21</f>
        <v>590921.0307</v>
      </c>
      <c r="O38" s="90">
        <f>SUM(B38:N38)</f>
        <v>25755733.634400003</v>
      </c>
      <c r="P38" s="83"/>
    </row>
    <row r="39" spans="1:16" ht="15.75" x14ac:dyDescent="0.25">
      <c r="A39" s="88">
        <f>DATE(2021,3,1)</f>
        <v>44256</v>
      </c>
      <c r="B39" s="89">
        <f>'MONTHLY STATS'!$K$17*0.21</f>
        <v>3432898.3772999998</v>
      </c>
      <c r="C39" s="89">
        <f>'MONTHLY STATS'!$K$29*0.21</f>
        <v>1860861.2316000001</v>
      </c>
      <c r="D39" s="89">
        <f>'MONTHLY STATS'!$K$41*0.21</f>
        <v>1122740.4405</v>
      </c>
      <c r="E39" s="89">
        <f>'MONTHLY STATS'!$K$53*0.21</f>
        <v>3690428.8553999993</v>
      </c>
      <c r="F39" s="89">
        <f>'MONTHLY STATS'!$K$65*0.21</f>
        <v>3859253.0255999998</v>
      </c>
      <c r="G39" s="89">
        <f>'MONTHLY STATS'!$K$77*0.21</f>
        <v>1635266.7701999999</v>
      </c>
      <c r="H39" s="89">
        <f>'MONTHLY STATS'!$K$89*0.21</f>
        <v>2088366.4934999999</v>
      </c>
      <c r="I39" s="89">
        <f>'MONTHLY STATS'!$K$101*0.21</f>
        <v>3585963.7211999996</v>
      </c>
      <c r="J39" s="89">
        <f>'MONTHLY STATS'!$K$113*0.21</f>
        <v>4134696.3566999999</v>
      </c>
      <c r="K39" s="89">
        <f>'MONTHLY STATS'!$K$125*0.21</f>
        <v>3978710.8829999999</v>
      </c>
      <c r="L39" s="89">
        <f>'MONTHLY STATS'!$K$137*0.21</f>
        <v>898940.86169999989</v>
      </c>
      <c r="M39" s="89">
        <f>'MONTHLY STATS'!$K$149*0.21</f>
        <v>5875221.1749</v>
      </c>
      <c r="N39" s="89">
        <f>'MONTHLY STATS'!$K$161*0.21</f>
        <v>939310.03740000003</v>
      </c>
      <c r="O39" s="90">
        <f>SUM(B39:N39)</f>
        <v>37102658.229000002</v>
      </c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24335090.341799997</v>
      </c>
      <c r="C44" s="90">
        <f t="shared" si="3"/>
        <v>11819570.7588</v>
      </c>
      <c r="D44" s="90">
        <f t="shared" si="3"/>
        <v>6745278.2082000002</v>
      </c>
      <c r="E44" s="90">
        <f t="shared" si="3"/>
        <v>27887593.085099995</v>
      </c>
      <c r="F44" s="90">
        <f t="shared" si="3"/>
        <v>28015301.586300004</v>
      </c>
      <c r="G44" s="90">
        <f t="shared" si="3"/>
        <v>10527871.1811</v>
      </c>
      <c r="H44" s="90">
        <f t="shared" si="3"/>
        <v>11722415.4936</v>
      </c>
      <c r="I44" s="90">
        <f>SUM(I31:I42)</f>
        <v>24232148.339699998</v>
      </c>
      <c r="J44" s="90">
        <f t="shared" si="3"/>
        <v>27654397.115099996</v>
      </c>
      <c r="K44" s="90">
        <f>SUM(K31:K42)</f>
        <v>29452675.868699994</v>
      </c>
      <c r="L44" s="90">
        <f t="shared" si="3"/>
        <v>5906063.9106000001</v>
      </c>
      <c r="M44" s="90">
        <f t="shared" si="3"/>
        <v>42997574.984700002</v>
      </c>
      <c r="N44" s="90">
        <f t="shared" si="3"/>
        <v>6084425.0795999998</v>
      </c>
      <c r="O44" s="90">
        <f t="shared" si="3"/>
        <v>257380405.9533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1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 t="shared" ref="F9:F17" si="0">(+D9-E9)/E9</f>
        <v>-0.10624985431843496</v>
      </c>
      <c r="G9" s="215">
        <f t="shared" ref="G9:G17" si="1"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1563543</v>
      </c>
      <c r="E10" s="204">
        <v>1845303</v>
      </c>
      <c r="F10" s="132">
        <f t="shared" si="0"/>
        <v>-0.15269037117481518</v>
      </c>
      <c r="G10" s="215">
        <f t="shared" si="1"/>
        <v>0.17866067483314513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-0.14674570347924179</v>
      </c>
      <c r="G13" s="215">
        <f t="shared" si="1"/>
        <v>0.17087554376868375</v>
      </c>
      <c r="H13" s="123"/>
    </row>
    <row r="14" spans="1:8" ht="15.75" x14ac:dyDescent="0.2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0.17838868748955841</v>
      </c>
      <c r="H14" s="123"/>
    </row>
    <row r="15" spans="1:8" ht="15.75" x14ac:dyDescent="0.25">
      <c r="A15" s="130"/>
      <c r="B15" s="131">
        <f>DATE(2021,1,1)</f>
        <v>44197</v>
      </c>
      <c r="C15" s="204">
        <v>9656853</v>
      </c>
      <c r="D15" s="204">
        <v>1430188</v>
      </c>
      <c r="E15" s="204">
        <v>1814739</v>
      </c>
      <c r="F15" s="132">
        <f t="shared" si="0"/>
        <v>-0.21190430138989683</v>
      </c>
      <c r="G15" s="215">
        <f t="shared" si="1"/>
        <v>0.14810083574845759</v>
      </c>
      <c r="H15" s="123"/>
    </row>
    <row r="16" spans="1:8" ht="15.75" x14ac:dyDescent="0.25">
      <c r="A16" s="130"/>
      <c r="B16" s="131">
        <f>DATE(2021,2,1)</f>
        <v>44228</v>
      </c>
      <c r="C16" s="204">
        <v>8747669</v>
      </c>
      <c r="D16" s="204">
        <v>1356444</v>
      </c>
      <c r="E16" s="204">
        <v>1907085.75</v>
      </c>
      <c r="F16" s="132">
        <f t="shared" si="0"/>
        <v>-0.28873465705461854</v>
      </c>
      <c r="G16" s="215">
        <f t="shared" si="1"/>
        <v>0.15506348033973394</v>
      </c>
      <c r="H16" s="123"/>
    </row>
    <row r="17" spans="1:8" ht="15.75" x14ac:dyDescent="0.25">
      <c r="A17" s="130"/>
      <c r="B17" s="131">
        <f>DATE(2021,3,1)</f>
        <v>44256</v>
      </c>
      <c r="C17" s="204">
        <v>11840275</v>
      </c>
      <c r="D17" s="204">
        <v>2088206.5</v>
      </c>
      <c r="E17" s="204">
        <v>1133526.5</v>
      </c>
      <c r="F17" s="132">
        <f t="shared" si="0"/>
        <v>0.8422211567175536</v>
      </c>
      <c r="G17" s="215">
        <f t="shared" si="1"/>
        <v>0.17636469592133627</v>
      </c>
      <c r="H17" s="123"/>
    </row>
    <row r="18" spans="1:8" ht="15.75" thickBot="1" x14ac:dyDescent="0.25">
      <c r="A18" s="133"/>
      <c r="B18" s="134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SUM(C9:C18)</f>
        <v>84260240.409999996</v>
      </c>
      <c r="D19" s="201">
        <f>SUM(D9:D18)</f>
        <v>14379895.91</v>
      </c>
      <c r="E19" s="201">
        <f>SUM(E9:E18)</f>
        <v>15990502.75</v>
      </c>
      <c r="F19" s="137">
        <f>(+D19-E19)/E19</f>
        <v>-0.10072271429989904</v>
      </c>
      <c r="G19" s="212">
        <f>D19/C19</f>
        <v>0.17066051366610385</v>
      </c>
      <c r="H19" s="123"/>
    </row>
    <row r="20" spans="1:8" ht="15.75" customHeight="1" thickTop="1" x14ac:dyDescent="0.25">
      <c r="A20" s="138"/>
      <c r="B20" s="139"/>
      <c r="C20" s="205"/>
      <c r="D20" s="205"/>
      <c r="E20" s="205"/>
      <c r="F20" s="140"/>
      <c r="G20" s="216"/>
      <c r="H20" s="123"/>
    </row>
    <row r="21" spans="1:8" ht="15.75" x14ac:dyDescent="0.25">
      <c r="A21" s="19" t="s">
        <v>15</v>
      </c>
      <c r="B21" s="131">
        <f>DATE(2020,7,1)</f>
        <v>44013</v>
      </c>
      <c r="C21" s="204">
        <v>1658177</v>
      </c>
      <c r="D21" s="204">
        <v>547209</v>
      </c>
      <c r="E21" s="204">
        <v>728719</v>
      </c>
      <c r="F21" s="132">
        <f t="shared" ref="F21:F29" si="2">(+D21-E21)/E21</f>
        <v>-0.24908092145257638</v>
      </c>
      <c r="G21" s="215">
        <f t="shared" ref="G21:G29" si="3">D21/C21</f>
        <v>0.33000638653171527</v>
      </c>
      <c r="H21" s="123"/>
    </row>
    <row r="22" spans="1:8" ht="15.75" x14ac:dyDescent="0.25">
      <c r="A22" s="19"/>
      <c r="B22" s="131">
        <f>DATE(2020,8,1)</f>
        <v>44044</v>
      </c>
      <c r="C22" s="204">
        <v>1982325</v>
      </c>
      <c r="D22" s="204">
        <v>526001.5</v>
      </c>
      <c r="E22" s="204">
        <v>718107.5</v>
      </c>
      <c r="F22" s="132">
        <f t="shared" si="2"/>
        <v>-0.2675170500238474</v>
      </c>
      <c r="G22" s="215">
        <f t="shared" si="3"/>
        <v>0.26534574300379604</v>
      </c>
      <c r="H22" s="123"/>
    </row>
    <row r="23" spans="1:8" ht="15.75" x14ac:dyDescent="0.25">
      <c r="A23" s="19"/>
      <c r="B23" s="131">
        <f>DATE(2020,9,1)</f>
        <v>44075</v>
      </c>
      <c r="C23" s="204">
        <v>1922059</v>
      </c>
      <c r="D23" s="204">
        <v>401819.5</v>
      </c>
      <c r="E23" s="204">
        <v>573243</v>
      </c>
      <c r="F23" s="132">
        <f t="shared" si="2"/>
        <v>-0.29904159318125123</v>
      </c>
      <c r="G23" s="215">
        <f t="shared" si="3"/>
        <v>0.20905679794428786</v>
      </c>
      <c r="H23" s="123"/>
    </row>
    <row r="24" spans="1:8" ht="15.75" x14ac:dyDescent="0.25">
      <c r="A24" s="19"/>
      <c r="B24" s="131">
        <f>DATE(2020,10,1)</f>
        <v>44105</v>
      </c>
      <c r="C24" s="204">
        <v>2326336</v>
      </c>
      <c r="D24" s="204">
        <v>614154.5</v>
      </c>
      <c r="E24" s="204">
        <v>591260.5</v>
      </c>
      <c r="F24" s="132">
        <f t="shared" si="2"/>
        <v>3.872066542581485E-2</v>
      </c>
      <c r="G24" s="215">
        <f t="shared" si="3"/>
        <v>0.26400077202949185</v>
      </c>
      <c r="H24" s="123"/>
    </row>
    <row r="25" spans="1:8" ht="15.75" x14ac:dyDescent="0.25">
      <c r="A25" s="19"/>
      <c r="B25" s="131">
        <f>DATE(2020,11,1)</f>
        <v>44136</v>
      </c>
      <c r="C25" s="204">
        <v>2058779</v>
      </c>
      <c r="D25" s="204">
        <v>534831.5</v>
      </c>
      <c r="E25" s="204">
        <v>527573</v>
      </c>
      <c r="F25" s="132">
        <f t="shared" si="2"/>
        <v>1.3758285583227345E-2</v>
      </c>
      <c r="G25" s="215">
        <f t="shared" si="3"/>
        <v>0.25978091869015568</v>
      </c>
      <c r="H25" s="123"/>
    </row>
    <row r="26" spans="1:8" ht="15.75" x14ac:dyDescent="0.25">
      <c r="A26" s="19"/>
      <c r="B26" s="131">
        <f>DATE(2020,12,1)</f>
        <v>44166</v>
      </c>
      <c r="C26" s="204">
        <v>1993699</v>
      </c>
      <c r="D26" s="204">
        <v>508771</v>
      </c>
      <c r="E26" s="204">
        <v>731643</v>
      </c>
      <c r="F26" s="132">
        <f t="shared" si="2"/>
        <v>-0.30461850930030082</v>
      </c>
      <c r="G26" s="215">
        <f t="shared" si="3"/>
        <v>0.25518947443922074</v>
      </c>
      <c r="H26" s="123"/>
    </row>
    <row r="27" spans="1:8" ht="15.75" x14ac:dyDescent="0.25">
      <c r="A27" s="19"/>
      <c r="B27" s="131">
        <f>DATE(2021,1,1)</f>
        <v>44197</v>
      </c>
      <c r="C27" s="204">
        <v>2392071</v>
      </c>
      <c r="D27" s="204">
        <v>717489.5</v>
      </c>
      <c r="E27" s="204">
        <v>617104</v>
      </c>
      <c r="F27" s="132">
        <f t="shared" si="2"/>
        <v>0.1626719321216521</v>
      </c>
      <c r="G27" s="215">
        <f t="shared" si="3"/>
        <v>0.29994490130100654</v>
      </c>
      <c r="H27" s="123"/>
    </row>
    <row r="28" spans="1:8" ht="15.75" x14ac:dyDescent="0.25">
      <c r="A28" s="19"/>
      <c r="B28" s="131">
        <f>DATE(2021,2,1)</f>
        <v>44228</v>
      </c>
      <c r="C28" s="204">
        <v>1922909</v>
      </c>
      <c r="D28" s="204">
        <v>476264</v>
      </c>
      <c r="E28" s="204">
        <v>597734</v>
      </c>
      <c r="F28" s="132">
        <f t="shared" si="2"/>
        <v>-0.20321748470055243</v>
      </c>
      <c r="G28" s="215">
        <f t="shared" si="3"/>
        <v>0.24767890732218736</v>
      </c>
      <c r="H28" s="123"/>
    </row>
    <row r="29" spans="1:8" ht="15.75" x14ac:dyDescent="0.25">
      <c r="A29" s="19"/>
      <c r="B29" s="131">
        <f>DATE(2021,3,1)</f>
        <v>44256</v>
      </c>
      <c r="C29" s="204">
        <v>2457578</v>
      </c>
      <c r="D29" s="204">
        <v>890723</v>
      </c>
      <c r="E29" s="204">
        <v>408496.5</v>
      </c>
      <c r="F29" s="132">
        <f t="shared" si="2"/>
        <v>1.180491142518969</v>
      </c>
      <c r="G29" s="215">
        <f t="shared" si="3"/>
        <v>0.3624393610294363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35" t="s">
        <v>14</v>
      </c>
      <c r="B31" s="136"/>
      <c r="C31" s="201">
        <f>SUM(C21:C30)</f>
        <v>18713933</v>
      </c>
      <c r="D31" s="201">
        <f>SUM(D21:D30)</f>
        <v>5217263.5</v>
      </c>
      <c r="E31" s="201">
        <f>SUM(E21:E30)</f>
        <v>5493880.5</v>
      </c>
      <c r="F31" s="137">
        <f>(+D31-E31)/E31</f>
        <v>-5.035002126456882E-2</v>
      </c>
      <c r="G31" s="212">
        <f>D31/C31</f>
        <v>0.27879032697188771</v>
      </c>
      <c r="H31" s="123"/>
    </row>
    <row r="32" spans="1:8" ht="15.75" customHeight="1" thickTop="1" x14ac:dyDescent="0.25">
      <c r="A32" s="255"/>
      <c r="B32" s="139"/>
      <c r="C32" s="205"/>
      <c r="D32" s="205"/>
      <c r="E32" s="205"/>
      <c r="F32" s="140"/>
      <c r="G32" s="219"/>
      <c r="H32" s="123"/>
    </row>
    <row r="33" spans="1:8" ht="15.75" x14ac:dyDescent="0.25">
      <c r="A33" s="19" t="s">
        <v>65</v>
      </c>
      <c r="B33" s="131">
        <f>DATE(2020,7,1)</f>
        <v>44013</v>
      </c>
      <c r="C33" s="204">
        <v>1270413</v>
      </c>
      <c r="D33" s="204">
        <v>362069</v>
      </c>
      <c r="E33" s="204">
        <v>293379.5</v>
      </c>
      <c r="F33" s="132">
        <f t="shared" ref="F33:F41" si="4">(+D33-E33)/E33</f>
        <v>0.23413190083151686</v>
      </c>
      <c r="G33" s="215">
        <f t="shared" ref="G33:G41" si="5">D33/C33</f>
        <v>0.28500101935354882</v>
      </c>
      <c r="H33" s="123"/>
    </row>
    <row r="34" spans="1:8" ht="15.75" x14ac:dyDescent="0.25">
      <c r="A34" s="19"/>
      <c r="B34" s="131">
        <f>DATE(2020,8,1)</f>
        <v>44044</v>
      </c>
      <c r="C34" s="204">
        <v>1273813</v>
      </c>
      <c r="D34" s="204">
        <v>264520</v>
      </c>
      <c r="E34" s="204">
        <v>306469</v>
      </c>
      <c r="F34" s="132">
        <f t="shared" si="4"/>
        <v>-0.13687844447562397</v>
      </c>
      <c r="G34" s="215">
        <f t="shared" si="5"/>
        <v>0.20765999404936203</v>
      </c>
      <c r="H34" s="123"/>
    </row>
    <row r="35" spans="1:8" ht="15.75" x14ac:dyDescent="0.25">
      <c r="A35" s="19"/>
      <c r="B35" s="131">
        <f>DATE(2020,9,1)</f>
        <v>44075</v>
      </c>
      <c r="C35" s="204">
        <v>1439276</v>
      </c>
      <c r="D35" s="204">
        <v>282126.5</v>
      </c>
      <c r="E35" s="204">
        <v>301048.5</v>
      </c>
      <c r="F35" s="132">
        <f t="shared" si="4"/>
        <v>-6.2853659792359032E-2</v>
      </c>
      <c r="G35" s="215">
        <f t="shared" si="5"/>
        <v>0.19601973492228036</v>
      </c>
      <c r="H35" s="123"/>
    </row>
    <row r="36" spans="1:8" ht="15.75" x14ac:dyDescent="0.25">
      <c r="A36" s="19"/>
      <c r="B36" s="131">
        <f>DATE(2020,10,1)</f>
        <v>44105</v>
      </c>
      <c r="C36" s="204">
        <v>1274380</v>
      </c>
      <c r="D36" s="204">
        <v>409251</v>
      </c>
      <c r="E36" s="204">
        <v>332474</v>
      </c>
      <c r="F36" s="132">
        <f t="shared" si="4"/>
        <v>0.2309263280737742</v>
      </c>
      <c r="G36" s="215">
        <f t="shared" si="5"/>
        <v>0.32113733737189848</v>
      </c>
      <c r="H36" s="123"/>
    </row>
    <row r="37" spans="1:8" ht="15.75" x14ac:dyDescent="0.25">
      <c r="A37" s="19"/>
      <c r="B37" s="131">
        <f>DATE(2020,11,1)</f>
        <v>44136</v>
      </c>
      <c r="C37" s="204">
        <v>1032984</v>
      </c>
      <c r="D37" s="204">
        <v>302858</v>
      </c>
      <c r="E37" s="204">
        <v>408121.5</v>
      </c>
      <c r="F37" s="132">
        <f t="shared" si="4"/>
        <v>-0.25792196686525948</v>
      </c>
      <c r="G37" s="215">
        <f t="shared" si="5"/>
        <v>0.29318750338824223</v>
      </c>
      <c r="H37" s="123"/>
    </row>
    <row r="38" spans="1:8" ht="15.75" x14ac:dyDescent="0.25">
      <c r="A38" s="19"/>
      <c r="B38" s="131">
        <f>DATE(2020,12,1)</f>
        <v>44166</v>
      </c>
      <c r="C38" s="204">
        <v>1323876</v>
      </c>
      <c r="D38" s="204">
        <v>403813</v>
      </c>
      <c r="E38" s="204">
        <v>350849</v>
      </c>
      <c r="F38" s="132">
        <f t="shared" si="4"/>
        <v>0.15095952959820322</v>
      </c>
      <c r="G38" s="215">
        <f t="shared" si="5"/>
        <v>0.30502328012593327</v>
      </c>
      <c r="H38" s="123"/>
    </row>
    <row r="39" spans="1:8" ht="15.75" x14ac:dyDescent="0.25">
      <c r="A39" s="19"/>
      <c r="B39" s="131">
        <f>DATE(2021,1,1)</f>
        <v>44197</v>
      </c>
      <c r="C39" s="204">
        <v>1355483</v>
      </c>
      <c r="D39" s="204">
        <v>351038</v>
      </c>
      <c r="E39" s="204">
        <v>350509</v>
      </c>
      <c r="F39" s="132">
        <f t="shared" si="4"/>
        <v>1.5092337143982038E-3</v>
      </c>
      <c r="G39" s="215">
        <f t="shared" si="5"/>
        <v>0.25897632061781667</v>
      </c>
      <c r="H39" s="123"/>
    </row>
    <row r="40" spans="1:8" ht="15.75" x14ac:dyDescent="0.25">
      <c r="A40" s="19"/>
      <c r="B40" s="131">
        <f>DATE(2021,2,1)</f>
        <v>44228</v>
      </c>
      <c r="C40" s="204">
        <v>993672</v>
      </c>
      <c r="D40" s="204">
        <v>285945.5</v>
      </c>
      <c r="E40" s="204">
        <v>404769.5</v>
      </c>
      <c r="F40" s="132">
        <f t="shared" si="4"/>
        <v>-0.29355966790976101</v>
      </c>
      <c r="G40" s="215">
        <f t="shared" si="5"/>
        <v>0.28776648632546759</v>
      </c>
      <c r="H40" s="123"/>
    </row>
    <row r="41" spans="1:8" ht="15.75" x14ac:dyDescent="0.25">
      <c r="A41" s="19"/>
      <c r="B41" s="131">
        <f>DATE(2021,3,1)</f>
        <v>44256</v>
      </c>
      <c r="C41" s="204">
        <v>1535221</v>
      </c>
      <c r="D41" s="204">
        <v>429833</v>
      </c>
      <c r="E41" s="204">
        <v>280036</v>
      </c>
      <c r="F41" s="132">
        <f t="shared" si="4"/>
        <v>0.53492051022011455</v>
      </c>
      <c r="G41" s="215">
        <f t="shared" si="5"/>
        <v>0.27998118837613606</v>
      </c>
      <c r="H41" s="123"/>
    </row>
    <row r="42" spans="1:8" ht="15.75" thickBot="1" x14ac:dyDescent="0.25">
      <c r="A42" s="133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SUM(C33:C42)</f>
        <v>11499118</v>
      </c>
      <c r="D43" s="206">
        <f>SUM(D33:D42)</f>
        <v>3091454</v>
      </c>
      <c r="E43" s="206">
        <f>SUM(E33:E42)</f>
        <v>3027656</v>
      </c>
      <c r="F43" s="143">
        <f>(+D43-E43)/E43</f>
        <v>2.1071746592083117E-2</v>
      </c>
      <c r="G43" s="217">
        <f>D43/C43</f>
        <v>0.26884270602319238</v>
      </c>
      <c r="H43" s="123"/>
    </row>
    <row r="44" spans="1:8" ht="15.75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77" t="s">
        <v>59</v>
      </c>
      <c r="B45" s="131">
        <f>DATE(2020,7,1)</f>
        <v>44013</v>
      </c>
      <c r="C45" s="204">
        <v>10382905</v>
      </c>
      <c r="D45" s="204">
        <v>1708169.06</v>
      </c>
      <c r="E45" s="204">
        <v>3167340.9</v>
      </c>
      <c r="F45" s="132">
        <f t="shared" ref="F45:F53" si="6">(+D45-E45)/E45</f>
        <v>-0.4606930185506713</v>
      </c>
      <c r="G45" s="215">
        <f t="shared" ref="G45:G53" si="7">D45/C45</f>
        <v>0.16451745055935696</v>
      </c>
      <c r="H45" s="123"/>
    </row>
    <row r="46" spans="1:8" ht="15.75" x14ac:dyDescent="0.25">
      <c r="A46" s="177"/>
      <c r="B46" s="131">
        <f>DATE(2020,8,1)</f>
        <v>44044</v>
      </c>
      <c r="C46" s="204">
        <v>11468634</v>
      </c>
      <c r="D46" s="204">
        <v>2028826.5</v>
      </c>
      <c r="E46" s="204">
        <v>3870445.12</v>
      </c>
      <c r="F46" s="132">
        <f t="shared" si="6"/>
        <v>-0.47581571703050013</v>
      </c>
      <c r="G46" s="215">
        <f t="shared" si="7"/>
        <v>0.17690219253661771</v>
      </c>
      <c r="H46" s="123"/>
    </row>
    <row r="47" spans="1:8" ht="15.75" x14ac:dyDescent="0.25">
      <c r="A47" s="177"/>
      <c r="B47" s="131">
        <f>DATE(2020,9,1)</f>
        <v>44075</v>
      </c>
      <c r="C47" s="204">
        <v>10567803</v>
      </c>
      <c r="D47" s="204">
        <v>2149169</v>
      </c>
      <c r="E47" s="204">
        <v>2775665.96</v>
      </c>
      <c r="F47" s="132">
        <f t="shared" si="6"/>
        <v>-0.22571050300303425</v>
      </c>
      <c r="G47" s="215">
        <f t="shared" si="7"/>
        <v>0.20336951777015524</v>
      </c>
      <c r="H47" s="123"/>
    </row>
    <row r="48" spans="1:8" ht="15.75" x14ac:dyDescent="0.25">
      <c r="A48" s="177"/>
      <c r="B48" s="131">
        <f>DATE(2020,10,1)</f>
        <v>44105</v>
      </c>
      <c r="C48" s="204">
        <v>11375206</v>
      </c>
      <c r="D48" s="204">
        <v>2042559.98</v>
      </c>
      <c r="E48" s="204">
        <v>3235163.5</v>
      </c>
      <c r="F48" s="132">
        <f t="shared" si="6"/>
        <v>-0.36863778909473971</v>
      </c>
      <c r="G48" s="215">
        <f t="shared" si="7"/>
        <v>0.17956246067104192</v>
      </c>
      <c r="H48" s="123"/>
    </row>
    <row r="49" spans="1:8" ht="15.75" x14ac:dyDescent="0.25">
      <c r="A49" s="177"/>
      <c r="B49" s="131">
        <f>DATE(2020,11,1)</f>
        <v>44136</v>
      </c>
      <c r="C49" s="204">
        <v>10584433</v>
      </c>
      <c r="D49" s="204">
        <v>2060677.45</v>
      </c>
      <c r="E49" s="204">
        <v>3242482.5</v>
      </c>
      <c r="F49" s="132">
        <f t="shared" si="6"/>
        <v>-0.36447538267361507</v>
      </c>
      <c r="G49" s="215">
        <f t="shared" si="7"/>
        <v>0.19468945100790944</v>
      </c>
      <c r="H49" s="123"/>
    </row>
    <row r="50" spans="1:8" ht="15.75" x14ac:dyDescent="0.25">
      <c r="A50" s="177"/>
      <c r="B50" s="131">
        <f>DATE(2020,12,1)</f>
        <v>44166</v>
      </c>
      <c r="C50" s="204">
        <v>10535486</v>
      </c>
      <c r="D50" s="204">
        <v>2612129.91</v>
      </c>
      <c r="E50" s="204">
        <v>2919239.74</v>
      </c>
      <c r="F50" s="132">
        <f t="shared" si="6"/>
        <v>-0.10520199002223779</v>
      </c>
      <c r="G50" s="215">
        <f t="shared" si="7"/>
        <v>0.24793634674280809</v>
      </c>
      <c r="H50" s="123"/>
    </row>
    <row r="51" spans="1:8" ht="15.75" x14ac:dyDescent="0.25">
      <c r="A51" s="177"/>
      <c r="B51" s="131">
        <f>DATE(2021,1,1)</f>
        <v>44197</v>
      </c>
      <c r="C51" s="204">
        <v>11133992</v>
      </c>
      <c r="D51" s="204">
        <v>2320369.71</v>
      </c>
      <c r="E51" s="204">
        <v>2925995.5</v>
      </c>
      <c r="F51" s="132">
        <f t="shared" si="6"/>
        <v>-0.20698110779732917</v>
      </c>
      <c r="G51" s="215">
        <f t="shared" si="7"/>
        <v>0.20840411148130877</v>
      </c>
      <c r="H51" s="123"/>
    </row>
    <row r="52" spans="1:8" ht="15.75" x14ac:dyDescent="0.25">
      <c r="A52" s="177"/>
      <c r="B52" s="131">
        <f>DATE(2021,2,1)</f>
        <v>44228</v>
      </c>
      <c r="C52" s="204">
        <v>8703157</v>
      </c>
      <c r="D52" s="204">
        <v>1688741</v>
      </c>
      <c r="E52" s="204">
        <v>3337882.2</v>
      </c>
      <c r="F52" s="132">
        <f t="shared" si="6"/>
        <v>-0.49406812499254771</v>
      </c>
      <c r="G52" s="215">
        <f t="shared" si="7"/>
        <v>0.1940377497498896</v>
      </c>
      <c r="H52" s="123"/>
    </row>
    <row r="53" spans="1:8" ht="15.75" x14ac:dyDescent="0.25">
      <c r="A53" s="177"/>
      <c r="B53" s="131">
        <f>DATE(2021,3,1)</f>
        <v>44256</v>
      </c>
      <c r="C53" s="204">
        <v>11418118</v>
      </c>
      <c r="D53" s="204">
        <v>2903594.09</v>
      </c>
      <c r="E53" s="204">
        <v>1497956.95</v>
      </c>
      <c r="F53" s="132">
        <f t="shared" si="6"/>
        <v>0.93836951722811524</v>
      </c>
      <c r="G53" s="215">
        <f t="shared" si="7"/>
        <v>0.25429708205853185</v>
      </c>
      <c r="H53" s="123"/>
    </row>
    <row r="54" spans="1:8" ht="15.75" customHeight="1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Top="1" thickBot="1" x14ac:dyDescent="0.3">
      <c r="A55" s="141" t="s">
        <v>14</v>
      </c>
      <c r="B55" s="142"/>
      <c r="C55" s="206">
        <f>SUM(C45:C54)</f>
        <v>96169734</v>
      </c>
      <c r="D55" s="206">
        <f>SUM(D45:D54)</f>
        <v>19514236.699999999</v>
      </c>
      <c r="E55" s="206">
        <f>SUM(E45:E54)</f>
        <v>26972172.369999997</v>
      </c>
      <c r="F55" s="143">
        <f>(+D55-E55)/E55</f>
        <v>-0.27650482014178224</v>
      </c>
      <c r="G55" s="217">
        <f>D55/C55</f>
        <v>0.20291453338115711</v>
      </c>
      <c r="H55" s="123"/>
    </row>
    <row r="56" spans="1:8" ht="15.75" customHeight="1" thickTop="1" x14ac:dyDescent="0.2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 x14ac:dyDescent="0.25">
      <c r="A57" s="130" t="s">
        <v>63</v>
      </c>
      <c r="B57" s="131">
        <f>DATE(2020,7,1)</f>
        <v>44013</v>
      </c>
      <c r="C57" s="204">
        <v>12794651</v>
      </c>
      <c r="D57" s="204">
        <v>2410424.5</v>
      </c>
      <c r="E57" s="204">
        <v>2665528.5</v>
      </c>
      <c r="F57" s="132">
        <f t="shared" ref="F57:F65" si="8">(+D57-E57)/E57</f>
        <v>-9.5704848025447861E-2</v>
      </c>
      <c r="G57" s="215">
        <f t="shared" ref="G57:G65" si="9">D57/C57</f>
        <v>0.18839314179026845</v>
      </c>
      <c r="H57" s="123"/>
    </row>
    <row r="58" spans="1:8" ht="15" customHeight="1" x14ac:dyDescent="0.25">
      <c r="A58" s="130"/>
      <c r="B58" s="131">
        <f>DATE(2020,8,1)</f>
        <v>44044</v>
      </c>
      <c r="C58" s="204">
        <v>14515756</v>
      </c>
      <c r="D58" s="204">
        <v>3089213</v>
      </c>
      <c r="E58" s="204">
        <v>3359489.5</v>
      </c>
      <c r="F58" s="132">
        <f t="shared" si="8"/>
        <v>-8.0451657908143487E-2</v>
      </c>
      <c r="G58" s="215">
        <f t="shared" si="9"/>
        <v>0.21281792005872791</v>
      </c>
      <c r="H58" s="123"/>
    </row>
    <row r="59" spans="1:8" ht="15" customHeight="1" x14ac:dyDescent="0.25">
      <c r="A59" s="130"/>
      <c r="B59" s="131">
        <f>DATE(2020,9,1)</f>
        <v>44075</v>
      </c>
      <c r="C59" s="204">
        <v>14427547.390000001</v>
      </c>
      <c r="D59" s="204">
        <v>3482637.89</v>
      </c>
      <c r="E59" s="204">
        <v>3201600.5</v>
      </c>
      <c r="F59" s="132">
        <f t="shared" si="8"/>
        <v>8.7780280519071677E-2</v>
      </c>
      <c r="G59" s="215">
        <f t="shared" si="9"/>
        <v>0.24138807489995706</v>
      </c>
      <c r="H59" s="123"/>
    </row>
    <row r="60" spans="1:8" ht="15" customHeight="1" x14ac:dyDescent="0.25">
      <c r="A60" s="130"/>
      <c r="B60" s="131">
        <f>DATE(2020,10,1)</f>
        <v>44105</v>
      </c>
      <c r="C60" s="204">
        <v>13869107</v>
      </c>
      <c r="D60" s="204">
        <v>3513244</v>
      </c>
      <c r="E60" s="204">
        <v>3223817</v>
      </c>
      <c r="F60" s="132">
        <f t="shared" si="8"/>
        <v>8.9777738624742032E-2</v>
      </c>
      <c r="G60" s="215">
        <f t="shared" si="9"/>
        <v>0.25331436263344137</v>
      </c>
      <c r="H60" s="123"/>
    </row>
    <row r="61" spans="1:8" ht="15" customHeight="1" x14ac:dyDescent="0.25">
      <c r="A61" s="130"/>
      <c r="B61" s="131">
        <f>DATE(2020,11,1)</f>
        <v>44136</v>
      </c>
      <c r="C61" s="204">
        <v>12007892</v>
      </c>
      <c r="D61" s="204">
        <v>2437183.5</v>
      </c>
      <c r="E61" s="204">
        <v>2721670</v>
      </c>
      <c r="F61" s="132">
        <f t="shared" si="8"/>
        <v>-0.1045264488347228</v>
      </c>
      <c r="G61" s="215">
        <f t="shared" si="9"/>
        <v>0.20296514159187973</v>
      </c>
      <c r="H61" s="123"/>
    </row>
    <row r="62" spans="1:8" ht="15" customHeight="1" x14ac:dyDescent="0.25">
      <c r="A62" s="130"/>
      <c r="B62" s="131">
        <f>DATE(2020,12,1)</f>
        <v>44166</v>
      </c>
      <c r="C62" s="204">
        <v>12703424</v>
      </c>
      <c r="D62" s="204">
        <v>2589172</v>
      </c>
      <c r="E62" s="204">
        <v>2841867</v>
      </c>
      <c r="F62" s="132">
        <f t="shared" si="8"/>
        <v>-8.8918658051203664E-2</v>
      </c>
      <c r="G62" s="215">
        <f t="shared" si="9"/>
        <v>0.20381686071408781</v>
      </c>
      <c r="H62" s="123"/>
    </row>
    <row r="63" spans="1:8" ht="15" customHeight="1" x14ac:dyDescent="0.25">
      <c r="A63" s="130"/>
      <c r="B63" s="131">
        <f>DATE(2021,1,1)</f>
        <v>44197</v>
      </c>
      <c r="C63" s="204">
        <v>14127995</v>
      </c>
      <c r="D63" s="204">
        <v>3152748</v>
      </c>
      <c r="E63" s="204">
        <v>3701292</v>
      </c>
      <c r="F63" s="132">
        <f t="shared" si="8"/>
        <v>-0.14820338411560072</v>
      </c>
      <c r="G63" s="215">
        <f t="shared" si="9"/>
        <v>0.22315608124153499</v>
      </c>
      <c r="H63" s="123"/>
    </row>
    <row r="64" spans="1:8" ht="15" customHeight="1" x14ac:dyDescent="0.25">
      <c r="A64" s="130"/>
      <c r="B64" s="131">
        <f>DATE(2021,2,1)</f>
        <v>44228</v>
      </c>
      <c r="C64" s="204">
        <v>12206917</v>
      </c>
      <c r="D64" s="204">
        <v>2941714</v>
      </c>
      <c r="E64" s="204">
        <v>3050097</v>
      </c>
      <c r="F64" s="132">
        <f t="shared" si="8"/>
        <v>-3.5534279729464345E-2</v>
      </c>
      <c r="G64" s="215">
        <f t="shared" si="9"/>
        <v>0.24098746636845322</v>
      </c>
      <c r="H64" s="123"/>
    </row>
    <row r="65" spans="1:8" ht="15" customHeight="1" x14ac:dyDescent="0.25">
      <c r="A65" s="130"/>
      <c r="B65" s="131">
        <f>DATE(2021,3,1)</f>
        <v>44256</v>
      </c>
      <c r="C65" s="204">
        <v>14784880.5</v>
      </c>
      <c r="D65" s="204">
        <v>3606590.5</v>
      </c>
      <c r="E65" s="204">
        <v>1085587.5</v>
      </c>
      <c r="F65" s="132">
        <f t="shared" si="8"/>
        <v>2.3222476308911073</v>
      </c>
      <c r="G65" s="215">
        <f t="shared" si="9"/>
        <v>0.24393775113704841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7">
        <f>SUM(C57:C66)</f>
        <v>121438169.89</v>
      </c>
      <c r="D67" s="261">
        <f>SUM(D57:D66)</f>
        <v>27222927.390000001</v>
      </c>
      <c r="E67" s="206">
        <f>SUM(E57:E66)</f>
        <v>25850949</v>
      </c>
      <c r="F67" s="268">
        <f>(+D67-E67)/E67</f>
        <v>5.3072650833824342E-2</v>
      </c>
      <c r="G67" s="267">
        <f>D67/C67</f>
        <v>0.22417109393742363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68</v>
      </c>
      <c r="B69" s="131">
        <f>DATE(2020,7,1)</f>
        <v>44013</v>
      </c>
      <c r="C69" s="204">
        <v>2263375</v>
      </c>
      <c r="D69" s="204">
        <v>572750</v>
      </c>
      <c r="E69" s="204">
        <v>550912.5</v>
      </c>
      <c r="F69" s="132">
        <f t="shared" ref="F69:F77" si="10">(+D69-E69)/E69</f>
        <v>3.9638781113153179E-2</v>
      </c>
      <c r="G69" s="215">
        <f t="shared" ref="G69:G77" si="11">D69/C69</f>
        <v>0.25305130612470317</v>
      </c>
      <c r="H69" s="123"/>
    </row>
    <row r="70" spans="1:8" ht="15.75" x14ac:dyDescent="0.25">
      <c r="A70" s="130"/>
      <c r="B70" s="131">
        <f>DATE(2020,8,1)</f>
        <v>44044</v>
      </c>
      <c r="C70" s="204">
        <v>2272442</v>
      </c>
      <c r="D70" s="204">
        <v>629353.5</v>
      </c>
      <c r="E70" s="204">
        <v>544892.5</v>
      </c>
      <c r="F70" s="132">
        <f t="shared" si="10"/>
        <v>0.15500488628490941</v>
      </c>
      <c r="G70" s="215">
        <f t="shared" si="11"/>
        <v>0.27695030280200772</v>
      </c>
      <c r="H70" s="123"/>
    </row>
    <row r="71" spans="1:8" ht="15.75" x14ac:dyDescent="0.25">
      <c r="A71" s="130"/>
      <c r="B71" s="131">
        <f>DATE(2020,9,1)</f>
        <v>44075</v>
      </c>
      <c r="C71" s="204">
        <v>1993931</v>
      </c>
      <c r="D71" s="204">
        <v>564621.5</v>
      </c>
      <c r="E71" s="204">
        <v>648210.4</v>
      </c>
      <c r="F71" s="132">
        <f t="shared" si="10"/>
        <v>-0.12895334601234418</v>
      </c>
      <c r="G71" s="215">
        <f t="shared" si="11"/>
        <v>0.2831700294543793</v>
      </c>
      <c r="H71" s="123"/>
    </row>
    <row r="72" spans="1:8" ht="15.75" x14ac:dyDescent="0.25">
      <c r="A72" s="130"/>
      <c r="B72" s="131">
        <f>DATE(2020,10,1)</f>
        <v>44105</v>
      </c>
      <c r="C72" s="204">
        <v>1898010</v>
      </c>
      <c r="D72" s="204">
        <v>553335.5</v>
      </c>
      <c r="E72" s="204">
        <v>633881.5</v>
      </c>
      <c r="F72" s="132">
        <f t="shared" si="10"/>
        <v>-0.12706791411328458</v>
      </c>
      <c r="G72" s="215">
        <f t="shared" si="11"/>
        <v>0.29153455461246253</v>
      </c>
      <c r="H72" s="123"/>
    </row>
    <row r="73" spans="1:8" ht="15.75" x14ac:dyDescent="0.25">
      <c r="A73" s="130"/>
      <c r="B73" s="131">
        <f>DATE(2020,11,1)</f>
        <v>44136</v>
      </c>
      <c r="C73" s="204">
        <v>2213531</v>
      </c>
      <c r="D73" s="204">
        <v>402553.5</v>
      </c>
      <c r="E73" s="204">
        <v>745956</v>
      </c>
      <c r="F73" s="132">
        <f t="shared" si="10"/>
        <v>-0.46035221916574171</v>
      </c>
      <c r="G73" s="215">
        <f t="shared" si="11"/>
        <v>0.18186033988229666</v>
      </c>
      <c r="H73" s="123"/>
    </row>
    <row r="74" spans="1:8" ht="15.75" x14ac:dyDescent="0.25">
      <c r="A74" s="130"/>
      <c r="B74" s="131">
        <f>DATE(2020,12,1)</f>
        <v>44166</v>
      </c>
      <c r="C74" s="204">
        <v>2627071</v>
      </c>
      <c r="D74" s="204">
        <v>614666.5</v>
      </c>
      <c r="E74" s="204">
        <v>825802.5</v>
      </c>
      <c r="F74" s="132">
        <f t="shared" si="10"/>
        <v>-0.25567372343871569</v>
      </c>
      <c r="G74" s="215">
        <f t="shared" si="11"/>
        <v>0.23397407226527187</v>
      </c>
      <c r="H74" s="123"/>
    </row>
    <row r="75" spans="1:8" ht="15.75" x14ac:dyDescent="0.25">
      <c r="A75" s="130"/>
      <c r="B75" s="131">
        <f>DATE(2021,1,1)</f>
        <v>44197</v>
      </c>
      <c r="C75" s="204">
        <v>2512116</v>
      </c>
      <c r="D75" s="204">
        <v>697073</v>
      </c>
      <c r="E75" s="204">
        <v>839366</v>
      </c>
      <c r="F75" s="132">
        <f t="shared" si="10"/>
        <v>-0.16952437911471277</v>
      </c>
      <c r="G75" s="215">
        <f t="shared" si="11"/>
        <v>0.27748439960575066</v>
      </c>
      <c r="H75" s="123"/>
    </row>
    <row r="76" spans="1:8" ht="15.75" x14ac:dyDescent="0.25">
      <c r="A76" s="130"/>
      <c r="B76" s="131">
        <f>DATE(2021,2,1)</f>
        <v>44228</v>
      </c>
      <c r="C76" s="204">
        <v>2097105</v>
      </c>
      <c r="D76" s="204">
        <v>596898</v>
      </c>
      <c r="E76" s="204">
        <v>859354</v>
      </c>
      <c r="F76" s="132">
        <f t="shared" si="10"/>
        <v>-0.30541080858412251</v>
      </c>
      <c r="G76" s="215">
        <f t="shared" si="11"/>
        <v>0.28462952498801919</v>
      </c>
      <c r="H76" s="123"/>
    </row>
    <row r="77" spans="1:8" ht="15.75" x14ac:dyDescent="0.25">
      <c r="A77" s="130"/>
      <c r="B77" s="131">
        <f>DATE(2021,3,1)</f>
        <v>44256</v>
      </c>
      <c r="C77" s="204">
        <v>2672167</v>
      </c>
      <c r="D77" s="204">
        <v>649953.5</v>
      </c>
      <c r="E77" s="204">
        <v>352677.5</v>
      </c>
      <c r="F77" s="132">
        <f t="shared" si="10"/>
        <v>0.84291172530144398</v>
      </c>
      <c r="G77" s="215">
        <f t="shared" si="11"/>
        <v>0.24323086843000455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7">
        <f>SUM(C69:C78)</f>
        <v>20549748</v>
      </c>
      <c r="D79" s="261">
        <f>SUM(D69:D78)</f>
        <v>5281205</v>
      </c>
      <c r="E79" s="207">
        <f>SUM(E69:E78)</f>
        <v>6001052.9000000004</v>
      </c>
      <c r="F79" s="268">
        <f>(+D79-E79)/E79</f>
        <v>-0.11995360014240174</v>
      </c>
      <c r="G79" s="267">
        <f>D79/C79</f>
        <v>0.25699609552389646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66</v>
      </c>
      <c r="B81" s="131">
        <f>DATE(2020,7,1)</f>
        <v>44013</v>
      </c>
      <c r="C81" s="204">
        <v>1014737</v>
      </c>
      <c r="D81" s="204">
        <v>248731.5</v>
      </c>
      <c r="E81" s="204">
        <v>255421</v>
      </c>
      <c r="F81" s="132">
        <f t="shared" ref="F81:F89" si="12">(+D81-E81)/E81</f>
        <v>-2.6190094001667833E-2</v>
      </c>
      <c r="G81" s="215">
        <f t="shared" ref="G81:G89" si="13">D81/C81</f>
        <v>0.24511917866402821</v>
      </c>
      <c r="H81" s="123"/>
    </row>
    <row r="82" spans="1:8" ht="15.75" x14ac:dyDescent="0.25">
      <c r="A82" s="130"/>
      <c r="B82" s="131">
        <f>DATE(2020,8,1)</f>
        <v>44044</v>
      </c>
      <c r="C82" s="204">
        <v>1314485</v>
      </c>
      <c r="D82" s="204">
        <v>268487</v>
      </c>
      <c r="E82" s="204">
        <v>366605.5</v>
      </c>
      <c r="F82" s="132">
        <f t="shared" si="12"/>
        <v>-0.26764055640190887</v>
      </c>
      <c r="G82" s="215">
        <f t="shared" si="13"/>
        <v>0.20425261604354558</v>
      </c>
      <c r="H82" s="123"/>
    </row>
    <row r="83" spans="1:8" ht="15.75" x14ac:dyDescent="0.25">
      <c r="A83" s="130"/>
      <c r="B83" s="131">
        <f>DATE(2020,9,1)</f>
        <v>44075</v>
      </c>
      <c r="C83" s="204">
        <v>1245407</v>
      </c>
      <c r="D83" s="204">
        <v>277957.5</v>
      </c>
      <c r="E83" s="204">
        <v>323382</v>
      </c>
      <c r="F83" s="132">
        <f t="shared" si="12"/>
        <v>-0.14046700187394476</v>
      </c>
      <c r="G83" s="215">
        <f t="shared" si="13"/>
        <v>0.22318607491366277</v>
      </c>
      <c r="H83" s="123"/>
    </row>
    <row r="84" spans="1:8" ht="15.75" x14ac:dyDescent="0.25">
      <c r="A84" s="130"/>
      <c r="B84" s="131">
        <f>DATE(2020,10,1)</f>
        <v>44105</v>
      </c>
      <c r="C84" s="204">
        <v>1388391</v>
      </c>
      <c r="D84" s="204">
        <v>306011.5</v>
      </c>
      <c r="E84" s="204">
        <v>301934</v>
      </c>
      <c r="F84" s="132">
        <f t="shared" si="12"/>
        <v>1.3504606967085522E-2</v>
      </c>
      <c r="G84" s="215">
        <f t="shared" si="13"/>
        <v>0.22040729160589489</v>
      </c>
      <c r="H84" s="123"/>
    </row>
    <row r="85" spans="1:8" ht="15.75" x14ac:dyDescent="0.25">
      <c r="A85" s="130"/>
      <c r="B85" s="131">
        <f>DATE(2020,11,1)</f>
        <v>44136</v>
      </c>
      <c r="C85" s="204">
        <v>1080444</v>
      </c>
      <c r="D85" s="204">
        <v>264033.5</v>
      </c>
      <c r="E85" s="204">
        <v>378106</v>
      </c>
      <c r="F85" s="132">
        <f t="shared" si="12"/>
        <v>-0.30169449836818246</v>
      </c>
      <c r="G85" s="215">
        <f t="shared" si="13"/>
        <v>0.24437499768613644</v>
      </c>
      <c r="H85" s="123"/>
    </row>
    <row r="86" spans="1:8" ht="15.75" x14ac:dyDescent="0.25">
      <c r="A86" s="130"/>
      <c r="B86" s="131">
        <f>DATE(2020,12,1)</f>
        <v>44166</v>
      </c>
      <c r="C86" s="204">
        <v>1251103</v>
      </c>
      <c r="D86" s="204">
        <v>310571</v>
      </c>
      <c r="E86" s="204">
        <v>350445.5</v>
      </c>
      <c r="F86" s="132">
        <f t="shared" si="12"/>
        <v>-0.11378231422574979</v>
      </c>
      <c r="G86" s="215">
        <f t="shared" si="13"/>
        <v>0.2482377550049836</v>
      </c>
      <c r="H86" s="123"/>
    </row>
    <row r="87" spans="1:8" ht="15.75" x14ac:dyDescent="0.25">
      <c r="A87" s="130"/>
      <c r="B87" s="131">
        <f>DATE(2021,1,1)</f>
        <v>44197</v>
      </c>
      <c r="C87" s="204">
        <v>3199214</v>
      </c>
      <c r="D87" s="204">
        <v>371981</v>
      </c>
      <c r="E87" s="204">
        <v>284016.5</v>
      </c>
      <c r="F87" s="132">
        <f t="shared" si="12"/>
        <v>0.30971616085685161</v>
      </c>
      <c r="G87" s="215">
        <f t="shared" si="13"/>
        <v>0.11627262196276961</v>
      </c>
      <c r="H87" s="123"/>
    </row>
    <row r="88" spans="1:8" ht="15.75" x14ac:dyDescent="0.25">
      <c r="A88" s="130"/>
      <c r="B88" s="131">
        <f>DATE(2021,2,1)</f>
        <v>44228</v>
      </c>
      <c r="C88" s="204">
        <v>4050366</v>
      </c>
      <c r="D88" s="204">
        <v>412016.5</v>
      </c>
      <c r="E88" s="204">
        <v>306224.5</v>
      </c>
      <c r="F88" s="132">
        <f t="shared" si="12"/>
        <v>0.34547203114055214</v>
      </c>
      <c r="G88" s="215">
        <f t="shared" si="13"/>
        <v>0.10172327636564202</v>
      </c>
      <c r="H88" s="123"/>
    </row>
    <row r="89" spans="1:8" ht="15.75" x14ac:dyDescent="0.25">
      <c r="A89" s="130"/>
      <c r="B89" s="131">
        <f>DATE(2021,3,1)</f>
        <v>44256</v>
      </c>
      <c r="C89" s="204">
        <v>4644484</v>
      </c>
      <c r="D89" s="204">
        <v>636027.5</v>
      </c>
      <c r="E89" s="204">
        <v>205020.5</v>
      </c>
      <c r="F89" s="132">
        <f t="shared" si="12"/>
        <v>2.1022629444372636</v>
      </c>
      <c r="G89" s="215">
        <f t="shared" si="13"/>
        <v>0.1369425537906902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SUM(C81:C90)</f>
        <v>19188631</v>
      </c>
      <c r="D91" s="261">
        <f>SUM(D81:D90)</f>
        <v>3095817</v>
      </c>
      <c r="E91" s="207">
        <f>SUM(E81:E90)</f>
        <v>2771155.5</v>
      </c>
      <c r="F91" s="269">
        <f>(+D91-E91)/E91</f>
        <v>0.11715744569368265</v>
      </c>
      <c r="G91" s="267">
        <f>D91/C91</f>
        <v>0.16133600151047775</v>
      </c>
      <c r="H91" s="123"/>
    </row>
    <row r="92" spans="1:8" ht="15.75" customHeight="1" thickTop="1" x14ac:dyDescent="0.25">
      <c r="A92" s="130"/>
      <c r="B92" s="139"/>
      <c r="C92" s="205"/>
      <c r="D92" s="205"/>
      <c r="E92" s="205"/>
      <c r="F92" s="140"/>
      <c r="G92" s="216"/>
      <c r="H92" s="123"/>
    </row>
    <row r="93" spans="1:8" ht="15.75" x14ac:dyDescent="0.25">
      <c r="A93" s="130" t="s">
        <v>52</v>
      </c>
      <c r="B93" s="131">
        <f>DATE(2020,7,1)</f>
        <v>44013</v>
      </c>
      <c r="C93" s="204">
        <v>3151915</v>
      </c>
      <c r="D93" s="204">
        <v>671384</v>
      </c>
      <c r="E93" s="204">
        <v>1702644.86</v>
      </c>
      <c r="F93" s="132">
        <f t="shared" ref="F93:F101" si="14">(+D93-E93)/E93</f>
        <v>-0.60568171568086138</v>
      </c>
      <c r="G93" s="215">
        <f t="shared" ref="G93:G101" si="15">D93/C93</f>
        <v>0.21300828226649512</v>
      </c>
      <c r="H93" s="123"/>
    </row>
    <row r="94" spans="1:8" ht="15.75" x14ac:dyDescent="0.25">
      <c r="A94" s="130"/>
      <c r="B94" s="131">
        <f>DATE(2020,8,1)</f>
        <v>44044</v>
      </c>
      <c r="C94" s="204">
        <v>3093947</v>
      </c>
      <c r="D94" s="204">
        <v>647438.06000000006</v>
      </c>
      <c r="E94" s="204">
        <v>2308275.88</v>
      </c>
      <c r="F94" s="132">
        <f t="shared" si="14"/>
        <v>-0.71951443689651162</v>
      </c>
      <c r="G94" s="215">
        <f t="shared" si="15"/>
        <v>0.2092595833089578</v>
      </c>
      <c r="H94" s="123"/>
    </row>
    <row r="95" spans="1:8" ht="15.75" x14ac:dyDescent="0.25">
      <c r="A95" s="130"/>
      <c r="B95" s="131">
        <f>DATE(2020,9,1)</f>
        <v>44075</v>
      </c>
      <c r="C95" s="204">
        <v>3761958</v>
      </c>
      <c r="D95" s="204">
        <v>476389</v>
      </c>
      <c r="E95" s="204">
        <v>1996051.56</v>
      </c>
      <c r="F95" s="132">
        <f t="shared" si="14"/>
        <v>-0.76133432144408131</v>
      </c>
      <c r="G95" s="215">
        <f t="shared" si="15"/>
        <v>0.12663325853186028</v>
      </c>
      <c r="H95" s="123"/>
    </row>
    <row r="96" spans="1:8" ht="15.75" x14ac:dyDescent="0.25">
      <c r="A96" s="130"/>
      <c r="B96" s="131">
        <f>DATE(2020,10,1)</f>
        <v>44105</v>
      </c>
      <c r="C96" s="204">
        <v>3789812</v>
      </c>
      <c r="D96" s="204">
        <v>822284.63</v>
      </c>
      <c r="E96" s="204">
        <v>2026195.69</v>
      </c>
      <c r="F96" s="132">
        <f t="shared" si="14"/>
        <v>-0.59417314227926332</v>
      </c>
      <c r="G96" s="215">
        <f t="shared" si="15"/>
        <v>0.21697240654681552</v>
      </c>
      <c r="H96" s="123"/>
    </row>
    <row r="97" spans="1:8" ht="15.75" x14ac:dyDescent="0.25">
      <c r="A97" s="130"/>
      <c r="B97" s="131">
        <f>DATE(2020,11,1)</f>
        <v>44136</v>
      </c>
      <c r="C97" s="204">
        <v>3550127</v>
      </c>
      <c r="D97" s="204">
        <v>587592.5</v>
      </c>
      <c r="E97" s="204">
        <v>1903112.96</v>
      </c>
      <c r="F97" s="132">
        <f t="shared" si="14"/>
        <v>-0.69124665096075011</v>
      </c>
      <c r="G97" s="215">
        <f t="shared" si="15"/>
        <v>0.16551309291188737</v>
      </c>
      <c r="H97" s="123"/>
    </row>
    <row r="98" spans="1:8" ht="15.75" x14ac:dyDescent="0.25">
      <c r="A98" s="130"/>
      <c r="B98" s="131">
        <f>DATE(2020,12,1)</f>
        <v>44166</v>
      </c>
      <c r="C98" s="204">
        <v>4018731</v>
      </c>
      <c r="D98" s="204">
        <v>844069.86</v>
      </c>
      <c r="E98" s="204">
        <v>1980334.65</v>
      </c>
      <c r="F98" s="132">
        <f t="shared" si="14"/>
        <v>-0.57377412953916662</v>
      </c>
      <c r="G98" s="215">
        <f t="shared" si="15"/>
        <v>0.21003392862075118</v>
      </c>
      <c r="H98" s="123"/>
    </row>
    <row r="99" spans="1:8" ht="15.75" x14ac:dyDescent="0.25">
      <c r="A99" s="130"/>
      <c r="B99" s="131">
        <f>DATE(2021,1,1)</f>
        <v>44197</v>
      </c>
      <c r="C99" s="204">
        <v>5130615</v>
      </c>
      <c r="D99" s="204">
        <v>1044151.5</v>
      </c>
      <c r="E99" s="204">
        <v>2178926.1</v>
      </c>
      <c r="F99" s="132">
        <f t="shared" si="14"/>
        <v>-0.52079535877788607</v>
      </c>
      <c r="G99" s="215">
        <f t="shared" si="15"/>
        <v>0.20351390622761598</v>
      </c>
      <c r="H99" s="123"/>
    </row>
    <row r="100" spans="1:8" ht="15.75" x14ac:dyDescent="0.25">
      <c r="A100" s="130"/>
      <c r="B100" s="131">
        <f>DATE(2021,2,1)</f>
        <v>44228</v>
      </c>
      <c r="C100" s="204">
        <v>4856229</v>
      </c>
      <c r="D100" s="204">
        <v>1000996.5</v>
      </c>
      <c r="E100" s="204">
        <v>2379520.27</v>
      </c>
      <c r="F100" s="132">
        <f t="shared" si="14"/>
        <v>-0.57932844169467823</v>
      </c>
      <c r="G100" s="215">
        <f t="shared" si="15"/>
        <v>0.20612629676236438</v>
      </c>
      <c r="H100" s="123"/>
    </row>
    <row r="101" spans="1:8" ht="15.75" x14ac:dyDescent="0.25">
      <c r="A101" s="130"/>
      <c r="B101" s="131">
        <f>DATE(2021,3,1)</f>
        <v>44256</v>
      </c>
      <c r="C101" s="204">
        <v>6023562</v>
      </c>
      <c r="D101" s="204">
        <v>1370156.18</v>
      </c>
      <c r="E101" s="204">
        <v>1002834.07</v>
      </c>
      <c r="F101" s="132">
        <f t="shared" si="14"/>
        <v>0.36628403540378318</v>
      </c>
      <c r="G101" s="215">
        <f t="shared" si="15"/>
        <v>0.22746610394314859</v>
      </c>
      <c r="H101" s="123"/>
    </row>
    <row r="102" spans="1:8" ht="15.75" customHeight="1" thickBot="1" x14ac:dyDescent="0.3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SUM(C93:C102)</f>
        <v>37376896</v>
      </c>
      <c r="D103" s="206">
        <f>SUM(D93:D102)</f>
        <v>7464462.2299999995</v>
      </c>
      <c r="E103" s="206">
        <f>SUM(E93:E102)</f>
        <v>17477896.039999999</v>
      </c>
      <c r="F103" s="143">
        <f>(+D103-E103)/E103</f>
        <v>-0.57291986329951872</v>
      </c>
      <c r="G103" s="217">
        <f>D103/C103</f>
        <v>0.19970792197404513</v>
      </c>
      <c r="H103" s="123"/>
    </row>
    <row r="104" spans="1:8" ht="15.75" customHeight="1" thickTop="1" x14ac:dyDescent="0.25">
      <c r="A104" s="138"/>
      <c r="B104" s="139"/>
      <c r="C104" s="205"/>
      <c r="D104" s="205"/>
      <c r="E104" s="205"/>
      <c r="F104" s="140"/>
      <c r="G104" s="216"/>
      <c r="H104" s="123"/>
    </row>
    <row r="105" spans="1:8" ht="15.75" x14ac:dyDescent="0.25">
      <c r="A105" s="130" t="s">
        <v>16</v>
      </c>
      <c r="B105" s="131">
        <f>DATE(2020,7,1)</f>
        <v>44013</v>
      </c>
      <c r="C105" s="204">
        <v>8611169</v>
      </c>
      <c r="D105" s="204">
        <v>1702806.5</v>
      </c>
      <c r="E105" s="204">
        <v>2126431.5</v>
      </c>
      <c r="F105" s="132">
        <f t="shared" ref="F105:F113" si="16">(+D105-E105)/E105</f>
        <v>-0.19921873805951426</v>
      </c>
      <c r="G105" s="215">
        <f t="shared" ref="G105:G113" si="17">D105/C105</f>
        <v>0.19774394161814732</v>
      </c>
      <c r="H105" s="123"/>
    </row>
    <row r="106" spans="1:8" ht="15.75" x14ac:dyDescent="0.25">
      <c r="A106" s="130"/>
      <c r="B106" s="131">
        <f>DATE(2020,8,1)</f>
        <v>44044</v>
      </c>
      <c r="C106" s="204">
        <v>7982010</v>
      </c>
      <c r="D106" s="204">
        <v>1570570.5</v>
      </c>
      <c r="E106" s="204">
        <v>2726871</v>
      </c>
      <c r="F106" s="132">
        <f t="shared" si="16"/>
        <v>-0.4240393109905089</v>
      </c>
      <c r="G106" s="215">
        <f t="shared" si="17"/>
        <v>0.1967637850616574</v>
      </c>
      <c r="H106" s="123"/>
    </row>
    <row r="107" spans="1:8" ht="15.75" x14ac:dyDescent="0.25">
      <c r="A107" s="130"/>
      <c r="B107" s="131">
        <f>DATE(2020,9,1)</f>
        <v>44075</v>
      </c>
      <c r="C107" s="204">
        <v>8162396</v>
      </c>
      <c r="D107" s="204">
        <v>1447626.5</v>
      </c>
      <c r="E107" s="204">
        <v>2679876</v>
      </c>
      <c r="F107" s="132">
        <f t="shared" si="16"/>
        <v>-0.45981586461463142</v>
      </c>
      <c r="G107" s="215">
        <f t="shared" si="17"/>
        <v>0.17735313258508897</v>
      </c>
      <c r="H107" s="123"/>
    </row>
    <row r="108" spans="1:8" ht="15.75" x14ac:dyDescent="0.25">
      <c r="A108" s="130"/>
      <c r="B108" s="131">
        <f>DATE(2020,10,1)</f>
        <v>44105</v>
      </c>
      <c r="C108" s="204">
        <v>8619144</v>
      </c>
      <c r="D108" s="204">
        <v>1659455</v>
      </c>
      <c r="E108" s="204">
        <v>3088329</v>
      </c>
      <c r="F108" s="132">
        <f t="shared" si="16"/>
        <v>-0.46266897082532332</v>
      </c>
      <c r="G108" s="215">
        <f t="shared" si="17"/>
        <v>0.1925313000919813</v>
      </c>
      <c r="H108" s="123"/>
    </row>
    <row r="109" spans="1:8" ht="15.75" x14ac:dyDescent="0.25">
      <c r="A109" s="130"/>
      <c r="B109" s="131">
        <f>DATE(2020,11,1)</f>
        <v>44136</v>
      </c>
      <c r="C109" s="204">
        <v>8144246</v>
      </c>
      <c r="D109" s="204">
        <v>1564224</v>
      </c>
      <c r="E109" s="204">
        <v>2810591.5</v>
      </c>
      <c r="F109" s="132">
        <f t="shared" si="16"/>
        <v>-0.44345380678764595</v>
      </c>
      <c r="G109" s="215">
        <f t="shared" si="17"/>
        <v>0.19206492534729427</v>
      </c>
      <c r="H109" s="123"/>
    </row>
    <row r="110" spans="1:8" ht="15.75" x14ac:dyDescent="0.25">
      <c r="A110" s="130"/>
      <c r="B110" s="131">
        <f>DATE(2020,12,1)</f>
        <v>44166</v>
      </c>
      <c r="C110" s="204">
        <v>8593856</v>
      </c>
      <c r="D110" s="204">
        <v>1930831.5</v>
      </c>
      <c r="E110" s="204">
        <v>1704640.5</v>
      </c>
      <c r="F110" s="132">
        <f t="shared" si="16"/>
        <v>0.13269132113193369</v>
      </c>
      <c r="G110" s="215">
        <f t="shared" si="17"/>
        <v>0.22467580327154654</v>
      </c>
      <c r="H110" s="123"/>
    </row>
    <row r="111" spans="1:8" ht="15.75" x14ac:dyDescent="0.25">
      <c r="A111" s="130"/>
      <c r="B111" s="131">
        <f>DATE(2021,1,1)</f>
        <v>44197</v>
      </c>
      <c r="C111" s="204">
        <v>9211199</v>
      </c>
      <c r="D111" s="204">
        <v>2028934.5</v>
      </c>
      <c r="E111" s="204">
        <v>2631202</v>
      </c>
      <c r="F111" s="132">
        <f t="shared" si="16"/>
        <v>-0.22889443683913283</v>
      </c>
      <c r="G111" s="215">
        <f t="shared" si="17"/>
        <v>0.22026823001001281</v>
      </c>
      <c r="H111" s="123"/>
    </row>
    <row r="112" spans="1:8" ht="15.75" x14ac:dyDescent="0.25">
      <c r="A112" s="130"/>
      <c r="B112" s="131">
        <f>DATE(2021,2,1)</f>
        <v>44228</v>
      </c>
      <c r="C112" s="204">
        <v>7248677</v>
      </c>
      <c r="D112" s="204">
        <v>1539079.5</v>
      </c>
      <c r="E112" s="204">
        <v>2680732</v>
      </c>
      <c r="F112" s="132">
        <f t="shared" si="16"/>
        <v>-0.42587341815593649</v>
      </c>
      <c r="G112" s="215">
        <f t="shared" si="17"/>
        <v>0.21232557334255617</v>
      </c>
      <c r="H112" s="123"/>
    </row>
    <row r="113" spans="1:8" ht="15.75" x14ac:dyDescent="0.25">
      <c r="A113" s="130"/>
      <c r="B113" s="131">
        <f>DATE(2021,3,1)</f>
        <v>44256</v>
      </c>
      <c r="C113" s="204">
        <v>9278927</v>
      </c>
      <c r="D113" s="204">
        <v>1938358.5</v>
      </c>
      <c r="E113" s="204">
        <v>1364411.5</v>
      </c>
      <c r="F113" s="132">
        <f t="shared" si="16"/>
        <v>0.4206553521426637</v>
      </c>
      <c r="G113" s="215">
        <f t="shared" si="17"/>
        <v>0.20889899230805459</v>
      </c>
      <c r="H113" s="123"/>
    </row>
    <row r="114" spans="1:8" ht="15.75" customHeight="1" thickBot="1" x14ac:dyDescent="0.3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SUM(C105:C114)</f>
        <v>75851624</v>
      </c>
      <c r="D115" s="206">
        <f>SUM(D105:D114)</f>
        <v>15381886.5</v>
      </c>
      <c r="E115" s="206">
        <f>SUM(E105:E114)</f>
        <v>21813085</v>
      </c>
      <c r="F115" s="143">
        <f>(+D115-E115)/E115</f>
        <v>-0.2948321385993774</v>
      </c>
      <c r="G115" s="217">
        <f>D115/C115</f>
        <v>0.20278915188421015</v>
      </c>
      <c r="H115" s="123"/>
    </row>
    <row r="116" spans="1:8" ht="15.75" customHeight="1" thickTop="1" x14ac:dyDescent="0.25">
      <c r="A116" s="138"/>
      <c r="B116" s="139"/>
      <c r="C116" s="205"/>
      <c r="D116" s="205"/>
      <c r="E116" s="205"/>
      <c r="F116" s="140"/>
      <c r="G116" s="216"/>
      <c r="H116" s="123"/>
    </row>
    <row r="117" spans="1:8" ht="15.75" x14ac:dyDescent="0.25">
      <c r="A117" s="130" t="s">
        <v>54</v>
      </c>
      <c r="B117" s="131">
        <f>DATE(2020,7,1)</f>
        <v>44013</v>
      </c>
      <c r="C117" s="204">
        <v>10453635</v>
      </c>
      <c r="D117" s="204">
        <v>1923906.33</v>
      </c>
      <c r="E117" s="204">
        <v>1977732.9</v>
      </c>
      <c r="F117" s="132">
        <f t="shared" ref="F117:F125" si="18">(+D117-E117)/E117</f>
        <v>-2.7216299026021074E-2</v>
      </c>
      <c r="G117" s="215">
        <f t="shared" ref="G117:G125" si="19">D117/C117</f>
        <v>0.18404185051419913</v>
      </c>
      <c r="H117" s="123"/>
    </row>
    <row r="118" spans="1:8" ht="15.75" x14ac:dyDescent="0.25">
      <c r="A118" s="130"/>
      <c r="B118" s="131">
        <f>DATE(2020,8,1)</f>
        <v>44044</v>
      </c>
      <c r="C118" s="204">
        <v>12051254</v>
      </c>
      <c r="D118" s="204">
        <v>2698345.86</v>
      </c>
      <c r="E118" s="204">
        <v>2646777.5</v>
      </c>
      <c r="F118" s="132">
        <f t="shared" si="18"/>
        <v>1.9483451102330993E-2</v>
      </c>
      <c r="G118" s="215">
        <f t="shared" si="19"/>
        <v>0.22390581594247369</v>
      </c>
      <c r="H118" s="123"/>
    </row>
    <row r="119" spans="1:8" ht="15.75" x14ac:dyDescent="0.25">
      <c r="A119" s="130"/>
      <c r="B119" s="131">
        <f>DATE(2020,9,1)</f>
        <v>44075</v>
      </c>
      <c r="C119" s="204">
        <v>11460638</v>
      </c>
      <c r="D119" s="204">
        <v>2773332.44</v>
      </c>
      <c r="E119" s="204">
        <v>2514781.23</v>
      </c>
      <c r="F119" s="132">
        <f t="shared" si="18"/>
        <v>0.10281260529370181</v>
      </c>
      <c r="G119" s="215">
        <f t="shared" si="19"/>
        <v>0.24198761360405938</v>
      </c>
      <c r="H119" s="123"/>
    </row>
    <row r="120" spans="1:8" ht="15.75" x14ac:dyDescent="0.25">
      <c r="A120" s="130"/>
      <c r="B120" s="131">
        <f>DATE(2020,10,1)</f>
        <v>44105</v>
      </c>
      <c r="C120" s="204">
        <v>11609263</v>
      </c>
      <c r="D120" s="204">
        <v>2099358.0099999998</v>
      </c>
      <c r="E120" s="204">
        <v>2541006.48</v>
      </c>
      <c r="F120" s="132">
        <f t="shared" si="18"/>
        <v>-0.17380847844197556</v>
      </c>
      <c r="G120" s="215">
        <f t="shared" si="19"/>
        <v>0.18083473602071035</v>
      </c>
      <c r="H120" s="123"/>
    </row>
    <row r="121" spans="1:8" ht="15.75" x14ac:dyDescent="0.25">
      <c r="A121" s="130"/>
      <c r="B121" s="131">
        <f>DATE(2020,11,1)</f>
        <v>44136</v>
      </c>
      <c r="C121" s="204">
        <v>11563380</v>
      </c>
      <c r="D121" s="204">
        <v>2138602.36</v>
      </c>
      <c r="E121" s="204">
        <v>2692124.24</v>
      </c>
      <c r="F121" s="132">
        <f t="shared" si="18"/>
        <v>-0.20560785114434404</v>
      </c>
      <c r="G121" s="215">
        <f t="shared" si="19"/>
        <v>0.18494612820818826</v>
      </c>
      <c r="H121" s="123"/>
    </row>
    <row r="122" spans="1:8" ht="15.75" x14ac:dyDescent="0.25">
      <c r="A122" s="130"/>
      <c r="B122" s="131">
        <f>DATE(2020,12,1)</f>
        <v>44166</v>
      </c>
      <c r="C122" s="204">
        <v>10891043</v>
      </c>
      <c r="D122" s="204">
        <v>1971253.86</v>
      </c>
      <c r="E122" s="204">
        <v>2968383.02</v>
      </c>
      <c r="F122" s="132">
        <f t="shared" si="18"/>
        <v>-0.3359166095755392</v>
      </c>
      <c r="G122" s="215">
        <f t="shared" si="19"/>
        <v>0.18099771160576633</v>
      </c>
      <c r="H122" s="123"/>
    </row>
    <row r="123" spans="1:8" ht="15.75" x14ac:dyDescent="0.25">
      <c r="A123" s="130"/>
      <c r="B123" s="131">
        <f>DATE(2021,1,1)</f>
        <v>44197</v>
      </c>
      <c r="C123" s="204">
        <v>10786485</v>
      </c>
      <c r="D123" s="204">
        <v>2332941.5</v>
      </c>
      <c r="E123" s="204">
        <v>2911355</v>
      </c>
      <c r="F123" s="132">
        <f t="shared" si="18"/>
        <v>-0.19867501558552633</v>
      </c>
      <c r="G123" s="215">
        <f t="shared" si="19"/>
        <v>0.21628375694213639</v>
      </c>
      <c r="H123" s="123"/>
    </row>
    <row r="124" spans="1:8" ht="15.75" x14ac:dyDescent="0.25">
      <c r="A124" s="130"/>
      <c r="B124" s="131">
        <f>DATE(2021,2,1)</f>
        <v>44228</v>
      </c>
      <c r="C124" s="204">
        <v>8825700</v>
      </c>
      <c r="D124" s="204">
        <v>2002620.27</v>
      </c>
      <c r="E124" s="204">
        <v>2209831.5099999998</v>
      </c>
      <c r="F124" s="132">
        <f t="shared" si="18"/>
        <v>-9.3767890928480688E-2</v>
      </c>
      <c r="G124" s="215">
        <f t="shared" si="19"/>
        <v>0.22690781127842552</v>
      </c>
      <c r="H124" s="123"/>
    </row>
    <row r="125" spans="1:8" ht="15.75" x14ac:dyDescent="0.25">
      <c r="A125" s="130"/>
      <c r="B125" s="131">
        <f>DATE(2021,3,1)</f>
        <v>44256</v>
      </c>
      <c r="C125" s="204">
        <v>11172903.5</v>
      </c>
      <c r="D125" s="204">
        <v>2026634.3</v>
      </c>
      <c r="E125" s="204">
        <v>1369447.43</v>
      </c>
      <c r="F125" s="132">
        <f t="shared" si="18"/>
        <v>0.47989200286425027</v>
      </c>
      <c r="G125" s="215">
        <f t="shared" si="19"/>
        <v>0.18138832936308813</v>
      </c>
      <c r="H125" s="123"/>
    </row>
    <row r="126" spans="1:8" ht="15.75" thickBot="1" x14ac:dyDescent="0.25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7">
        <f>SUM(C117:C126)</f>
        <v>98814301.5</v>
      </c>
      <c r="D127" s="207">
        <f>SUM(D117:D126)</f>
        <v>19966994.93</v>
      </c>
      <c r="E127" s="207">
        <f>SUM(E117:E126)</f>
        <v>21831439.310000002</v>
      </c>
      <c r="F127" s="143">
        <f>(+D127-E127)/E127</f>
        <v>-8.5401807619069098E-2</v>
      </c>
      <c r="G127" s="267">
        <f>D127/C127</f>
        <v>0.20206584094509841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9"/>
      <c r="H128" s="123"/>
    </row>
    <row r="129" spans="1:8" ht="15.75" x14ac:dyDescent="0.25">
      <c r="A129" s="130" t="s">
        <v>55</v>
      </c>
      <c r="B129" s="131">
        <f>DATE(2020,7,1)</f>
        <v>44013</v>
      </c>
      <c r="C129" s="204">
        <v>472126</v>
      </c>
      <c r="D129" s="204">
        <v>188605.5</v>
      </c>
      <c r="E129" s="204">
        <v>135934</v>
      </c>
      <c r="F129" s="132">
        <f t="shared" ref="F129:F137" si="20">(+D129-E129)/E129</f>
        <v>0.38747848220459929</v>
      </c>
      <c r="G129" s="215">
        <f t="shared" ref="G129:G137" si="21">D129/C129</f>
        <v>0.39948128253898324</v>
      </c>
      <c r="H129" s="123"/>
    </row>
    <row r="130" spans="1:8" ht="15.75" x14ac:dyDescent="0.25">
      <c r="A130" s="130"/>
      <c r="B130" s="131">
        <f>DATE(2020,8,1)</f>
        <v>44044</v>
      </c>
      <c r="C130" s="204">
        <v>370157</v>
      </c>
      <c r="D130" s="204">
        <v>111546</v>
      </c>
      <c r="E130" s="204">
        <v>134255.5</v>
      </c>
      <c r="F130" s="132">
        <f t="shared" si="20"/>
        <v>-0.16915135692764915</v>
      </c>
      <c r="G130" s="215">
        <f t="shared" si="21"/>
        <v>0.3013478064713081</v>
      </c>
      <c r="H130" s="123"/>
    </row>
    <row r="131" spans="1:8" ht="15.75" x14ac:dyDescent="0.25">
      <c r="A131" s="130"/>
      <c r="B131" s="131">
        <f>DATE(2020,9,1)</f>
        <v>44075</v>
      </c>
      <c r="C131" s="204">
        <v>425232</v>
      </c>
      <c r="D131" s="204">
        <v>108554</v>
      </c>
      <c r="E131" s="204">
        <v>147952</v>
      </c>
      <c r="F131" s="132">
        <f t="shared" si="20"/>
        <v>-0.26628906672434305</v>
      </c>
      <c r="G131" s="215">
        <f t="shared" si="21"/>
        <v>0.25528182262858862</v>
      </c>
      <c r="H131" s="123"/>
    </row>
    <row r="132" spans="1:8" ht="15.75" x14ac:dyDescent="0.25">
      <c r="A132" s="130"/>
      <c r="B132" s="131">
        <f>DATE(2020,10,1)</f>
        <v>44105</v>
      </c>
      <c r="C132" s="204">
        <v>382275</v>
      </c>
      <c r="D132" s="204">
        <v>95084.5</v>
      </c>
      <c r="E132" s="204">
        <v>160874.5</v>
      </c>
      <c r="F132" s="132">
        <f t="shared" si="20"/>
        <v>-0.40895231997613046</v>
      </c>
      <c r="G132" s="215">
        <f t="shared" si="21"/>
        <v>0.24873324177620823</v>
      </c>
      <c r="H132" s="123"/>
    </row>
    <row r="133" spans="1:8" ht="15.75" x14ac:dyDescent="0.25">
      <c r="A133" s="130"/>
      <c r="B133" s="131">
        <f>DATE(2020,11,1)</f>
        <v>44136</v>
      </c>
      <c r="C133" s="204">
        <v>348011</v>
      </c>
      <c r="D133" s="204">
        <v>102680.5</v>
      </c>
      <c r="E133" s="204">
        <v>171123.5</v>
      </c>
      <c r="F133" s="132">
        <f t="shared" si="20"/>
        <v>-0.39996260011044654</v>
      </c>
      <c r="G133" s="215">
        <f t="shared" si="21"/>
        <v>0.29504958176609358</v>
      </c>
      <c r="H133" s="123"/>
    </row>
    <row r="134" spans="1:8" ht="15.75" x14ac:dyDescent="0.25">
      <c r="A134" s="130"/>
      <c r="B134" s="131">
        <f>DATE(2020,12,1)</f>
        <v>44166</v>
      </c>
      <c r="C134" s="204">
        <v>357011</v>
      </c>
      <c r="D134" s="204">
        <v>47733</v>
      </c>
      <c r="E134" s="204">
        <v>110728</v>
      </c>
      <c r="F134" s="132">
        <f t="shared" si="20"/>
        <v>-0.56891662452134961</v>
      </c>
      <c r="G134" s="215">
        <f t="shared" si="21"/>
        <v>0.13370176269078543</v>
      </c>
      <c r="H134" s="123"/>
    </row>
    <row r="135" spans="1:8" ht="15.75" x14ac:dyDescent="0.25">
      <c r="A135" s="130"/>
      <c r="B135" s="131">
        <f>DATE(2021,1,1)</f>
        <v>44197</v>
      </c>
      <c r="C135" s="204">
        <v>348584</v>
      </c>
      <c r="D135" s="204">
        <v>134105.5</v>
      </c>
      <c r="E135" s="204">
        <v>199122</v>
      </c>
      <c r="F135" s="132">
        <f t="shared" si="20"/>
        <v>-0.3265159048221693</v>
      </c>
      <c r="G135" s="215">
        <f t="shared" si="21"/>
        <v>0.38471501847474354</v>
      </c>
      <c r="H135" s="123"/>
    </row>
    <row r="136" spans="1:8" ht="15.75" x14ac:dyDescent="0.25">
      <c r="A136" s="130"/>
      <c r="B136" s="131">
        <f>DATE(2021,2,1)</f>
        <v>44228</v>
      </c>
      <c r="C136" s="204">
        <v>297062</v>
      </c>
      <c r="D136" s="204">
        <v>30769</v>
      </c>
      <c r="E136" s="204">
        <v>146026</v>
      </c>
      <c r="F136" s="132">
        <f t="shared" si="20"/>
        <v>-0.78929094818730916</v>
      </c>
      <c r="G136" s="215">
        <f t="shared" si="21"/>
        <v>0.1035777043176172</v>
      </c>
      <c r="H136" s="123"/>
    </row>
    <row r="137" spans="1:8" ht="15.75" x14ac:dyDescent="0.25">
      <c r="A137" s="130"/>
      <c r="B137" s="131">
        <f>DATE(2021,3,1)</f>
        <v>44256</v>
      </c>
      <c r="C137" s="204">
        <v>594678</v>
      </c>
      <c r="D137" s="204">
        <v>150714.5</v>
      </c>
      <c r="E137" s="204">
        <v>106726.5</v>
      </c>
      <c r="F137" s="132">
        <f t="shared" si="20"/>
        <v>0.41215630607206272</v>
      </c>
      <c r="G137" s="215">
        <f t="shared" si="21"/>
        <v>0.25343883580694088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4" t="s">
        <v>14</v>
      </c>
      <c r="B139" s="145"/>
      <c r="C139" s="207">
        <f>SUM(C129:C138)</f>
        <v>3595136</v>
      </c>
      <c r="D139" s="207">
        <f>SUM(D129:D138)</f>
        <v>969792.5</v>
      </c>
      <c r="E139" s="207">
        <f>SUM(E129:E138)</f>
        <v>1312742</v>
      </c>
      <c r="F139" s="143">
        <f>(+D139-E139)/E139</f>
        <v>-0.26124668822967501</v>
      </c>
      <c r="G139" s="217">
        <f>D139/C139</f>
        <v>0.26975126949300388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37</v>
      </c>
      <c r="B141" s="131">
        <f>DATE(2020,7,1)</f>
        <v>44013</v>
      </c>
      <c r="C141" s="204">
        <v>18681267</v>
      </c>
      <c r="D141" s="204">
        <v>4944391.55</v>
      </c>
      <c r="E141" s="204">
        <v>3678875.65</v>
      </c>
      <c r="F141" s="132">
        <f t="shared" ref="F141:F149" si="22">(+D141-E141)/E141</f>
        <v>0.34399529106127846</v>
      </c>
      <c r="G141" s="215">
        <f t="shared" ref="G141:G149" si="23">D141/C141</f>
        <v>0.26467110341070549</v>
      </c>
      <c r="H141" s="123"/>
    </row>
    <row r="142" spans="1:8" ht="15.75" x14ac:dyDescent="0.25">
      <c r="A142" s="130"/>
      <c r="B142" s="131">
        <f>DATE(2020,8,1)</f>
        <v>44044</v>
      </c>
      <c r="C142" s="204">
        <v>17505825</v>
      </c>
      <c r="D142" s="204">
        <v>3489579.3</v>
      </c>
      <c r="E142" s="204">
        <v>3806318.41</v>
      </c>
      <c r="F142" s="132">
        <f t="shared" si="22"/>
        <v>-8.3214034109143367E-2</v>
      </c>
      <c r="G142" s="215">
        <f t="shared" si="23"/>
        <v>0.19933818029141728</v>
      </c>
      <c r="H142" s="123"/>
    </row>
    <row r="143" spans="1:8" ht="15.75" x14ac:dyDescent="0.25">
      <c r="A143" s="130"/>
      <c r="B143" s="131">
        <f>DATE(2020,9,1)</f>
        <v>44075</v>
      </c>
      <c r="C143" s="204">
        <v>17711205.5</v>
      </c>
      <c r="D143" s="204">
        <v>3694673.89</v>
      </c>
      <c r="E143" s="204">
        <v>3987675.53</v>
      </c>
      <c r="F143" s="132">
        <f t="shared" si="22"/>
        <v>-7.3476800656346195E-2</v>
      </c>
      <c r="G143" s="215">
        <f t="shared" si="23"/>
        <v>0.20860657339219513</v>
      </c>
      <c r="H143" s="123"/>
    </row>
    <row r="144" spans="1:8" ht="15.75" x14ac:dyDescent="0.25">
      <c r="A144" s="130"/>
      <c r="B144" s="131">
        <f>DATE(2020,10,1)</f>
        <v>44105</v>
      </c>
      <c r="C144" s="204">
        <v>17114468.25</v>
      </c>
      <c r="D144" s="204">
        <v>4167594.55</v>
      </c>
      <c r="E144" s="204">
        <v>3485177.78</v>
      </c>
      <c r="F144" s="132">
        <f t="shared" si="22"/>
        <v>0.19580544037555525</v>
      </c>
      <c r="G144" s="215">
        <f t="shared" si="23"/>
        <v>0.24351294408460514</v>
      </c>
      <c r="H144" s="123"/>
    </row>
    <row r="145" spans="1:8" ht="15.75" x14ac:dyDescent="0.25">
      <c r="A145" s="130"/>
      <c r="B145" s="131">
        <f>DATE(2020,11,1)</f>
        <v>44136</v>
      </c>
      <c r="C145" s="204">
        <v>17014102</v>
      </c>
      <c r="D145" s="204">
        <v>3752761.48</v>
      </c>
      <c r="E145" s="204">
        <v>3099140.29</v>
      </c>
      <c r="F145" s="132">
        <f t="shared" si="22"/>
        <v>0.21090403429268442</v>
      </c>
      <c r="G145" s="215">
        <f t="shared" si="23"/>
        <v>0.22056770789313476</v>
      </c>
      <c r="H145" s="123"/>
    </row>
    <row r="146" spans="1:8" ht="15.75" x14ac:dyDescent="0.25">
      <c r="A146" s="130"/>
      <c r="B146" s="131">
        <f>DATE(2020,12,1)</f>
        <v>44166</v>
      </c>
      <c r="C146" s="204">
        <v>18034169</v>
      </c>
      <c r="D146" s="204">
        <v>4490962</v>
      </c>
      <c r="E146" s="204">
        <v>4022599</v>
      </c>
      <c r="F146" s="132">
        <f t="shared" si="22"/>
        <v>0.11643293303657661</v>
      </c>
      <c r="G146" s="215">
        <f t="shared" si="23"/>
        <v>0.24902516994267937</v>
      </c>
      <c r="H146" s="123"/>
    </row>
    <row r="147" spans="1:8" ht="15.75" x14ac:dyDescent="0.25">
      <c r="A147" s="130"/>
      <c r="B147" s="131">
        <f>DATE(2021,1,1)</f>
        <v>44197</v>
      </c>
      <c r="C147" s="204">
        <v>20239790</v>
      </c>
      <c r="D147" s="204">
        <v>4702074.91</v>
      </c>
      <c r="E147" s="204">
        <v>3993751.63</v>
      </c>
      <c r="F147" s="132">
        <f t="shared" si="22"/>
        <v>0.17735786939760204</v>
      </c>
      <c r="G147" s="215">
        <f t="shared" si="23"/>
        <v>0.23231836446919657</v>
      </c>
      <c r="H147" s="123"/>
    </row>
    <row r="148" spans="1:8" ht="15.75" x14ac:dyDescent="0.25">
      <c r="A148" s="130"/>
      <c r="B148" s="131">
        <f>DATE(2021,2,1)</f>
        <v>44228</v>
      </c>
      <c r="C148" s="204">
        <v>19398778</v>
      </c>
      <c r="D148" s="204">
        <v>4573683.54</v>
      </c>
      <c r="E148" s="204">
        <v>3495544.26</v>
      </c>
      <c r="F148" s="132">
        <f t="shared" si="22"/>
        <v>0.30843244994414698</v>
      </c>
      <c r="G148" s="215">
        <f t="shared" si="23"/>
        <v>0.23577173469380391</v>
      </c>
      <c r="H148" s="123"/>
    </row>
    <row r="149" spans="1:8" ht="15.75" x14ac:dyDescent="0.25">
      <c r="A149" s="130"/>
      <c r="B149" s="131">
        <f>DATE(2021,3,1)</f>
        <v>44256</v>
      </c>
      <c r="C149" s="204">
        <v>22033262</v>
      </c>
      <c r="D149" s="204">
        <v>4732473.0199999996</v>
      </c>
      <c r="E149" s="204">
        <v>2577359.4700000002</v>
      </c>
      <c r="F149" s="132">
        <f t="shared" si="22"/>
        <v>0.83617111818709522</v>
      </c>
      <c r="G149" s="215">
        <f t="shared" si="23"/>
        <v>0.21478767056825265</v>
      </c>
      <c r="H149" s="123"/>
    </row>
    <row r="150" spans="1:8" ht="15.75" thickBot="1" x14ac:dyDescent="0.25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Top="1" thickBot="1" x14ac:dyDescent="0.3">
      <c r="A151" s="141" t="s">
        <v>14</v>
      </c>
      <c r="B151" s="142"/>
      <c r="C151" s="206">
        <f>SUM(C141:C150)</f>
        <v>167732866.75</v>
      </c>
      <c r="D151" s="207">
        <f>SUM(D141:D150)</f>
        <v>38548194.239999995</v>
      </c>
      <c r="E151" s="206">
        <f>SUM(E141:E150)</f>
        <v>32146442.019999996</v>
      </c>
      <c r="F151" s="143">
        <f>(+D151-E151)/E151</f>
        <v>0.1991434142545894</v>
      </c>
      <c r="G151" s="217">
        <f>D151/C151</f>
        <v>0.2298189674266686</v>
      </c>
      <c r="H151" s="123"/>
    </row>
    <row r="152" spans="1:8" ht="15.75" customHeight="1" thickTop="1" x14ac:dyDescent="0.25">
      <c r="A152" s="130"/>
      <c r="B152" s="134"/>
      <c r="C152" s="204"/>
      <c r="D152" s="204"/>
      <c r="E152" s="204"/>
      <c r="F152" s="132"/>
      <c r="G152" s="218"/>
      <c r="H152" s="123"/>
    </row>
    <row r="153" spans="1:8" ht="15.75" x14ac:dyDescent="0.25">
      <c r="A153" s="130" t="s">
        <v>58</v>
      </c>
      <c r="B153" s="131">
        <f>DATE(2020,7,1)</f>
        <v>44013</v>
      </c>
      <c r="C153" s="204">
        <v>674370</v>
      </c>
      <c r="D153" s="204">
        <v>155770.5</v>
      </c>
      <c r="E153" s="204">
        <v>102948</v>
      </c>
      <c r="F153" s="132">
        <f t="shared" ref="F153:F161" si="24">(+D153-E153)/E153</f>
        <v>0.51309884601934952</v>
      </c>
      <c r="G153" s="215">
        <f t="shared" ref="G153:G161" si="25">D153/C153</f>
        <v>0.23098669869656124</v>
      </c>
      <c r="H153" s="123"/>
    </row>
    <row r="154" spans="1:8" ht="15.75" x14ac:dyDescent="0.25">
      <c r="A154" s="130"/>
      <c r="B154" s="131">
        <f>DATE(2020,8,1)</f>
        <v>44044</v>
      </c>
      <c r="C154" s="204">
        <v>698636</v>
      </c>
      <c r="D154" s="204">
        <v>187855</v>
      </c>
      <c r="E154" s="204">
        <v>208443.5</v>
      </c>
      <c r="F154" s="132">
        <f t="shared" si="24"/>
        <v>-9.8772569065478169E-2</v>
      </c>
      <c r="G154" s="215">
        <f t="shared" si="25"/>
        <v>0.26888823364384312</v>
      </c>
      <c r="H154" s="123"/>
    </row>
    <row r="155" spans="1:8" ht="15.75" x14ac:dyDescent="0.25">
      <c r="A155" s="130"/>
      <c r="B155" s="131">
        <f>DATE(2020,9,1)</f>
        <v>44075</v>
      </c>
      <c r="C155" s="204">
        <v>619816</v>
      </c>
      <c r="D155" s="204">
        <v>175772.5</v>
      </c>
      <c r="E155" s="204">
        <v>206651.5</v>
      </c>
      <c r="F155" s="132">
        <f t="shared" si="24"/>
        <v>-0.14942548203134262</v>
      </c>
      <c r="G155" s="215">
        <f t="shared" si="25"/>
        <v>0.28358819391561368</v>
      </c>
      <c r="H155" s="123"/>
    </row>
    <row r="156" spans="1:8" ht="15.75" x14ac:dyDescent="0.25">
      <c r="A156" s="130"/>
      <c r="B156" s="131">
        <f>DATE(2020,10,1)</f>
        <v>44105</v>
      </c>
      <c r="C156" s="204">
        <v>525356</v>
      </c>
      <c r="D156" s="204">
        <v>128393</v>
      </c>
      <c r="E156" s="204">
        <v>159975</v>
      </c>
      <c r="F156" s="132">
        <f t="shared" si="24"/>
        <v>-0.19741834661665886</v>
      </c>
      <c r="G156" s="215">
        <f t="shared" si="25"/>
        <v>0.2443923739331044</v>
      </c>
      <c r="H156" s="123"/>
    </row>
    <row r="157" spans="1:8" ht="15.75" x14ac:dyDescent="0.25">
      <c r="A157" s="130"/>
      <c r="B157" s="131">
        <f>DATE(2020,11,1)</f>
        <v>44136</v>
      </c>
      <c r="C157" s="204">
        <v>526166</v>
      </c>
      <c r="D157" s="204">
        <v>162751.5</v>
      </c>
      <c r="E157" s="204">
        <v>185433.5</v>
      </c>
      <c r="F157" s="132">
        <f t="shared" si="24"/>
        <v>-0.12231878274421827</v>
      </c>
      <c r="G157" s="215">
        <f t="shared" si="25"/>
        <v>0.30931588129981791</v>
      </c>
      <c r="H157" s="123"/>
    </row>
    <row r="158" spans="1:8" ht="15.75" x14ac:dyDescent="0.25">
      <c r="A158" s="130"/>
      <c r="B158" s="131">
        <f>DATE(2020,12,1)</f>
        <v>44166</v>
      </c>
      <c r="C158" s="204">
        <v>502248</v>
      </c>
      <c r="D158" s="204">
        <v>165476</v>
      </c>
      <c r="E158" s="204">
        <v>198005</v>
      </c>
      <c r="F158" s="132">
        <f t="shared" si="24"/>
        <v>-0.16428373020883311</v>
      </c>
      <c r="G158" s="215">
        <f t="shared" si="25"/>
        <v>0.32947069973399595</v>
      </c>
      <c r="H158" s="123"/>
    </row>
    <row r="159" spans="1:8" ht="15.75" x14ac:dyDescent="0.25">
      <c r="A159" s="130"/>
      <c r="B159" s="131">
        <f>DATE(2021,1,1)</f>
        <v>44197</v>
      </c>
      <c r="C159" s="204">
        <v>482408</v>
      </c>
      <c r="D159" s="204">
        <v>104168.5</v>
      </c>
      <c r="E159" s="204">
        <v>233910.5</v>
      </c>
      <c r="F159" s="132">
        <f t="shared" si="24"/>
        <v>-0.55466513901684622</v>
      </c>
      <c r="G159" s="215">
        <f t="shared" si="25"/>
        <v>0.21593443723984676</v>
      </c>
      <c r="H159" s="123"/>
    </row>
    <row r="160" spans="1:8" ht="15.75" x14ac:dyDescent="0.25">
      <c r="A160" s="130"/>
      <c r="B160" s="131">
        <f>DATE(2021,2,1)</f>
        <v>44228</v>
      </c>
      <c r="C160" s="204">
        <v>393631</v>
      </c>
      <c r="D160" s="204">
        <v>114089.5</v>
      </c>
      <c r="E160" s="204">
        <v>194088.5</v>
      </c>
      <c r="F160" s="132">
        <f t="shared" si="24"/>
        <v>-0.41217794974972755</v>
      </c>
      <c r="G160" s="215">
        <f t="shared" si="25"/>
        <v>0.28983870680916901</v>
      </c>
      <c r="H160" s="123"/>
    </row>
    <row r="161" spans="1:8" ht="15.75" x14ac:dyDescent="0.25">
      <c r="A161" s="130"/>
      <c r="B161" s="131">
        <f>DATE(2021,3,1)</f>
        <v>44256</v>
      </c>
      <c r="C161" s="204">
        <v>572053</v>
      </c>
      <c r="D161" s="204">
        <v>155568.5</v>
      </c>
      <c r="E161" s="204">
        <v>137240.5</v>
      </c>
      <c r="F161" s="132">
        <f t="shared" si="24"/>
        <v>0.13354658428087918</v>
      </c>
      <c r="G161" s="215">
        <f t="shared" si="25"/>
        <v>0.27194770414629416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35" t="s">
        <v>14</v>
      </c>
      <c r="B163" s="136"/>
      <c r="C163" s="201">
        <f>SUM(C153:C162)</f>
        <v>4994684</v>
      </c>
      <c r="D163" s="207">
        <f>SUM(D153:D162)</f>
        <v>1349845</v>
      </c>
      <c r="E163" s="207">
        <f>SUM(E153:E162)</f>
        <v>1626696</v>
      </c>
      <c r="F163" s="143">
        <f>(+D163-E163)/E163</f>
        <v>-0.17019221784525196</v>
      </c>
      <c r="G163" s="217">
        <f>D163/C163</f>
        <v>0.27025633653700615</v>
      </c>
      <c r="H163" s="123"/>
    </row>
    <row r="164" spans="1:8" ht="16.5" thickTop="1" thickBot="1" x14ac:dyDescent="0.25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Top="1" thickBot="1" x14ac:dyDescent="0.3">
      <c r="A165" s="147" t="s">
        <v>38</v>
      </c>
      <c r="B165" s="121"/>
      <c r="C165" s="201">
        <f>C163+C151+C115+C91+C67+C43+C19+C55+C139+C31+C103+C127+C79</f>
        <v>760185082.54999995</v>
      </c>
      <c r="D165" s="201">
        <f>D163+D151+D115+D91+D67+D43+D19+D55+D139+D31+D103+D127+D79</f>
        <v>161483974.90000001</v>
      </c>
      <c r="E165" s="201">
        <f>E163+E151+E115+E91+E67+E43+E19+E55+E139+E31+E103+E127+E79</f>
        <v>182315669.38999999</v>
      </c>
      <c r="F165" s="137">
        <f>(+D165-E165)/E165</f>
        <v>-0.11426167898623089</v>
      </c>
      <c r="G165" s="212">
        <f>D165/C165</f>
        <v>0.21242718202034525</v>
      </c>
      <c r="H165" s="123"/>
    </row>
    <row r="166" spans="1:8" ht="17.25" thickTop="1" thickBot="1" x14ac:dyDescent="0.3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Top="1" thickBot="1" x14ac:dyDescent="0.3">
      <c r="A167" s="265" t="s">
        <v>39</v>
      </c>
      <c r="B167" s="266"/>
      <c r="C167" s="206">
        <f>SUM(C17+C29+C41+C53+C65+C77+C89+C101+C113+C125+C137+C149+C161)</f>
        <v>99028109</v>
      </c>
      <c r="D167" s="206">
        <f>SUM(D17+D29+D41+D53+D65+D77+D89+D101+D113+D125+D137+D149+D161)</f>
        <v>21578833.09</v>
      </c>
      <c r="E167" s="206">
        <f>SUM(E17+E29+E41+E53+E65+E77+E89+E101+E113+E125+E137+E149+E161)</f>
        <v>11521320.920000002</v>
      </c>
      <c r="F167" s="143">
        <f>(+D167-E167)/E167</f>
        <v>0.87294783643610163</v>
      </c>
      <c r="G167" s="217">
        <f>D167/C167</f>
        <v>0.21790614107354106</v>
      </c>
      <c r="H167" s="123"/>
    </row>
    <row r="168" spans="1:8" ht="16.5" thickTop="1" x14ac:dyDescent="0.25">
      <c r="A168" s="256"/>
      <c r="B168" s="258"/>
      <c r="C168" s="259"/>
      <c r="D168" s="259"/>
      <c r="E168" s="259"/>
      <c r="F168" s="260"/>
      <c r="G168" s="257"/>
      <c r="H168" s="257"/>
    </row>
    <row r="169" spans="1:8" ht="15.75" x14ac:dyDescent="0.25">
      <c r="A169" s="289" t="s">
        <v>77</v>
      </c>
      <c r="B169" s="258"/>
      <c r="C169" s="259"/>
      <c r="D169" s="259"/>
      <c r="E169" s="259"/>
      <c r="F169" s="260"/>
      <c r="G169" s="257"/>
      <c r="H169" s="257"/>
    </row>
    <row r="170" spans="1:8" ht="18.75" x14ac:dyDescent="0.3">
      <c r="A170" s="263" t="s">
        <v>40</v>
      </c>
      <c r="B170" s="117"/>
      <c r="C170" s="208"/>
      <c r="D170" s="208"/>
      <c r="E170" s="208"/>
      <c r="F170" s="148"/>
      <c r="G170" s="220"/>
    </row>
    <row r="171" spans="1:8" ht="15.75" x14ac:dyDescent="0.25">
      <c r="A171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x14ac:dyDescent="0.2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DATE(21,1,1)</f>
        <v>7672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DATE(21,2,1)</f>
        <v>7703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64"/>
      <c r="B18" s="165">
        <f>DATE(21,3,1)</f>
        <v>7731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8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SUM(C10:C19)</f>
        <v>0</v>
      </c>
      <c r="D20" s="223">
        <f>SUM(D10:D19)</f>
        <v>0</v>
      </c>
      <c r="E20" s="223">
        <f>SUM(E10:E19)</f>
        <v>0</v>
      </c>
      <c r="F20" s="170">
        <v>0</v>
      </c>
      <c r="G20" s="236">
        <v>0</v>
      </c>
      <c r="H20" s="237">
        <v>0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48</v>
      </c>
      <c r="B22" s="165">
        <f>DATE(20,7,1)</f>
        <v>7488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DATE(20,8,1)</f>
        <v>7519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DATE(20,9,1)</f>
        <v>7550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DATE(20,10,1)</f>
        <v>7580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DATE(20,11,1)</f>
        <v>7611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DATE(20,12,1)</f>
        <v>7641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DATE(21,1,1)</f>
        <v>7672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DATE(21,2,1)</f>
        <v>7703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DATE(21,3,1)</f>
        <v>7731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69" t="s">
        <v>14</v>
      </c>
      <c r="B32" s="155"/>
      <c r="C32" s="223">
        <f>SUM(C22:C31)</f>
        <v>0</v>
      </c>
      <c r="D32" s="223">
        <f>SUM(D22:D31)</f>
        <v>0</v>
      </c>
      <c r="E32" s="223">
        <f>SUM(E22:E31)</f>
        <v>0</v>
      </c>
      <c r="F32" s="170">
        <v>0</v>
      </c>
      <c r="G32" s="236">
        <v>0</v>
      </c>
      <c r="H32" s="237">
        <v>0</v>
      </c>
    </row>
    <row r="33" spans="1:8" ht="15.75" thickTop="1" x14ac:dyDescent="0.2">
      <c r="A33" s="171"/>
      <c r="B33" s="172"/>
      <c r="C33" s="227"/>
      <c r="D33" s="227"/>
      <c r="E33" s="227"/>
      <c r="F33" s="173"/>
      <c r="G33" s="243"/>
      <c r="H33" s="244"/>
    </row>
    <row r="34" spans="1:8" ht="15.75" x14ac:dyDescent="0.25">
      <c r="A34" s="19" t="s">
        <v>65</v>
      </c>
      <c r="B34" s="165">
        <f>DATE(20,7,1)</f>
        <v>7488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DATE(20,8,1)</f>
        <v>7519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DATE(20,9,1)</f>
        <v>7550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DATE(20,10,1)</f>
        <v>7580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DATE(20,11,1)</f>
        <v>7611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DATE(20,12,1)</f>
        <v>7641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DATE(21,1,1)</f>
        <v>7672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DATE(21,2,1)</f>
        <v>7703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DATE(21,3,1)</f>
        <v>7731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SUM(C34:C43)</f>
        <v>0</v>
      </c>
      <c r="D44" s="228">
        <f>SUM(D34:D43)</f>
        <v>0</v>
      </c>
      <c r="E44" s="228">
        <f>SUM(E34:E43)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77" t="s">
        <v>59</v>
      </c>
      <c r="B46" s="165">
        <f>DATE(20,7,1)</f>
        <v>7488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77"/>
      <c r="B47" s="165">
        <f>DATE(20,8,1)</f>
        <v>7519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77"/>
      <c r="B48" s="165">
        <f>DATE(20,9,1)</f>
        <v>7550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77"/>
      <c r="B49" s="165">
        <f>DATE(20,10,1)</f>
        <v>7580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77"/>
      <c r="B50" s="165">
        <f>DATE(20,11,1)</f>
        <v>7611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77"/>
      <c r="B51" s="165">
        <f>DATE(20,12,1)</f>
        <v>7641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77"/>
      <c r="B52" s="165">
        <f>DATE(21,1,1)</f>
        <v>7672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77"/>
      <c r="B53" s="165">
        <f>DATE(21,2,1)</f>
        <v>7703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77"/>
      <c r="B54" s="165">
        <f>DATE(21,3,1)</f>
        <v>7731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8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8"/>
      <c r="C56" s="228">
        <f>SUM(C46:C55)</f>
        <v>0</v>
      </c>
      <c r="D56" s="228">
        <f>SUM(D46:D55)</f>
        <v>0</v>
      </c>
      <c r="E56" s="228">
        <f>SUM(E46:E55)</f>
        <v>0</v>
      </c>
      <c r="F56" s="176">
        <v>0</v>
      </c>
      <c r="G56" s="245">
        <v>0</v>
      </c>
      <c r="H56" s="246">
        <v>0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63</v>
      </c>
      <c r="B58" s="165">
        <f>DATE(20,7,1)</f>
        <v>7488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DATE(20,8,1)</f>
        <v>7519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DATE(20,9,1)</f>
        <v>7550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DATE(20,10,1)</f>
        <v>7580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DATE(20,11,1)</f>
        <v>7611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DATE(20,12,1)</f>
        <v>7641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DATE(21,1,1)</f>
        <v>7672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DATE(21,2,1)</f>
        <v>7703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DATE(21,3,1)</f>
        <v>7731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5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SUM(C58:C67)</f>
        <v>0</v>
      </c>
      <c r="D68" s="230">
        <f>SUM(D58:D67)</f>
        <v>0</v>
      </c>
      <c r="E68" s="271">
        <f>SUM(E58:E67)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68</v>
      </c>
      <c r="B70" s="165">
        <f>DATE(20,7,1)</f>
        <v>7488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DATE(20,8,1)</f>
        <v>7519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DATE(20,9,1)</f>
        <v>7550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DATE(20,10,1)</f>
        <v>7580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DATE(20,11,1)</f>
        <v>7611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DATE(20,12,1)</f>
        <v>7641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DATE(21,1,1)</f>
        <v>7672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DATE(21,2,1)</f>
        <v>7703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DATE(21,3,1)</f>
        <v>7731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SUM(C70:C79)</f>
        <v>0</v>
      </c>
      <c r="D80" s="230">
        <f>SUM(D70:D79)</f>
        <v>0</v>
      </c>
      <c r="E80" s="271">
        <f>SUM(E70:E79)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66</v>
      </c>
      <c r="B82" s="165">
        <f>DATE(20,7,1)</f>
        <v>7488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DATE(20,8,1)</f>
        <v>7519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DATE(20,9,1)</f>
        <v>7550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DATE(20,10,1)</f>
        <v>7580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DATE(20,11,1)</f>
        <v>7611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DATE(20,12,1)</f>
        <v>7641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DATE(21,1,1)</f>
        <v>7672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DATE(21,2,1)</f>
        <v>7703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DATE(21,3,1)</f>
        <v>7731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SUM(C82:C91)</f>
        <v>0</v>
      </c>
      <c r="D92" s="230">
        <f>SUM(D82:D91)</f>
        <v>0</v>
      </c>
      <c r="E92" s="271">
        <f>SUM(E82:E91)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60</v>
      </c>
      <c r="B94" s="165">
        <f>DATE(20,7,1)</f>
        <v>7488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DATE(20,8,1)</f>
        <v>7519</v>
      </c>
      <c r="C95" s="226">
        <v>2426243.5</v>
      </c>
      <c r="D95" s="226">
        <v>118455</v>
      </c>
      <c r="E95" s="226">
        <v>0</v>
      </c>
      <c r="F95" s="166">
        <v>1</v>
      </c>
      <c r="G95" s="241">
        <f t="shared" ref="G95:G100" si="0">D95/C95</f>
        <v>4.8822387365489078E-2</v>
      </c>
      <c r="H95" s="242">
        <f t="shared" ref="H95:H102" si="1">1-G95</f>
        <v>0.95117761263451095</v>
      </c>
    </row>
    <row r="96" spans="1:8" ht="15.75" x14ac:dyDescent="0.25">
      <c r="A96" s="164"/>
      <c r="B96" s="165">
        <f>DATE(20,9,1)</f>
        <v>7550</v>
      </c>
      <c r="C96" s="226">
        <v>1791988</v>
      </c>
      <c r="D96" s="226">
        <v>106241</v>
      </c>
      <c r="E96" s="226">
        <v>0</v>
      </c>
      <c r="F96" s="166">
        <v>1</v>
      </c>
      <c r="G96" s="241">
        <f t="shared" si="0"/>
        <v>5.9286669330374978E-2</v>
      </c>
      <c r="H96" s="242">
        <f t="shared" si="1"/>
        <v>0.94071333066962504</v>
      </c>
    </row>
    <row r="97" spans="1:8" ht="15.75" x14ac:dyDescent="0.25">
      <c r="A97" s="164"/>
      <c r="B97" s="165">
        <f>DATE(20,10,1)</f>
        <v>7580</v>
      </c>
      <c r="C97" s="226">
        <v>1843163.5</v>
      </c>
      <c r="D97" s="226">
        <v>82618</v>
      </c>
      <c r="E97" s="226">
        <v>0</v>
      </c>
      <c r="F97" s="166">
        <v>1</v>
      </c>
      <c r="G97" s="241">
        <f t="shared" si="0"/>
        <v>4.4824021309015721E-2</v>
      </c>
      <c r="H97" s="242">
        <f t="shared" si="1"/>
        <v>0.95517597869098425</v>
      </c>
    </row>
    <row r="98" spans="1:8" ht="15.75" x14ac:dyDescent="0.25">
      <c r="A98" s="164"/>
      <c r="B98" s="165">
        <f>DATE(20,11,1)</f>
        <v>7611</v>
      </c>
      <c r="C98" s="226">
        <v>1486394.5</v>
      </c>
      <c r="D98" s="226">
        <v>81702.080000000002</v>
      </c>
      <c r="E98" s="226">
        <v>0</v>
      </c>
      <c r="F98" s="166">
        <v>1</v>
      </c>
      <c r="G98" s="241">
        <f t="shared" si="0"/>
        <v>5.4966618888861604E-2</v>
      </c>
      <c r="H98" s="242">
        <f t="shared" si="1"/>
        <v>0.94503338111113844</v>
      </c>
    </row>
    <row r="99" spans="1:8" ht="15.75" x14ac:dyDescent="0.25">
      <c r="A99" s="164"/>
      <c r="B99" s="165">
        <f>DATE(20,12,1)</f>
        <v>7641</v>
      </c>
      <c r="C99" s="226">
        <v>2678467</v>
      </c>
      <c r="D99" s="226">
        <v>84775</v>
      </c>
      <c r="E99" s="226">
        <v>0</v>
      </c>
      <c r="F99" s="166">
        <v>1</v>
      </c>
      <c r="G99" s="241">
        <f t="shared" si="0"/>
        <v>3.1650567283449824E-2</v>
      </c>
      <c r="H99" s="242">
        <f t="shared" si="1"/>
        <v>0.96834943271655016</v>
      </c>
    </row>
    <row r="100" spans="1:8" ht="15.75" x14ac:dyDescent="0.25">
      <c r="A100" s="164"/>
      <c r="B100" s="165">
        <f>DATE(21,1,1)</f>
        <v>7672</v>
      </c>
      <c r="C100" s="226">
        <v>3363779.5</v>
      </c>
      <c r="D100" s="226">
        <v>127657</v>
      </c>
      <c r="E100" s="226">
        <v>0</v>
      </c>
      <c r="F100" s="166">
        <v>1</v>
      </c>
      <c r="G100" s="241">
        <f t="shared" si="0"/>
        <v>3.79504661348938E-2</v>
      </c>
      <c r="H100" s="242">
        <f t="shared" si="1"/>
        <v>0.96204953386510617</v>
      </c>
    </row>
    <row r="101" spans="1:8" ht="15.75" x14ac:dyDescent="0.25">
      <c r="A101" s="164"/>
      <c r="B101" s="165">
        <f>DATE(21,2,1)</f>
        <v>7703</v>
      </c>
      <c r="C101" s="226">
        <v>1638650.5</v>
      </c>
      <c r="D101" s="226">
        <v>94650</v>
      </c>
      <c r="E101" s="226">
        <v>0</v>
      </c>
      <c r="F101" s="166">
        <v>1</v>
      </c>
      <c r="G101" s="241">
        <f>D101/C101</f>
        <v>5.7760944142756496E-2</v>
      </c>
      <c r="H101" s="242">
        <f t="shared" si="1"/>
        <v>0.94223905585724355</v>
      </c>
    </row>
    <row r="102" spans="1:8" ht="15.75" x14ac:dyDescent="0.25">
      <c r="A102" s="164"/>
      <c r="B102" s="165">
        <f>DATE(21,3,1)</f>
        <v>7731</v>
      </c>
      <c r="C102" s="226">
        <v>184054</v>
      </c>
      <c r="D102" s="226">
        <v>5436.5</v>
      </c>
      <c r="E102" s="226">
        <v>0</v>
      </c>
      <c r="F102" s="166">
        <v>1</v>
      </c>
      <c r="G102" s="241">
        <f>D102/C102</f>
        <v>2.9537527030110727E-2</v>
      </c>
      <c r="H102" s="242">
        <f t="shared" si="1"/>
        <v>0.9704624729698893</v>
      </c>
    </row>
    <row r="103" spans="1:8" ht="15.75" thickBot="1" x14ac:dyDescent="0.25">
      <c r="A103" s="167"/>
      <c r="B103" s="165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SUM(C94:C103)</f>
        <v>15412740.5</v>
      </c>
      <c r="D104" s="230">
        <f>SUM(D94:D103)</f>
        <v>701534.58000000007</v>
      </c>
      <c r="E104" s="271">
        <f>SUM(E94:E103)</f>
        <v>0</v>
      </c>
      <c r="F104" s="176">
        <v>1</v>
      </c>
      <c r="G104" s="249">
        <f>D104/C104</f>
        <v>4.5516537438620996E-2</v>
      </c>
      <c r="H104" s="270">
        <f>1-G104</f>
        <v>0.95448346256137895</v>
      </c>
    </row>
    <row r="105" spans="1:8" ht="15.75" thickTop="1" x14ac:dyDescent="0.2">
      <c r="A105" s="167"/>
      <c r="B105" s="179"/>
      <c r="C105" s="229"/>
      <c r="D105" s="229"/>
      <c r="E105" s="229"/>
      <c r="F105" s="180"/>
      <c r="G105" s="247"/>
      <c r="H105" s="248"/>
    </row>
    <row r="106" spans="1:8" ht="15.75" x14ac:dyDescent="0.25">
      <c r="A106" s="164" t="s">
        <v>16</v>
      </c>
      <c r="B106" s="165">
        <f>DATE(20,7,1)</f>
        <v>7488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DATE(20,8,1)</f>
        <v>7519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DATE(20,9,1)</f>
        <v>7550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DATE(20,10,1)</f>
        <v>7580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DATE(20,11,1)</f>
        <v>7611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DATE(20,12,1)</f>
        <v>7641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DATE(21,1,1)</f>
        <v>7672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DATE(21,2,1)</f>
        <v>7703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DATE(21,3,1)</f>
        <v>7731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6.5" thickBot="1" x14ac:dyDescent="0.3">
      <c r="A115" s="164"/>
      <c r="B115" s="165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81"/>
      <c r="C116" s="228">
        <f>SUM(C106:C115)</f>
        <v>0</v>
      </c>
      <c r="D116" s="228">
        <f>SUM(D106:D115)</f>
        <v>0</v>
      </c>
      <c r="E116" s="228">
        <f>SUM(E106:E115)</f>
        <v>0</v>
      </c>
      <c r="F116" s="176">
        <v>0</v>
      </c>
      <c r="G116" s="245">
        <v>0</v>
      </c>
      <c r="H116" s="246">
        <v>0</v>
      </c>
    </row>
    <row r="117" spans="1:8" ht="15.75" thickTop="1" x14ac:dyDescent="0.2">
      <c r="A117" s="171"/>
      <c r="B117" s="172"/>
      <c r="C117" s="227"/>
      <c r="D117" s="227"/>
      <c r="E117" s="227"/>
      <c r="F117" s="173"/>
      <c r="G117" s="243"/>
      <c r="H117" s="244"/>
    </row>
    <row r="118" spans="1:8" ht="15.75" x14ac:dyDescent="0.25">
      <c r="A118" s="164" t="s">
        <v>54</v>
      </c>
      <c r="B118" s="165">
        <f>DATE(20,7,1)</f>
        <v>7488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DATE(20,8,1)</f>
        <v>7519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DATE(20,9,1)</f>
        <v>7550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DATE(20,10,1)</f>
        <v>7580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DATE(20,11,1)</f>
        <v>7611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DATE(20,12,1)</f>
        <v>7641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DATE(21,1,1)</f>
        <v>7672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DATE(21,2,1)</f>
        <v>7703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DATE(21,3,1)</f>
        <v>7731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thickBot="1" x14ac:dyDescent="0.25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Top="1" thickBot="1" x14ac:dyDescent="0.3">
      <c r="A128" s="174" t="s">
        <v>14</v>
      </c>
      <c r="B128" s="175"/>
      <c r="C128" s="228">
        <f>SUM(C118:C127)</f>
        <v>0</v>
      </c>
      <c r="D128" s="228">
        <f>SUM(D118:D127)</f>
        <v>0</v>
      </c>
      <c r="E128" s="228">
        <f>SUM(E118:E127)</f>
        <v>0</v>
      </c>
      <c r="F128" s="176">
        <v>0</v>
      </c>
      <c r="G128" s="245">
        <v>0</v>
      </c>
      <c r="H128" s="246">
        <v>0</v>
      </c>
    </row>
    <row r="129" spans="1:8" ht="15.75" thickTop="1" x14ac:dyDescent="0.2">
      <c r="A129" s="167"/>
      <c r="B129" s="168"/>
      <c r="C129" s="226"/>
      <c r="D129" s="226"/>
      <c r="E129" s="226"/>
      <c r="F129" s="166"/>
      <c r="G129" s="241"/>
      <c r="H129" s="242"/>
    </row>
    <row r="130" spans="1:8" ht="15.75" x14ac:dyDescent="0.25">
      <c r="A130" s="164" t="s">
        <v>55</v>
      </c>
      <c r="B130" s="165">
        <f>DATE(20,7,1)</f>
        <v>7488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DATE(20,8,1)</f>
        <v>7519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DATE(20,9,1)</f>
        <v>7550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DATE(20,10,1)</f>
        <v>7580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DATE(20,11,1)</f>
        <v>7611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DATE(20,12,1)</f>
        <v>7641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DATE(21,1,1)</f>
        <v>7672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DATE(21,2,1)</f>
        <v>7703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DATE(21,3,1)</f>
        <v>7731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82" t="s">
        <v>14</v>
      </c>
      <c r="B140" s="183"/>
      <c r="C140" s="230">
        <f>SUM(C130:C139)</f>
        <v>0</v>
      </c>
      <c r="D140" s="230">
        <f>SUM(D130:D139)</f>
        <v>0</v>
      </c>
      <c r="E140" s="230">
        <f>SUM(E130:E139)</f>
        <v>0</v>
      </c>
      <c r="F140" s="176">
        <v>0</v>
      </c>
      <c r="G140" s="245">
        <v>0</v>
      </c>
      <c r="H140" s="246">
        <v>0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164" t="s">
        <v>37</v>
      </c>
      <c r="B142" s="165">
        <f>DATE(20,7,1)</f>
        <v>7488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DATE(20,8,1)</f>
        <v>7519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DATE(20,9,1)</f>
        <v>7550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DATE(20,10,1)</f>
        <v>7580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DATE(20,11,1)</f>
        <v>7611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x14ac:dyDescent="0.25">
      <c r="A147" s="164"/>
      <c r="B147" s="165">
        <f>DATE(20,12,1)</f>
        <v>7641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 x14ac:dyDescent="0.25">
      <c r="A148" s="164"/>
      <c r="B148" s="165">
        <f>DATE(21,1,1)</f>
        <v>7672</v>
      </c>
      <c r="C148" s="226">
        <v>277409.65999999997</v>
      </c>
      <c r="D148" s="226">
        <v>14037.8</v>
      </c>
      <c r="E148" s="226">
        <v>0</v>
      </c>
      <c r="F148" s="166">
        <v>1</v>
      </c>
      <c r="G148" s="241">
        <f>D148/C148</f>
        <v>5.0603140496261016E-2</v>
      </c>
      <c r="H148" s="242">
        <f>1-G148</f>
        <v>0.94939685950373898</v>
      </c>
    </row>
    <row r="149" spans="1:8" ht="15.75" x14ac:dyDescent="0.25">
      <c r="A149" s="164"/>
      <c r="B149" s="165">
        <f>DATE(21,2,1)</f>
        <v>7703</v>
      </c>
      <c r="C149" s="226">
        <v>578383.82999999996</v>
      </c>
      <c r="D149" s="226">
        <v>31538.07</v>
      </c>
      <c r="E149" s="226">
        <v>0</v>
      </c>
      <c r="F149" s="166">
        <v>1</v>
      </c>
      <c r="G149" s="241">
        <f>D149/C149</f>
        <v>5.4527924821134784E-2</v>
      </c>
      <c r="H149" s="242">
        <f>1-G149</f>
        <v>0.94547207517886522</v>
      </c>
    </row>
    <row r="150" spans="1:8" ht="15.75" x14ac:dyDescent="0.25">
      <c r="A150" s="164"/>
      <c r="B150" s="165">
        <f>DATE(21,3,1)</f>
        <v>7731</v>
      </c>
      <c r="C150" s="226">
        <v>771651.05</v>
      </c>
      <c r="D150" s="226">
        <v>34334.9</v>
      </c>
      <c r="E150" s="226">
        <v>0</v>
      </c>
      <c r="F150" s="166">
        <v>1</v>
      </c>
      <c r="G150" s="241">
        <f>D150/C150</f>
        <v>4.4495371321013562E-2</v>
      </c>
      <c r="H150" s="242">
        <f>1-G150</f>
        <v>0.95550462867898645</v>
      </c>
    </row>
    <row r="151" spans="1:8" ht="15.75" thickBot="1" x14ac:dyDescent="0.25">
      <c r="A151" s="167"/>
      <c r="B151" s="168"/>
      <c r="C151" s="226"/>
      <c r="D151" s="226"/>
      <c r="E151" s="226"/>
      <c r="F151" s="166"/>
      <c r="G151" s="241"/>
      <c r="H151" s="242"/>
    </row>
    <row r="152" spans="1:8" ht="17.25" thickTop="1" thickBot="1" x14ac:dyDescent="0.3">
      <c r="A152" s="174" t="s">
        <v>14</v>
      </c>
      <c r="B152" s="175"/>
      <c r="C152" s="228">
        <f>SUM(C142:C151)</f>
        <v>1627444.54</v>
      </c>
      <c r="D152" s="228">
        <f>SUM(D142:D151)</f>
        <v>79910.76999999999</v>
      </c>
      <c r="E152" s="228">
        <f>SUM(E142:E151)</f>
        <v>0</v>
      </c>
      <c r="F152" s="176">
        <v>0</v>
      </c>
      <c r="G152" s="245">
        <v>0</v>
      </c>
      <c r="H152" s="246">
        <v>0</v>
      </c>
    </row>
    <row r="153" spans="1:8" ht="15.75" thickTop="1" x14ac:dyDescent="0.2">
      <c r="A153" s="167"/>
      <c r="B153" s="168"/>
      <c r="C153" s="226"/>
      <c r="D153" s="226"/>
      <c r="E153" s="226"/>
      <c r="F153" s="166"/>
      <c r="G153" s="241"/>
      <c r="H153" s="242"/>
    </row>
    <row r="154" spans="1:8" ht="15.75" x14ac:dyDescent="0.25">
      <c r="A154" s="164" t="s">
        <v>58</v>
      </c>
      <c r="B154" s="165">
        <f>DATE(20,7,1)</f>
        <v>7488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DATE(20,8,1)</f>
        <v>7519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DATE(20,9,1)</f>
        <v>7550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DATE(20,10,1)</f>
        <v>7580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DATE(20,11,1)</f>
        <v>7611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DATE(20,12,1)</f>
        <v>7641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DATE(21,1,1)</f>
        <v>7672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x14ac:dyDescent="0.25">
      <c r="A161" s="164"/>
      <c r="B161" s="165">
        <f>DATE(21,2,1)</f>
        <v>7703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.75" x14ac:dyDescent="0.25">
      <c r="A162" s="164"/>
      <c r="B162" s="165">
        <f>DATE(21,3,1)</f>
        <v>7731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.75" thickBot="1" x14ac:dyDescent="0.25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Top="1" thickBot="1" x14ac:dyDescent="0.3">
      <c r="A164" s="169" t="s">
        <v>14</v>
      </c>
      <c r="B164" s="155"/>
      <c r="C164" s="223">
        <f>SUM(C154:C163)</f>
        <v>0</v>
      </c>
      <c r="D164" s="223">
        <f>SUM(D154:D163)</f>
        <v>0</v>
      </c>
      <c r="E164" s="223">
        <f>SUM(E154:E163)</f>
        <v>0</v>
      </c>
      <c r="F164" s="176">
        <v>0</v>
      </c>
      <c r="G164" s="245">
        <v>0</v>
      </c>
      <c r="H164" s="246">
        <v>0</v>
      </c>
    </row>
    <row r="165" spans="1:8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</row>
    <row r="166" spans="1:8" ht="17.25" thickTop="1" thickBot="1" x14ac:dyDescent="0.3">
      <c r="A166" s="184" t="s">
        <v>38</v>
      </c>
      <c r="B166" s="155"/>
      <c r="C166" s="223">
        <f>C164+C152+C116+C92+C68+C44+C20+C56+C140+C32+C104+C128+C80</f>
        <v>17040185.039999999</v>
      </c>
      <c r="D166" s="223">
        <f>D164+D152+D116+D92+D68+D44+D20+D56+D140+D32+D104+D128+D80</f>
        <v>781445.35000000009</v>
      </c>
      <c r="E166" s="223">
        <f>E164+E152+E116+E92+E68+E44+E20+E56+E140+E32+E104+E128+E80</f>
        <v>0</v>
      </c>
      <c r="F166" s="170">
        <v>1</v>
      </c>
      <c r="G166" s="236">
        <f>D166/C166</f>
        <v>4.5858970907043634E-2</v>
      </c>
      <c r="H166" s="237">
        <f>1-G166</f>
        <v>0.95414102909295639</v>
      </c>
    </row>
    <row r="167" spans="1:8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</row>
    <row r="168" spans="1:8" ht="17.25" thickTop="1" thickBot="1" x14ac:dyDescent="0.3">
      <c r="A168" s="184" t="s">
        <v>39</v>
      </c>
      <c r="B168" s="155"/>
      <c r="C168" s="223">
        <f>SUM(C18+C30+C42+C54+C66+C78+C90+C102+C114+C126+C138+C150+C162)</f>
        <v>955705.05</v>
      </c>
      <c r="D168" s="223">
        <f>SUM(D18+D30+D42+D54+D66+D78+D90+D102+D114+D126+D138+D150+D162)</f>
        <v>39771.4</v>
      </c>
      <c r="E168" s="223">
        <f>SUM(E15+E27+E39+E51+E63+E75+E87+E99+E111+E123+E135+E147+E159)</f>
        <v>0</v>
      </c>
      <c r="F168" s="170">
        <v>1</v>
      </c>
      <c r="G168" s="236">
        <f>D168/C168</f>
        <v>4.1614722031656108E-2</v>
      </c>
      <c r="H168" s="246">
        <f>1-G168</f>
        <v>0.95838527796834394</v>
      </c>
    </row>
    <row r="169" spans="1:8" ht="16.5" thickTop="1" x14ac:dyDescent="0.25">
      <c r="A169" s="185"/>
      <c r="B169" s="186"/>
      <c r="C169" s="231"/>
      <c r="D169" s="231"/>
      <c r="E169" s="231"/>
      <c r="F169" s="187"/>
      <c r="G169" s="250"/>
      <c r="H169" s="250"/>
    </row>
    <row r="170" spans="1:8" ht="18.75" x14ac:dyDescent="0.3">
      <c r="A170" s="188" t="s">
        <v>49</v>
      </c>
      <c r="B170" s="189"/>
      <c r="C170" s="232"/>
      <c r="D170" s="232"/>
      <c r="E170" s="232"/>
      <c r="F170" s="190"/>
      <c r="G170" s="251"/>
      <c r="H170" s="251"/>
    </row>
    <row r="171" spans="1:8" ht="15.75" x14ac:dyDescent="0.25">
      <c r="A171" s="191"/>
      <c r="B171" s="189"/>
      <c r="C171" s="232"/>
      <c r="D171" s="232"/>
      <c r="E171" s="232"/>
      <c r="F171" s="190"/>
      <c r="G171" s="257"/>
      <c r="H171" s="257"/>
    </row>
  </sheetData>
  <printOptions horizontalCentered="1"/>
  <pageMargins left="0.7" right="0.45" top="0.25" bottom="0.25" header="0.3" footer="0.3"/>
  <pageSetup scale="65" orientation="landscape" r:id="rId1"/>
  <rowBreaks count="4" manualBreakCount="4">
    <brk id="44" max="16383" man="1"/>
    <brk id="80" max="16383" man="1"/>
    <brk id="116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3"/>
  <sheetViews>
    <sheetView showOutlineSymbols="0" topLeftCell="A6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t="shared" ref="F10:F18" si="0">(+D10-E10)/E10</f>
        <v>-6.0056695617709627E-2</v>
      </c>
      <c r="G10" s="241">
        <f t="shared" ref="G10:G18" si="1">D10/C10</f>
        <v>9.8905631427633423E-2</v>
      </c>
      <c r="H10" s="242">
        <f t="shared" ref="H10:H18" si="2"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 t="shared" si="0"/>
        <v>-0.12639918002058387</v>
      </c>
      <c r="G11" s="241">
        <f t="shared" si="1"/>
        <v>9.6630672307611229E-2</v>
      </c>
      <c r="H11" s="242">
        <f t="shared" si="2"/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 t="shared" si="0"/>
        <v>-1.7634032631991081E-3</v>
      </c>
      <c r="G12" s="241">
        <f t="shared" si="1"/>
        <v>9.6757913761272615E-2</v>
      </c>
      <c r="H12" s="242">
        <f t="shared" si="2"/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 t="shared" si="0"/>
        <v>-8.5177692790201417E-3</v>
      </c>
      <c r="G13" s="241">
        <f t="shared" si="1"/>
        <v>9.8420048619333081E-2</v>
      </c>
      <c r="H13" s="242">
        <f t="shared" si="2"/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 t="shared" si="0"/>
        <v>-0.19896204819209515</v>
      </c>
      <c r="G14" s="241">
        <f t="shared" si="1"/>
        <v>9.6089986271280028E-2</v>
      </c>
      <c r="H14" s="242">
        <f t="shared" si="2"/>
        <v>0.90391001372871993</v>
      </c>
      <c r="I14" s="157"/>
    </row>
    <row r="15" spans="1:9" ht="15.75" x14ac:dyDescent="0.25">
      <c r="A15" s="164"/>
      <c r="B15" s="165">
        <f>DATE(20,12,1)</f>
        <v>7641</v>
      </c>
      <c r="C15" s="226">
        <v>105823491.84</v>
      </c>
      <c r="D15" s="226">
        <v>10848180.109999999</v>
      </c>
      <c r="E15" s="226">
        <v>12792439.390000001</v>
      </c>
      <c r="F15" s="166">
        <f t="shared" si="0"/>
        <v>-0.15198502965117439</v>
      </c>
      <c r="G15" s="241">
        <f t="shared" si="1"/>
        <v>0.10251202187130549</v>
      </c>
      <c r="H15" s="242">
        <f t="shared" si="2"/>
        <v>0.89748797812869452</v>
      </c>
      <c r="I15" s="157"/>
    </row>
    <row r="16" spans="1:9" ht="15.75" x14ac:dyDescent="0.25">
      <c r="A16" s="164"/>
      <c r="B16" s="165">
        <f>DATE(21,1,1)</f>
        <v>7672</v>
      </c>
      <c r="C16" s="226">
        <v>115733589.67</v>
      </c>
      <c r="D16" s="226">
        <v>11373635.939999999</v>
      </c>
      <c r="E16" s="226">
        <v>10714900.529999999</v>
      </c>
      <c r="F16" s="166">
        <f t="shared" si="0"/>
        <v>6.1478443794755429E-2</v>
      </c>
      <c r="G16" s="241">
        <f t="shared" si="1"/>
        <v>9.8274286423073148E-2</v>
      </c>
      <c r="H16" s="242">
        <f t="shared" si="2"/>
        <v>0.90172571357692688</v>
      </c>
      <c r="I16" s="157"/>
    </row>
    <row r="17" spans="1:9" ht="15.75" x14ac:dyDescent="0.25">
      <c r="A17" s="164"/>
      <c r="B17" s="165">
        <f>DATE(21,2,1)</f>
        <v>7703</v>
      </c>
      <c r="C17" s="226">
        <v>100899847.06999999</v>
      </c>
      <c r="D17" s="226">
        <v>9994364.9199999999</v>
      </c>
      <c r="E17" s="226">
        <v>11908211.5</v>
      </c>
      <c r="F17" s="166">
        <f t="shared" si="0"/>
        <v>-0.16071654253033715</v>
      </c>
      <c r="G17" s="241">
        <f t="shared" si="1"/>
        <v>9.905232971330806E-2</v>
      </c>
      <c r="H17" s="242">
        <f t="shared" si="2"/>
        <v>0.90094767028669198</v>
      </c>
      <c r="I17" s="157"/>
    </row>
    <row r="18" spans="1:9" ht="15.75" x14ac:dyDescent="0.25">
      <c r="A18" s="164"/>
      <c r="B18" s="165">
        <f>DATE(21,3,1)</f>
        <v>7731</v>
      </c>
      <c r="C18" s="226">
        <v>144743304.49000001</v>
      </c>
      <c r="D18" s="226">
        <v>14258928.630000001</v>
      </c>
      <c r="E18" s="226">
        <v>5911698.1600000001</v>
      </c>
      <c r="F18" s="166">
        <f t="shared" si="0"/>
        <v>1.4119852272701285</v>
      </c>
      <c r="G18" s="241">
        <f t="shared" si="1"/>
        <v>9.8511835695896513E-2</v>
      </c>
      <c r="H18" s="242">
        <f t="shared" si="2"/>
        <v>0.9014881643041035</v>
      </c>
      <c r="I18" s="157"/>
    </row>
    <row r="19" spans="1:9" ht="15.75" thickBot="1" x14ac:dyDescent="0.25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SUM(C10:C19)</f>
        <v>1032147363.5699999</v>
      </c>
      <c r="D20" s="223">
        <f>SUM(D10:D19)</f>
        <v>101501486.67</v>
      </c>
      <c r="E20" s="223">
        <f>SUM(E10:E19)</f>
        <v>101257689.53</v>
      </c>
      <c r="F20" s="170">
        <f>(+D20-E20)/E20</f>
        <v>2.407690133278914E-3</v>
      </c>
      <c r="G20" s="236">
        <f>D20/C20</f>
        <v>9.8340111356701829E-2</v>
      </c>
      <c r="H20" s="237">
        <f>1-G20</f>
        <v>0.90165988864329816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48</v>
      </c>
      <c r="B22" s="165">
        <f>DATE(20,7,1)</f>
        <v>7488</v>
      </c>
      <c r="C22" s="226">
        <v>50404182.520000003</v>
      </c>
      <c r="D22" s="226">
        <v>5066109.03</v>
      </c>
      <c r="E22" s="226">
        <v>6237251.8300000001</v>
      </c>
      <c r="F22" s="166">
        <f t="shared" ref="F22:F30" si="3">(+D22-E22)/E22</f>
        <v>-0.1877658353262289</v>
      </c>
      <c r="G22" s="241">
        <f t="shared" ref="G22:G30" si="4">D22/C22</f>
        <v>0.10050969536089205</v>
      </c>
      <c r="H22" s="242">
        <f t="shared" ref="H22:H30" si="5">1-G22</f>
        <v>0.89949030463910795</v>
      </c>
      <c r="I22" s="157"/>
    </row>
    <row r="23" spans="1:9" ht="15.75" x14ac:dyDescent="0.25">
      <c r="A23" s="19"/>
      <c r="B23" s="165">
        <f>DATE(20,8,1)</f>
        <v>7519</v>
      </c>
      <c r="C23" s="226">
        <v>55094697.780000001</v>
      </c>
      <c r="D23" s="226">
        <v>5468550.7300000004</v>
      </c>
      <c r="E23" s="226">
        <v>6248302.3499999996</v>
      </c>
      <c r="F23" s="166">
        <f t="shared" si="3"/>
        <v>-0.12479415628790742</v>
      </c>
      <c r="G23" s="241">
        <f t="shared" si="4"/>
        <v>9.925729608022546E-2</v>
      </c>
      <c r="H23" s="242">
        <f t="shared" si="5"/>
        <v>0.90074270391977451</v>
      </c>
      <c r="I23" s="157"/>
    </row>
    <row r="24" spans="1:9" ht="15.75" x14ac:dyDescent="0.25">
      <c r="A24" s="19"/>
      <c r="B24" s="165">
        <f>DATE(20,9,1)</f>
        <v>7550</v>
      </c>
      <c r="C24" s="226">
        <v>55214801.950000003</v>
      </c>
      <c r="D24" s="226">
        <v>5506925.1600000001</v>
      </c>
      <c r="E24" s="226">
        <v>5841517.5999999996</v>
      </c>
      <c r="F24" s="166">
        <f t="shared" si="3"/>
        <v>-5.727834150495404E-2</v>
      </c>
      <c r="G24" s="241">
        <f t="shared" si="4"/>
        <v>9.9736392516391159E-2</v>
      </c>
      <c r="H24" s="242">
        <f t="shared" si="5"/>
        <v>0.90026360748360879</v>
      </c>
      <c r="I24" s="157"/>
    </row>
    <row r="25" spans="1:9" ht="15.75" x14ac:dyDescent="0.25">
      <c r="A25" s="19"/>
      <c r="B25" s="165">
        <f>DATE(20,10,1)</f>
        <v>7580</v>
      </c>
      <c r="C25" s="226">
        <v>53988473.469999999</v>
      </c>
      <c r="D25" s="226">
        <v>5104255.3899999997</v>
      </c>
      <c r="E25" s="226">
        <v>5457854.2400000002</v>
      </c>
      <c r="F25" s="166">
        <f t="shared" si="3"/>
        <v>-6.4787155253893433E-2</v>
      </c>
      <c r="G25" s="241">
        <f t="shared" si="4"/>
        <v>9.4543428660495518E-2</v>
      </c>
      <c r="H25" s="242">
        <f t="shared" si="5"/>
        <v>0.90545657133950452</v>
      </c>
      <c r="I25" s="157"/>
    </row>
    <row r="26" spans="1:9" ht="15.75" x14ac:dyDescent="0.25">
      <c r="A26" s="19"/>
      <c r="B26" s="165">
        <f>DATE(20,11,1)</f>
        <v>7611</v>
      </c>
      <c r="C26" s="226">
        <v>49119685.869999997</v>
      </c>
      <c r="D26" s="226">
        <v>4814628.37</v>
      </c>
      <c r="E26" s="226">
        <v>5836194.6699999999</v>
      </c>
      <c r="F26" s="166">
        <f t="shared" si="3"/>
        <v>-0.17503979181009735</v>
      </c>
      <c r="G26" s="241">
        <f t="shared" si="4"/>
        <v>9.8018305384573914E-2</v>
      </c>
      <c r="H26" s="242">
        <f t="shared" si="5"/>
        <v>0.9019816946154261</v>
      </c>
      <c r="I26" s="157"/>
    </row>
    <row r="27" spans="1:9" ht="15.75" x14ac:dyDescent="0.25">
      <c r="A27" s="19"/>
      <c r="B27" s="165">
        <f>DATE(20,12,1)</f>
        <v>7641</v>
      </c>
      <c r="C27" s="226">
        <v>52195306.520000003</v>
      </c>
      <c r="D27" s="226">
        <v>5255704.49</v>
      </c>
      <c r="E27" s="226">
        <v>5543658.9900000002</v>
      </c>
      <c r="F27" s="166">
        <f t="shared" si="3"/>
        <v>-5.1943039880236207E-2</v>
      </c>
      <c r="G27" s="241">
        <f t="shared" si="4"/>
        <v>0.10069304771658232</v>
      </c>
      <c r="H27" s="242">
        <f t="shared" si="5"/>
        <v>0.89930695228341773</v>
      </c>
      <c r="I27" s="157"/>
    </row>
    <row r="28" spans="1:9" ht="15.75" x14ac:dyDescent="0.25">
      <c r="A28" s="19"/>
      <c r="B28" s="165">
        <f>DATE(21,1,1)</f>
        <v>7672</v>
      </c>
      <c r="C28" s="226">
        <v>63984289.189999998</v>
      </c>
      <c r="D28" s="226">
        <v>6374309.2999999998</v>
      </c>
      <c r="E28" s="226">
        <v>5017454.9000000004</v>
      </c>
      <c r="F28" s="166">
        <f t="shared" si="3"/>
        <v>0.27042682536120044</v>
      </c>
      <c r="G28" s="241">
        <f t="shared" si="4"/>
        <v>9.9623038416065277E-2</v>
      </c>
      <c r="H28" s="242">
        <f t="shared" si="5"/>
        <v>0.90037696158393477</v>
      </c>
      <c r="I28" s="157"/>
    </row>
    <row r="29" spans="1:9" ht="15.75" x14ac:dyDescent="0.25">
      <c r="A29" s="19"/>
      <c r="B29" s="165">
        <f>DATE(21,2,1)</f>
        <v>7703</v>
      </c>
      <c r="C29" s="226">
        <v>52614630.200000003</v>
      </c>
      <c r="D29" s="226">
        <v>5505403.3499999996</v>
      </c>
      <c r="E29" s="226">
        <v>6113250.5700000003</v>
      </c>
      <c r="F29" s="166">
        <f t="shared" si="3"/>
        <v>-9.9431098568564094E-2</v>
      </c>
      <c r="G29" s="241">
        <f t="shared" si="4"/>
        <v>0.10463635929916693</v>
      </c>
      <c r="H29" s="242">
        <f t="shared" si="5"/>
        <v>0.89536364070083307</v>
      </c>
      <c r="I29" s="157"/>
    </row>
    <row r="30" spans="1:9" ht="15.75" x14ac:dyDescent="0.25">
      <c r="A30" s="19"/>
      <c r="B30" s="165">
        <f>DATE(21,3,1)</f>
        <v>7731</v>
      </c>
      <c r="C30" s="226">
        <v>79747979.609999999</v>
      </c>
      <c r="D30" s="226">
        <v>7970520.96</v>
      </c>
      <c r="E30" s="226">
        <v>3135575.4</v>
      </c>
      <c r="F30" s="166">
        <f t="shared" si="3"/>
        <v>1.5419643743856393</v>
      </c>
      <c r="G30" s="241">
        <f t="shared" si="4"/>
        <v>9.994636853471503E-2</v>
      </c>
      <c r="H30" s="242">
        <f t="shared" si="5"/>
        <v>0.90005363146528494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69" t="s">
        <v>14</v>
      </c>
      <c r="B32" s="155"/>
      <c r="C32" s="223">
        <f>SUM(C22:C31)</f>
        <v>512364047.11000001</v>
      </c>
      <c r="D32" s="223">
        <f>SUM(D22:D31)</f>
        <v>51066406.780000001</v>
      </c>
      <c r="E32" s="223">
        <f>SUM(E22:E31)</f>
        <v>49431060.550000004</v>
      </c>
      <c r="F32" s="170">
        <f>(+D32-E32)/E32</f>
        <v>3.3083373324467272E-2</v>
      </c>
      <c r="G32" s="236">
        <f>D32/C32</f>
        <v>9.9668208704418518E-2</v>
      </c>
      <c r="H32" s="237">
        <f>1-G32</f>
        <v>0.9003317912955815</v>
      </c>
      <c r="I32" s="157"/>
    </row>
    <row r="33" spans="1:9" ht="15.75" thickTop="1" x14ac:dyDescent="0.2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 x14ac:dyDescent="0.25">
      <c r="A34" s="19" t="s">
        <v>65</v>
      </c>
      <c r="B34" s="165">
        <f>DATE(20,7,1)</f>
        <v>7488</v>
      </c>
      <c r="C34" s="226">
        <v>28855708.969999999</v>
      </c>
      <c r="D34" s="226">
        <v>3105687.6</v>
      </c>
      <c r="E34" s="226">
        <v>2967073.27</v>
      </c>
      <c r="F34" s="166">
        <f t="shared" ref="F34:F42" si="6">(+D34-E34)/E34</f>
        <v>4.6717528482200267E-2</v>
      </c>
      <c r="G34" s="241">
        <f t="shared" ref="G34:G42" si="7">D34/C34</f>
        <v>0.10762818557772556</v>
      </c>
      <c r="H34" s="242">
        <f t="shared" ref="H34:H42" si="8">1-G34</f>
        <v>0.89237181442227442</v>
      </c>
      <c r="I34" s="157"/>
    </row>
    <row r="35" spans="1:9" ht="15.75" x14ac:dyDescent="0.25">
      <c r="A35" s="19"/>
      <c r="B35" s="165">
        <f>DATE(20,8,1)</f>
        <v>7519</v>
      </c>
      <c r="C35" s="226">
        <v>29064729.829999998</v>
      </c>
      <c r="D35" s="226">
        <v>3031801</v>
      </c>
      <c r="E35" s="226">
        <v>2916117.84</v>
      </c>
      <c r="F35" s="166">
        <f t="shared" si="6"/>
        <v>3.9670262433564807E-2</v>
      </c>
      <c r="G35" s="241">
        <f t="shared" si="7"/>
        <v>0.10431203103325046</v>
      </c>
      <c r="H35" s="242">
        <f t="shared" si="8"/>
        <v>0.89568796896674951</v>
      </c>
      <c r="I35" s="157"/>
    </row>
    <row r="36" spans="1:9" ht="15.75" x14ac:dyDescent="0.25">
      <c r="A36" s="19"/>
      <c r="B36" s="165">
        <f>DATE(20,9,1)</f>
        <v>7550</v>
      </c>
      <c r="C36" s="226">
        <v>27838192.809999999</v>
      </c>
      <c r="D36" s="226">
        <v>2818231.18</v>
      </c>
      <c r="E36" s="226">
        <v>2810959.49</v>
      </c>
      <c r="F36" s="166">
        <f t="shared" si="6"/>
        <v>2.5869067220175212E-3</v>
      </c>
      <c r="G36" s="241">
        <f t="shared" si="7"/>
        <v>0.10123613983259858</v>
      </c>
      <c r="H36" s="242">
        <f t="shared" si="8"/>
        <v>0.8987638601674014</v>
      </c>
      <c r="I36" s="157"/>
    </row>
    <row r="37" spans="1:9" ht="15.75" x14ac:dyDescent="0.25">
      <c r="A37" s="19"/>
      <c r="B37" s="165">
        <f>DATE(20,10,1)</f>
        <v>7580</v>
      </c>
      <c r="C37" s="226">
        <v>28682754.149999999</v>
      </c>
      <c r="D37" s="226">
        <v>2969140.93</v>
      </c>
      <c r="E37" s="226">
        <v>2793135.18</v>
      </c>
      <c r="F37" s="166">
        <f t="shared" si="6"/>
        <v>6.3013688438810181E-2</v>
      </c>
      <c r="G37" s="241">
        <f t="shared" si="7"/>
        <v>0.10351659099654488</v>
      </c>
      <c r="H37" s="242">
        <f t="shared" si="8"/>
        <v>0.89648340900345513</v>
      </c>
      <c r="I37" s="157"/>
    </row>
    <row r="38" spans="1:9" ht="15.75" x14ac:dyDescent="0.25">
      <c r="A38" s="19"/>
      <c r="B38" s="165">
        <f>DATE(20,11,1)</f>
        <v>7611</v>
      </c>
      <c r="C38" s="226">
        <v>25814394.190000001</v>
      </c>
      <c r="D38" s="226">
        <v>2745164.62</v>
      </c>
      <c r="E38" s="226">
        <v>2801393.45</v>
      </c>
      <c r="F38" s="166">
        <f t="shared" si="6"/>
        <v>-2.007173608548277E-2</v>
      </c>
      <c r="G38" s="241">
        <f t="shared" si="7"/>
        <v>0.10634239950761362</v>
      </c>
      <c r="H38" s="242">
        <f t="shared" si="8"/>
        <v>0.89365760049238641</v>
      </c>
      <c r="I38" s="157"/>
    </row>
    <row r="39" spans="1:9" ht="15.75" x14ac:dyDescent="0.25">
      <c r="A39" s="19"/>
      <c r="B39" s="165">
        <f>DATE(20,12,1)</f>
        <v>7641</v>
      </c>
      <c r="C39" s="226">
        <v>28285885.030000001</v>
      </c>
      <c r="D39" s="226">
        <v>2957388.53</v>
      </c>
      <c r="E39" s="226">
        <v>3071223.19</v>
      </c>
      <c r="F39" s="166">
        <f t="shared" si="6"/>
        <v>-3.7064925913118073E-2</v>
      </c>
      <c r="G39" s="241">
        <f t="shared" si="7"/>
        <v>0.10455350882121575</v>
      </c>
      <c r="H39" s="242">
        <f t="shared" si="8"/>
        <v>0.89544649117878428</v>
      </c>
      <c r="I39" s="157"/>
    </row>
    <row r="40" spans="1:9" ht="15.75" x14ac:dyDescent="0.25">
      <c r="A40" s="19"/>
      <c r="B40" s="165">
        <f>DATE(21,1,1)</f>
        <v>7672</v>
      </c>
      <c r="C40" s="226">
        <v>35752441.079999998</v>
      </c>
      <c r="D40" s="226">
        <v>3739186.99</v>
      </c>
      <c r="E40" s="226">
        <v>2879669.48</v>
      </c>
      <c r="F40" s="166">
        <f t="shared" si="6"/>
        <v>0.29847783433812697</v>
      </c>
      <c r="G40" s="241">
        <f t="shared" si="7"/>
        <v>0.10458550177407916</v>
      </c>
      <c r="H40" s="242">
        <f t="shared" si="8"/>
        <v>0.8954144982259209</v>
      </c>
      <c r="I40" s="157"/>
    </row>
    <row r="41" spans="1:9" ht="15.75" x14ac:dyDescent="0.25">
      <c r="A41" s="19"/>
      <c r="B41" s="165">
        <f>DATE(21,2,1)</f>
        <v>7703</v>
      </c>
      <c r="C41" s="226">
        <v>24947536.66</v>
      </c>
      <c r="D41" s="226">
        <v>2745767.52</v>
      </c>
      <c r="E41" s="226">
        <v>3109782.22</v>
      </c>
      <c r="F41" s="166">
        <f t="shared" si="6"/>
        <v>-0.11705472417293587</v>
      </c>
      <c r="G41" s="241">
        <f t="shared" si="7"/>
        <v>0.1100616689102803</v>
      </c>
      <c r="H41" s="242">
        <f t="shared" si="8"/>
        <v>0.88993833108971976</v>
      </c>
      <c r="I41" s="157"/>
    </row>
    <row r="42" spans="1:9" ht="15.75" x14ac:dyDescent="0.25">
      <c r="A42" s="19"/>
      <c r="B42" s="165">
        <f>DATE(21,3,1)</f>
        <v>7731</v>
      </c>
      <c r="C42" s="226">
        <v>46926675.240000002</v>
      </c>
      <c r="D42" s="226">
        <v>4916550.05</v>
      </c>
      <c r="E42" s="226">
        <v>1626583.08</v>
      </c>
      <c r="F42" s="166">
        <f t="shared" si="6"/>
        <v>2.0226246113417088</v>
      </c>
      <c r="G42" s="241">
        <f t="shared" si="7"/>
        <v>0.10477090108887926</v>
      </c>
      <c r="H42" s="242">
        <f t="shared" si="8"/>
        <v>0.89522909891112068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SUM(C34:C43)</f>
        <v>276168317.95999998</v>
      </c>
      <c r="D44" s="228">
        <f>SUM(D34:D43)</f>
        <v>29028918.420000002</v>
      </c>
      <c r="E44" s="228">
        <f>SUM(E34:E43)</f>
        <v>24975937.200000003</v>
      </c>
      <c r="F44" s="176">
        <f>(+D44-E44)/E44</f>
        <v>0.16227544085913215</v>
      </c>
      <c r="G44" s="245">
        <f>D44/C44</f>
        <v>0.10511313764891934</v>
      </c>
      <c r="H44" s="246">
        <f>1-G44</f>
        <v>0.89488686235108061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77" t="s">
        <v>59</v>
      </c>
      <c r="B46" s="165">
        <f>DATE(20,7,1)</f>
        <v>7488</v>
      </c>
      <c r="C46" s="226">
        <v>143439230.22</v>
      </c>
      <c r="D46" s="226">
        <v>12870761.890000001</v>
      </c>
      <c r="E46" s="226">
        <v>17279710.350000001</v>
      </c>
      <c r="F46" s="166">
        <f t="shared" ref="F46:F54" si="9">(+D46-E46)/E46</f>
        <v>-0.2551517572168101</v>
      </c>
      <c r="G46" s="241">
        <f t="shared" ref="G46:G54" si="10">D46/C46</f>
        <v>8.9729719479527764E-2</v>
      </c>
      <c r="H46" s="242">
        <f t="shared" ref="H46:H54" si="11">1-G46</f>
        <v>0.91027028052047221</v>
      </c>
      <c r="I46" s="157"/>
    </row>
    <row r="47" spans="1:9" ht="15.75" x14ac:dyDescent="0.25">
      <c r="A47" s="177"/>
      <c r="B47" s="165">
        <f>DATE(20,8,1)</f>
        <v>7519</v>
      </c>
      <c r="C47" s="226">
        <v>144700809.44999999</v>
      </c>
      <c r="D47" s="226">
        <v>13070251.67</v>
      </c>
      <c r="E47" s="226">
        <v>17467037.460000001</v>
      </c>
      <c r="F47" s="166">
        <f t="shared" si="9"/>
        <v>-0.25171903364086567</v>
      </c>
      <c r="G47" s="241">
        <f t="shared" si="10"/>
        <v>9.0326043922486166E-2</v>
      </c>
      <c r="H47" s="242">
        <f t="shared" si="11"/>
        <v>0.90967395607751378</v>
      </c>
      <c r="I47" s="157"/>
    </row>
    <row r="48" spans="1:9" ht="15.75" x14ac:dyDescent="0.25">
      <c r="A48" s="177"/>
      <c r="B48" s="165">
        <f>DATE(20,9,1)</f>
        <v>7550</v>
      </c>
      <c r="C48" s="226">
        <v>139818303.37</v>
      </c>
      <c r="D48" s="226">
        <v>12783360.18</v>
      </c>
      <c r="E48" s="226">
        <v>16156127.949999999</v>
      </c>
      <c r="F48" s="166">
        <f t="shared" si="9"/>
        <v>-0.20876089744015675</v>
      </c>
      <c r="G48" s="241">
        <f t="shared" si="10"/>
        <v>9.1428374339313084E-2</v>
      </c>
      <c r="H48" s="242">
        <f t="shared" si="11"/>
        <v>0.90857162566068694</v>
      </c>
      <c r="I48" s="157"/>
    </row>
    <row r="49" spans="1:9" ht="15.75" x14ac:dyDescent="0.25">
      <c r="A49" s="177"/>
      <c r="B49" s="165">
        <f>DATE(20,10,1)</f>
        <v>7580</v>
      </c>
      <c r="C49" s="226">
        <v>145940508.44</v>
      </c>
      <c r="D49" s="226">
        <v>13822122.460000001</v>
      </c>
      <c r="E49" s="226">
        <v>15798088.050000001</v>
      </c>
      <c r="F49" s="166">
        <f t="shared" si="9"/>
        <v>-0.12507624870466524</v>
      </c>
      <c r="G49" s="241">
        <f t="shared" si="10"/>
        <v>9.4710664007879905E-2</v>
      </c>
      <c r="H49" s="242">
        <f t="shared" si="11"/>
        <v>0.90528933599212014</v>
      </c>
      <c r="I49" s="157"/>
    </row>
    <row r="50" spans="1:9" ht="15.75" x14ac:dyDescent="0.25">
      <c r="A50" s="177"/>
      <c r="B50" s="165">
        <f>DATE(20,11,1)</f>
        <v>7611</v>
      </c>
      <c r="C50" s="226">
        <v>125885717.19</v>
      </c>
      <c r="D50" s="226">
        <v>11508836.74</v>
      </c>
      <c r="E50" s="226">
        <v>16997575.629999999</v>
      </c>
      <c r="F50" s="166">
        <f t="shared" si="9"/>
        <v>-0.3229130441586392</v>
      </c>
      <c r="G50" s="241">
        <f t="shared" si="10"/>
        <v>9.1422895280722352E-2</v>
      </c>
      <c r="H50" s="242">
        <f t="shared" si="11"/>
        <v>0.90857710471927766</v>
      </c>
      <c r="I50" s="157"/>
    </row>
    <row r="51" spans="1:9" ht="15.75" x14ac:dyDescent="0.25">
      <c r="A51" s="177"/>
      <c r="B51" s="165">
        <f>DATE(20,12,1)</f>
        <v>7641</v>
      </c>
      <c r="C51" s="226">
        <v>127434010.31</v>
      </c>
      <c r="D51" s="226">
        <v>12101151.109999999</v>
      </c>
      <c r="E51" s="226">
        <v>16683119.9</v>
      </c>
      <c r="F51" s="166">
        <f t="shared" si="9"/>
        <v>-0.27464699753191851</v>
      </c>
      <c r="G51" s="241">
        <f t="shared" si="10"/>
        <v>9.4960137255057392E-2</v>
      </c>
      <c r="H51" s="242">
        <f t="shared" si="11"/>
        <v>0.90503986274494264</v>
      </c>
      <c r="I51" s="157"/>
    </row>
    <row r="52" spans="1:9" ht="15.75" x14ac:dyDescent="0.25">
      <c r="A52" s="177"/>
      <c r="B52" s="165">
        <f>DATE(21,1,1)</f>
        <v>7672</v>
      </c>
      <c r="C52" s="226">
        <v>130447012.61</v>
      </c>
      <c r="D52" s="226">
        <v>12204646.310000001</v>
      </c>
      <c r="E52" s="226">
        <v>16201519.720000001</v>
      </c>
      <c r="F52" s="166">
        <f t="shared" si="9"/>
        <v>-0.24669743820797571</v>
      </c>
      <c r="G52" s="241">
        <f t="shared" si="10"/>
        <v>9.3560182527816657E-2</v>
      </c>
      <c r="H52" s="242">
        <f t="shared" si="11"/>
        <v>0.90643981747218338</v>
      </c>
      <c r="I52" s="157"/>
    </row>
    <row r="53" spans="1:9" ht="15.75" x14ac:dyDescent="0.25">
      <c r="A53" s="177"/>
      <c r="B53" s="165">
        <f>DATE(21,2,1)</f>
        <v>7703</v>
      </c>
      <c r="C53" s="226">
        <v>107999880.94</v>
      </c>
      <c r="D53" s="226">
        <v>10252818.6</v>
      </c>
      <c r="E53" s="226">
        <v>17277967.890000001</v>
      </c>
      <c r="F53" s="166">
        <f t="shared" si="9"/>
        <v>-0.40659580656275895</v>
      </c>
      <c r="G53" s="241">
        <f t="shared" si="10"/>
        <v>9.4933610211070663E-2</v>
      </c>
      <c r="H53" s="242">
        <f t="shared" si="11"/>
        <v>0.90506638978892928</v>
      </c>
      <c r="I53" s="157"/>
    </row>
    <row r="54" spans="1:9" ht="15.75" x14ac:dyDescent="0.25">
      <c r="A54" s="177"/>
      <c r="B54" s="165">
        <f>DATE(21,3,1)</f>
        <v>7731</v>
      </c>
      <c r="C54" s="226">
        <v>158129137.19999999</v>
      </c>
      <c r="D54" s="226">
        <v>14669876.65</v>
      </c>
      <c r="E54" s="226">
        <v>8020184.3399999999</v>
      </c>
      <c r="F54" s="166">
        <f t="shared" si="9"/>
        <v>0.82911963467413274</v>
      </c>
      <c r="G54" s="241">
        <f t="shared" si="10"/>
        <v>9.2771496194567246E-2</v>
      </c>
      <c r="H54" s="242">
        <f t="shared" si="11"/>
        <v>0.90722850380543274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8"/>
      <c r="C56" s="228">
        <f>SUM(C46:C55)</f>
        <v>1223794609.73</v>
      </c>
      <c r="D56" s="228">
        <f>SUM(D46:D55)</f>
        <v>113283825.61000001</v>
      </c>
      <c r="E56" s="228">
        <f>SUM(E46:E55)</f>
        <v>141881331.28999999</v>
      </c>
      <c r="F56" s="176">
        <f>(+D56-E56)/E56</f>
        <v>-0.2015593272207728</v>
      </c>
      <c r="G56" s="245">
        <f>D56/C56</f>
        <v>9.2567678194785716E-2</v>
      </c>
      <c r="H56" s="246">
        <f>1-G56</f>
        <v>0.90743232180521427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63</v>
      </c>
      <c r="B58" s="165">
        <f>DATE(20,7,1)</f>
        <v>7488</v>
      </c>
      <c r="C58" s="226">
        <v>129097611.84999999</v>
      </c>
      <c r="D58" s="226">
        <v>13388447.99</v>
      </c>
      <c r="E58" s="226">
        <v>11411946.24</v>
      </c>
      <c r="F58" s="166">
        <f t="shared" ref="F58:F66" si="12">(+D58-E58)/E58</f>
        <v>0.17319585182343095</v>
      </c>
      <c r="G58" s="241">
        <f t="shared" ref="G58:G66" si="13">D58/C58</f>
        <v>0.10370794469502807</v>
      </c>
      <c r="H58" s="242">
        <f t="shared" ref="H58:H66" si="14">1-G58</f>
        <v>0.89629205530497191</v>
      </c>
      <c r="I58" s="157"/>
    </row>
    <row r="59" spans="1:9" ht="15.75" x14ac:dyDescent="0.25">
      <c r="A59" s="164"/>
      <c r="B59" s="165">
        <f>DATE(20,8,1)</f>
        <v>7519</v>
      </c>
      <c r="C59" s="226">
        <v>126740821.34999999</v>
      </c>
      <c r="D59" s="226">
        <v>12503132.880000001</v>
      </c>
      <c r="E59" s="226">
        <v>12220877.76</v>
      </c>
      <c r="F59" s="166">
        <f t="shared" si="12"/>
        <v>2.3096141336414206E-2</v>
      </c>
      <c r="G59" s="241">
        <f t="shared" si="13"/>
        <v>9.8651190254417598E-2</v>
      </c>
      <c r="H59" s="242">
        <f t="shared" si="14"/>
        <v>0.9013488097455824</v>
      </c>
      <c r="I59" s="157"/>
    </row>
    <row r="60" spans="1:9" ht="15.75" x14ac:dyDescent="0.25">
      <c r="A60" s="164"/>
      <c r="B60" s="165">
        <f>DATE(20,9,1)</f>
        <v>7550</v>
      </c>
      <c r="C60" s="226">
        <v>113747305.23</v>
      </c>
      <c r="D60" s="226">
        <v>11218535.91</v>
      </c>
      <c r="E60" s="226">
        <v>11441376.58</v>
      </c>
      <c r="F60" s="166">
        <f t="shared" si="12"/>
        <v>-1.9476735901651436E-2</v>
      </c>
      <c r="G60" s="241">
        <f t="shared" si="13"/>
        <v>9.8626828014218265E-2</v>
      </c>
      <c r="H60" s="242">
        <f t="shared" si="14"/>
        <v>0.90137317198578171</v>
      </c>
      <c r="I60" s="157"/>
    </row>
    <row r="61" spans="1:9" ht="15.75" x14ac:dyDescent="0.25">
      <c r="A61" s="164"/>
      <c r="B61" s="165">
        <f>DATE(20,10,1)</f>
        <v>7580</v>
      </c>
      <c r="C61" s="226">
        <v>112893213.81</v>
      </c>
      <c r="D61" s="226">
        <v>11439504.380000001</v>
      </c>
      <c r="E61" s="226">
        <v>11451574.32</v>
      </c>
      <c r="F61" s="166">
        <f t="shared" si="12"/>
        <v>-1.0539983117360127E-3</v>
      </c>
      <c r="G61" s="241">
        <f t="shared" si="13"/>
        <v>0.10133031024568721</v>
      </c>
      <c r="H61" s="242">
        <f t="shared" si="14"/>
        <v>0.89866968975431283</v>
      </c>
      <c r="I61" s="157"/>
    </row>
    <row r="62" spans="1:9" ht="15.75" x14ac:dyDescent="0.25">
      <c r="A62" s="164"/>
      <c r="B62" s="165">
        <f>DATE(20,11,1)</f>
        <v>7611</v>
      </c>
      <c r="C62" s="226">
        <v>102860879.98999999</v>
      </c>
      <c r="D62" s="226">
        <v>10067796.140000001</v>
      </c>
      <c r="E62" s="226">
        <v>11824386.49</v>
      </c>
      <c r="F62" s="166">
        <f t="shared" si="12"/>
        <v>-0.14855657428700977</v>
      </c>
      <c r="G62" s="241">
        <f t="shared" si="13"/>
        <v>9.787779514407012E-2</v>
      </c>
      <c r="H62" s="242">
        <f t="shared" si="14"/>
        <v>0.90212220485592987</v>
      </c>
      <c r="I62" s="157"/>
    </row>
    <row r="63" spans="1:9" ht="15.75" x14ac:dyDescent="0.25">
      <c r="A63" s="164"/>
      <c r="B63" s="165">
        <f>DATE(20,12,1)</f>
        <v>7641</v>
      </c>
      <c r="C63" s="226">
        <v>108722235.14</v>
      </c>
      <c r="D63" s="226">
        <v>10607281.23</v>
      </c>
      <c r="E63" s="226">
        <v>12045926.43</v>
      </c>
      <c r="F63" s="166">
        <f t="shared" si="12"/>
        <v>-0.11943001713982736</v>
      </c>
      <c r="G63" s="241">
        <f t="shared" si="13"/>
        <v>9.7563126956883864E-2</v>
      </c>
      <c r="H63" s="242">
        <f t="shared" si="14"/>
        <v>0.90243687304311615</v>
      </c>
      <c r="I63" s="157"/>
    </row>
    <row r="64" spans="1:9" ht="15.75" x14ac:dyDescent="0.25">
      <c r="A64" s="164"/>
      <c r="B64" s="165">
        <f>DATE(21,1,1)</f>
        <v>7672</v>
      </c>
      <c r="C64" s="226">
        <v>120263557.15000001</v>
      </c>
      <c r="D64" s="226">
        <v>11913560.08</v>
      </c>
      <c r="E64" s="226">
        <v>10728742.130000001</v>
      </c>
      <c r="F64" s="166">
        <f t="shared" si="12"/>
        <v>0.11043400387888708</v>
      </c>
      <c r="G64" s="241">
        <f t="shared" si="13"/>
        <v>9.9062096301880426E-2</v>
      </c>
      <c r="H64" s="242">
        <f t="shared" si="14"/>
        <v>0.90093790369811955</v>
      </c>
      <c r="I64" s="157"/>
    </row>
    <row r="65" spans="1:9" ht="15.75" x14ac:dyDescent="0.25">
      <c r="A65" s="164"/>
      <c r="B65" s="165">
        <f>DATE(21,2,1)</f>
        <v>7703</v>
      </c>
      <c r="C65" s="226">
        <v>104791451.8</v>
      </c>
      <c r="D65" s="226">
        <v>10274207.17</v>
      </c>
      <c r="E65" s="226">
        <v>12303150.609999999</v>
      </c>
      <c r="F65" s="166">
        <f t="shared" si="12"/>
        <v>-0.16491250934950552</v>
      </c>
      <c r="G65" s="241">
        <f t="shared" si="13"/>
        <v>9.8044325119274661E-2</v>
      </c>
      <c r="H65" s="242">
        <f t="shared" si="14"/>
        <v>0.90195567488072537</v>
      </c>
      <c r="I65" s="157"/>
    </row>
    <row r="66" spans="1:9" ht="15.75" x14ac:dyDescent="0.25">
      <c r="A66" s="164"/>
      <c r="B66" s="165">
        <f>DATE(21,3,1)</f>
        <v>7731</v>
      </c>
      <c r="C66" s="226">
        <v>144941928.11000001</v>
      </c>
      <c r="D66" s="226">
        <v>14770804.859999999</v>
      </c>
      <c r="E66" s="226">
        <v>6157582.8700000001</v>
      </c>
      <c r="F66" s="166">
        <f t="shared" si="12"/>
        <v>1.3987991995956683</v>
      </c>
      <c r="G66" s="241">
        <f t="shared" si="13"/>
        <v>0.10190843362308573</v>
      </c>
      <c r="H66" s="242">
        <f t="shared" si="14"/>
        <v>0.89809156637691423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SUM(C58:C67)</f>
        <v>1064059004.4299999</v>
      </c>
      <c r="D68" s="230">
        <f>SUM(D58:D67)</f>
        <v>106183270.64</v>
      </c>
      <c r="E68" s="271">
        <f>SUM(E58:E67)</f>
        <v>99585563.429999992</v>
      </c>
      <c r="F68" s="272">
        <f>(+D68-E68)/E68</f>
        <v>6.6251643137387323E-2</v>
      </c>
      <c r="G68" s="249">
        <f>D68/C68</f>
        <v>9.9790773066086455E-2</v>
      </c>
      <c r="H68" s="270">
        <f>1-G68</f>
        <v>0.90020922693391359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68</v>
      </c>
      <c r="B70" s="165">
        <f>DATE(20,7,1)</f>
        <v>7488</v>
      </c>
      <c r="C70" s="226">
        <v>42751040.829999998</v>
      </c>
      <c r="D70" s="226">
        <v>4434379.57</v>
      </c>
      <c r="E70" s="226">
        <v>3906046.69</v>
      </c>
      <c r="F70" s="166">
        <f t="shared" ref="F70:F78" si="15">(+D70-E70)/E70</f>
        <v>0.13526025721930127</v>
      </c>
      <c r="G70" s="241">
        <f t="shared" ref="G70:G78" si="16">D70/C70</f>
        <v>0.10372565167789391</v>
      </c>
      <c r="H70" s="242">
        <f t="shared" ref="H70:H78" si="17">1-G70</f>
        <v>0.89627434832210606</v>
      </c>
      <c r="I70" s="157"/>
    </row>
    <row r="71" spans="1:9" ht="15.75" x14ac:dyDescent="0.25">
      <c r="A71" s="164"/>
      <c r="B71" s="165">
        <f>DATE(20,8,1)</f>
        <v>7519</v>
      </c>
      <c r="C71" s="226">
        <v>42673866.380000003</v>
      </c>
      <c r="D71" s="226">
        <v>4333573.3</v>
      </c>
      <c r="E71" s="226">
        <v>4670857.45</v>
      </c>
      <c r="F71" s="166">
        <f t="shared" si="15"/>
        <v>-7.2210328319910588E-2</v>
      </c>
      <c r="G71" s="241">
        <f t="shared" si="16"/>
        <v>0.1015509881717917</v>
      </c>
      <c r="H71" s="242">
        <f t="shared" si="17"/>
        <v>0.89844901182820824</v>
      </c>
      <c r="I71" s="157"/>
    </row>
    <row r="72" spans="1:9" ht="15.75" x14ac:dyDescent="0.25">
      <c r="A72" s="164"/>
      <c r="B72" s="165">
        <f>DATE(20,9,1)</f>
        <v>7550</v>
      </c>
      <c r="C72" s="226">
        <v>41605422.850000001</v>
      </c>
      <c r="D72" s="226">
        <v>4417017.5599999996</v>
      </c>
      <c r="E72" s="226">
        <v>4421418.32</v>
      </c>
      <c r="F72" s="166">
        <f t="shared" si="15"/>
        <v>-9.9532767123485097E-4</v>
      </c>
      <c r="G72" s="241">
        <f t="shared" si="16"/>
        <v>0.10616446745234796</v>
      </c>
      <c r="H72" s="242">
        <f t="shared" si="17"/>
        <v>0.89383553254765202</v>
      </c>
      <c r="I72" s="157"/>
    </row>
    <row r="73" spans="1:9" ht="15.75" x14ac:dyDescent="0.25">
      <c r="A73" s="164"/>
      <c r="B73" s="165">
        <f>DATE(20,10,1)</f>
        <v>7580</v>
      </c>
      <c r="C73" s="226">
        <v>43714895.32</v>
      </c>
      <c r="D73" s="226">
        <v>4440838.8899999997</v>
      </c>
      <c r="E73" s="226">
        <v>4469558.96</v>
      </c>
      <c r="F73" s="166">
        <f t="shared" si="15"/>
        <v>-6.4257055913186341E-3</v>
      </c>
      <c r="G73" s="241">
        <f t="shared" si="16"/>
        <v>0.10158640109949597</v>
      </c>
      <c r="H73" s="242">
        <f t="shared" si="17"/>
        <v>0.89841359890050398</v>
      </c>
      <c r="I73" s="157"/>
    </row>
    <row r="74" spans="1:9" ht="15.75" x14ac:dyDescent="0.25">
      <c r="A74" s="164"/>
      <c r="B74" s="165">
        <f>DATE(20,11,1)</f>
        <v>7611</v>
      </c>
      <c r="C74" s="226">
        <v>40694510.390000001</v>
      </c>
      <c r="D74" s="226">
        <v>4093288.05</v>
      </c>
      <c r="E74" s="226">
        <v>4362721.83</v>
      </c>
      <c r="F74" s="166">
        <f t="shared" si="15"/>
        <v>-6.1758184568920876E-2</v>
      </c>
      <c r="G74" s="241">
        <f t="shared" si="16"/>
        <v>0.10058575495248757</v>
      </c>
      <c r="H74" s="242">
        <f t="shared" si="17"/>
        <v>0.89941424504751244</v>
      </c>
      <c r="I74" s="157"/>
    </row>
    <row r="75" spans="1:9" ht="15.75" x14ac:dyDescent="0.25">
      <c r="A75" s="164"/>
      <c r="B75" s="165">
        <f>DATE(20,12,1)</f>
        <v>7641</v>
      </c>
      <c r="C75" s="226">
        <v>52442183.469999999</v>
      </c>
      <c r="D75" s="226">
        <v>5522096.1299999999</v>
      </c>
      <c r="E75" s="226">
        <v>4542091.8099999996</v>
      </c>
      <c r="F75" s="166">
        <f t="shared" si="15"/>
        <v>0.21576057045839422</v>
      </c>
      <c r="G75" s="241">
        <f t="shared" si="16"/>
        <v>0.105298745487189</v>
      </c>
      <c r="H75" s="242">
        <f t="shared" si="17"/>
        <v>0.89470125451281102</v>
      </c>
      <c r="I75" s="157"/>
    </row>
    <row r="76" spans="1:9" ht="15.75" x14ac:dyDescent="0.25">
      <c r="A76" s="164"/>
      <c r="B76" s="165">
        <f>DATE(21,1,1)</f>
        <v>7672</v>
      </c>
      <c r="C76" s="226">
        <v>59978368.890000001</v>
      </c>
      <c r="D76" s="226">
        <v>6125834.9299999997</v>
      </c>
      <c r="E76" s="226">
        <v>4236468.1100000003</v>
      </c>
      <c r="F76" s="166">
        <f t="shared" si="15"/>
        <v>0.44597687765906474</v>
      </c>
      <c r="G76" s="241">
        <f t="shared" si="16"/>
        <v>0.10213407005506847</v>
      </c>
      <c r="H76" s="242">
        <f t="shared" si="17"/>
        <v>0.89786592994493153</v>
      </c>
      <c r="I76" s="157"/>
    </row>
    <row r="77" spans="1:9" ht="15.75" x14ac:dyDescent="0.25">
      <c r="A77" s="164"/>
      <c r="B77" s="165">
        <f>DATE(21,2,1)</f>
        <v>7703</v>
      </c>
      <c r="C77" s="226">
        <v>42746282.32</v>
      </c>
      <c r="D77" s="226">
        <v>4347455.3600000003</v>
      </c>
      <c r="E77" s="226">
        <v>5084258.8</v>
      </c>
      <c r="F77" s="166">
        <f t="shared" si="15"/>
        <v>-0.14491855528676068</v>
      </c>
      <c r="G77" s="241">
        <f t="shared" si="16"/>
        <v>0.10170370670962246</v>
      </c>
      <c r="H77" s="242">
        <f t="shared" si="17"/>
        <v>0.89829629329037752</v>
      </c>
      <c r="I77" s="157"/>
    </row>
    <row r="78" spans="1:9" ht="15.75" x14ac:dyDescent="0.25">
      <c r="A78" s="164"/>
      <c r="B78" s="165">
        <f>DATE(21,3,1)</f>
        <v>7731</v>
      </c>
      <c r="C78" s="226">
        <v>67210766.420000002</v>
      </c>
      <c r="D78" s="226">
        <v>7137031.1200000001</v>
      </c>
      <c r="E78" s="226">
        <v>2617038.5499999998</v>
      </c>
      <c r="F78" s="166">
        <f t="shared" si="15"/>
        <v>1.7271402326113998</v>
      </c>
      <c r="G78" s="241">
        <f t="shared" si="16"/>
        <v>0.1061888072425882</v>
      </c>
      <c r="H78" s="242">
        <f t="shared" si="17"/>
        <v>0.89381119275741183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SUM(C70:C79)</f>
        <v>433817336.87</v>
      </c>
      <c r="D80" s="230">
        <f>SUM(D70:D79)</f>
        <v>44851514.909999996</v>
      </c>
      <c r="E80" s="271">
        <f>SUM(E70:E79)</f>
        <v>38310460.519999996</v>
      </c>
      <c r="F80" s="272">
        <f>(+D80-E80)/E80</f>
        <v>0.17073807783086398</v>
      </c>
      <c r="G80" s="249">
        <f>D80/C80</f>
        <v>0.1033880186384539</v>
      </c>
      <c r="H80" s="270">
        <f>1-G80</f>
        <v>0.89661198136154607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66</v>
      </c>
      <c r="B82" s="165">
        <f>DATE(20,7,1)</f>
        <v>7488</v>
      </c>
      <c r="C82" s="226">
        <v>39014288.030000001</v>
      </c>
      <c r="D82" s="226">
        <v>4303428.05</v>
      </c>
      <c r="E82" s="226">
        <v>4987956.2</v>
      </c>
      <c r="F82" s="166">
        <f t="shared" ref="F82:F90" si="18">(+D82-E82)/E82</f>
        <v>-0.13723619906686438</v>
      </c>
      <c r="G82" s="241">
        <f t="shared" ref="G82:G90" si="19">D82/C82</f>
        <v>0.11030389806654636</v>
      </c>
      <c r="H82" s="242">
        <f t="shared" ref="H82:H90" si="20">1-G82</f>
        <v>0.88969610193345361</v>
      </c>
      <c r="I82" s="157"/>
    </row>
    <row r="83" spans="1:9" ht="15.75" x14ac:dyDescent="0.25">
      <c r="A83" s="164"/>
      <c r="B83" s="165">
        <f>DATE(20,8,1)</f>
        <v>7519</v>
      </c>
      <c r="C83" s="226">
        <v>37294361.380000003</v>
      </c>
      <c r="D83" s="226">
        <v>4134795.6</v>
      </c>
      <c r="E83" s="226">
        <v>5297182</v>
      </c>
      <c r="F83" s="166">
        <f t="shared" si="18"/>
        <v>-0.21943486178122631</v>
      </c>
      <c r="G83" s="241">
        <f t="shared" si="19"/>
        <v>0.11086918898730315</v>
      </c>
      <c r="H83" s="242">
        <f t="shared" si="20"/>
        <v>0.88913081101269686</v>
      </c>
      <c r="I83" s="157"/>
    </row>
    <row r="84" spans="1:9" ht="15.75" x14ac:dyDescent="0.25">
      <c r="A84" s="164"/>
      <c r="B84" s="165">
        <f>DATE(20,9,1)</f>
        <v>7550</v>
      </c>
      <c r="C84" s="226">
        <v>46478172.090000004</v>
      </c>
      <c r="D84" s="226">
        <v>5078159.95</v>
      </c>
      <c r="E84" s="226">
        <v>4757922.75</v>
      </c>
      <c r="F84" s="166">
        <f t="shared" si="18"/>
        <v>6.7306094870918237E-2</v>
      </c>
      <c r="G84" s="241">
        <f t="shared" si="19"/>
        <v>0.10925902895162674</v>
      </c>
      <c r="H84" s="242">
        <f t="shared" si="20"/>
        <v>0.89074097104837324</v>
      </c>
      <c r="I84" s="157"/>
    </row>
    <row r="85" spans="1:9" ht="15.75" x14ac:dyDescent="0.25">
      <c r="A85" s="164"/>
      <c r="B85" s="165">
        <f>DATE(20,10,1)</f>
        <v>7580</v>
      </c>
      <c r="C85" s="226">
        <v>52985429.619999997</v>
      </c>
      <c r="D85" s="226">
        <v>5823943.8200000003</v>
      </c>
      <c r="E85" s="226">
        <v>5100767.21</v>
      </c>
      <c r="F85" s="166">
        <f t="shared" si="18"/>
        <v>0.14177800715590788</v>
      </c>
      <c r="G85" s="241">
        <f t="shared" si="19"/>
        <v>0.10991594975766096</v>
      </c>
      <c r="H85" s="242">
        <f t="shared" si="20"/>
        <v>0.89008405024233905</v>
      </c>
      <c r="I85" s="157"/>
    </row>
    <row r="86" spans="1:9" ht="15.75" x14ac:dyDescent="0.25">
      <c r="A86" s="164"/>
      <c r="B86" s="165">
        <f>DATE(20,11,1)</f>
        <v>7611</v>
      </c>
      <c r="C86" s="226">
        <v>49334744.450000003</v>
      </c>
      <c r="D86" s="226">
        <v>5498815.8099999996</v>
      </c>
      <c r="E86" s="226">
        <v>5049815.8600000003</v>
      </c>
      <c r="F86" s="166">
        <f t="shared" si="18"/>
        <v>8.8914123296368913E-2</v>
      </c>
      <c r="G86" s="241">
        <f t="shared" si="19"/>
        <v>0.11145929448510601</v>
      </c>
      <c r="H86" s="242">
        <f t="shared" si="20"/>
        <v>0.88854070551489395</v>
      </c>
      <c r="I86" s="157"/>
    </row>
    <row r="87" spans="1:9" ht="15.75" x14ac:dyDescent="0.25">
      <c r="A87" s="164"/>
      <c r="B87" s="165">
        <f>DATE(20,12,1)</f>
        <v>7641</v>
      </c>
      <c r="C87" s="226">
        <v>53542414.659999996</v>
      </c>
      <c r="D87" s="226">
        <v>6073396.25</v>
      </c>
      <c r="E87" s="226">
        <v>5055651.33</v>
      </c>
      <c r="F87" s="166">
        <f t="shared" si="18"/>
        <v>0.20130836831265417</v>
      </c>
      <c r="G87" s="241">
        <f t="shared" si="19"/>
        <v>0.11343149703962194</v>
      </c>
      <c r="H87" s="242">
        <f t="shared" si="20"/>
        <v>0.88656850296037804</v>
      </c>
      <c r="I87" s="157"/>
    </row>
    <row r="88" spans="1:9" ht="15.75" x14ac:dyDescent="0.25">
      <c r="A88" s="164"/>
      <c r="B88" s="165">
        <f>DATE(21,1,1)</f>
        <v>7672</v>
      </c>
      <c r="C88" s="226">
        <v>59260434.829999998</v>
      </c>
      <c r="D88" s="226">
        <v>6544399.04</v>
      </c>
      <c r="E88" s="226">
        <v>4906027.53</v>
      </c>
      <c r="F88" s="166">
        <f t="shared" si="18"/>
        <v>0.33395073712519502</v>
      </c>
      <c r="G88" s="241">
        <f t="shared" si="19"/>
        <v>0.11043454302645386</v>
      </c>
      <c r="H88" s="242">
        <f t="shared" si="20"/>
        <v>0.88956545697354616</v>
      </c>
      <c r="I88" s="157"/>
    </row>
    <row r="89" spans="1:9" ht="15.75" x14ac:dyDescent="0.25">
      <c r="A89" s="164"/>
      <c r="B89" s="165">
        <f>DATE(21,2,1)</f>
        <v>7703</v>
      </c>
      <c r="C89" s="226">
        <v>52435422.130000003</v>
      </c>
      <c r="D89" s="226">
        <v>5959695.79</v>
      </c>
      <c r="E89" s="226">
        <v>5504597.8499999996</v>
      </c>
      <c r="F89" s="166">
        <f t="shared" si="18"/>
        <v>8.267596514793546E-2</v>
      </c>
      <c r="G89" s="241">
        <f t="shared" si="19"/>
        <v>0.1136578203799806</v>
      </c>
      <c r="H89" s="242">
        <f t="shared" si="20"/>
        <v>0.88634217962001938</v>
      </c>
      <c r="I89" s="157"/>
    </row>
    <row r="90" spans="1:9" ht="15.75" x14ac:dyDescent="0.25">
      <c r="A90" s="164"/>
      <c r="B90" s="165">
        <f>DATE(21,3,1)</f>
        <v>7731</v>
      </c>
      <c r="C90" s="226">
        <v>84343190.430000007</v>
      </c>
      <c r="D90" s="226">
        <v>9308574.8499999996</v>
      </c>
      <c r="E90" s="226">
        <v>3138283.15</v>
      </c>
      <c r="F90" s="166">
        <f t="shared" si="18"/>
        <v>1.9661360702905344</v>
      </c>
      <c r="G90" s="241">
        <f t="shared" si="19"/>
        <v>0.11036545810684718</v>
      </c>
      <c r="H90" s="242">
        <f t="shared" si="20"/>
        <v>0.88963454189315283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SUM(C82:C91)</f>
        <v>474688457.62</v>
      </c>
      <c r="D92" s="230">
        <f>SUM(D82:D91)</f>
        <v>52725209.160000004</v>
      </c>
      <c r="E92" s="271">
        <f>SUM(E82:E91)</f>
        <v>43798203.880000003</v>
      </c>
      <c r="F92" s="272">
        <f>(+D92-E92)/E92</f>
        <v>0.20382126409700618</v>
      </c>
      <c r="G92" s="249">
        <f>D92/C92</f>
        <v>0.11107329094192522</v>
      </c>
      <c r="H92" s="270">
        <f>1-G92</f>
        <v>0.8889267090580748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60</v>
      </c>
      <c r="B94" s="165">
        <f>DATE(20,7,1)</f>
        <v>7488</v>
      </c>
      <c r="C94" s="226">
        <v>111521100.17</v>
      </c>
      <c r="D94" s="226">
        <v>10751795.77</v>
      </c>
      <c r="E94" s="226">
        <v>10859844.9</v>
      </c>
      <c r="F94" s="166">
        <f t="shared" ref="F94:F102" si="21">(+D94-E94)/E94</f>
        <v>-9.9494174175545382E-3</v>
      </c>
      <c r="G94" s="241">
        <f t="shared" ref="G94:G102" si="22">D94/C94</f>
        <v>9.6410416984859623E-2</v>
      </c>
      <c r="H94" s="242">
        <f t="shared" ref="H94:H102" si="23">1-G94</f>
        <v>0.90358958301514036</v>
      </c>
      <c r="I94" s="157"/>
    </row>
    <row r="95" spans="1:9" ht="15.75" x14ac:dyDescent="0.25">
      <c r="A95" s="164"/>
      <c r="B95" s="165">
        <f>DATE(20,8,1)</f>
        <v>7519</v>
      </c>
      <c r="C95" s="226">
        <v>112369794.01000001</v>
      </c>
      <c r="D95" s="226">
        <v>11312353.68</v>
      </c>
      <c r="E95" s="226">
        <v>10606265.73</v>
      </c>
      <c r="F95" s="166">
        <f t="shared" si="21"/>
        <v>6.6572719180777992E-2</v>
      </c>
      <c r="G95" s="241">
        <f t="shared" si="22"/>
        <v>0.10067076993122628</v>
      </c>
      <c r="H95" s="242">
        <f t="shared" si="23"/>
        <v>0.89932923006877374</v>
      </c>
      <c r="I95" s="157"/>
    </row>
    <row r="96" spans="1:9" ht="15.75" x14ac:dyDescent="0.25">
      <c r="A96" s="164"/>
      <c r="B96" s="165">
        <f>DATE(20,9,1)</f>
        <v>7550</v>
      </c>
      <c r="C96" s="226">
        <v>112239380.63</v>
      </c>
      <c r="D96" s="226">
        <v>10956999.039999999</v>
      </c>
      <c r="E96" s="226">
        <v>10294221.539999999</v>
      </c>
      <c r="F96" s="166">
        <f t="shared" si="21"/>
        <v>6.4383450212788018E-2</v>
      </c>
      <c r="G96" s="241">
        <f t="shared" si="22"/>
        <v>9.7621699072984264E-2</v>
      </c>
      <c r="H96" s="242">
        <f t="shared" si="23"/>
        <v>0.90237830092701576</v>
      </c>
      <c r="I96" s="157"/>
    </row>
    <row r="97" spans="1:9" ht="15.75" x14ac:dyDescent="0.25">
      <c r="A97" s="164"/>
      <c r="B97" s="165">
        <f>DATE(20,10,1)</f>
        <v>7580</v>
      </c>
      <c r="C97" s="226">
        <v>107780626.91</v>
      </c>
      <c r="D97" s="226">
        <v>10410650.699999999</v>
      </c>
      <c r="E97" s="226">
        <v>9880729.3699999992</v>
      </c>
      <c r="F97" s="166">
        <f t="shared" si="21"/>
        <v>5.3631802891895231E-2</v>
      </c>
      <c r="G97" s="241">
        <f t="shared" si="22"/>
        <v>9.6591112878692015E-2</v>
      </c>
      <c r="H97" s="242">
        <f t="shared" si="23"/>
        <v>0.90340888712130796</v>
      </c>
      <c r="I97" s="157"/>
    </row>
    <row r="98" spans="1:9" ht="15.75" x14ac:dyDescent="0.25">
      <c r="A98" s="164"/>
      <c r="B98" s="165">
        <f>DATE(20,11,1)</f>
        <v>7611</v>
      </c>
      <c r="C98" s="226">
        <v>99400505.129999995</v>
      </c>
      <c r="D98" s="226">
        <v>9890840.5199999996</v>
      </c>
      <c r="E98" s="226">
        <v>10205648.99</v>
      </c>
      <c r="F98" s="166">
        <f t="shared" si="21"/>
        <v>-3.0846492007364314E-2</v>
      </c>
      <c r="G98" s="241">
        <f t="shared" si="22"/>
        <v>9.9504932163718474E-2</v>
      </c>
      <c r="H98" s="242">
        <f t="shared" si="23"/>
        <v>0.90049506783628153</v>
      </c>
      <c r="I98" s="157"/>
    </row>
    <row r="99" spans="1:9" ht="15.75" x14ac:dyDescent="0.25">
      <c r="A99" s="164"/>
      <c r="B99" s="165">
        <f>DATE(20,12,1)</f>
        <v>7641</v>
      </c>
      <c r="C99" s="226">
        <v>128044113.2</v>
      </c>
      <c r="D99" s="226">
        <v>12890871.199999999</v>
      </c>
      <c r="E99" s="226">
        <v>10750579.369999999</v>
      </c>
      <c r="F99" s="166">
        <f t="shared" si="21"/>
        <v>0.19908618469183026</v>
      </c>
      <c r="G99" s="241">
        <f t="shared" si="22"/>
        <v>0.1006752351032722</v>
      </c>
      <c r="H99" s="242">
        <f t="shared" si="23"/>
        <v>0.89932476489672775</v>
      </c>
      <c r="I99" s="157"/>
    </row>
    <row r="100" spans="1:9" ht="15.75" x14ac:dyDescent="0.25">
      <c r="A100" s="164"/>
      <c r="B100" s="165">
        <f>DATE(21,1,1)</f>
        <v>7672</v>
      </c>
      <c r="C100" s="226">
        <v>144402324.74000001</v>
      </c>
      <c r="D100" s="226">
        <v>14761434.99</v>
      </c>
      <c r="E100" s="226">
        <v>10353140.800000001</v>
      </c>
      <c r="F100" s="166">
        <f t="shared" si="21"/>
        <v>0.42579293329034984</v>
      </c>
      <c r="G100" s="241">
        <f t="shared" si="22"/>
        <v>0.10222435834449571</v>
      </c>
      <c r="H100" s="242">
        <f t="shared" si="23"/>
        <v>0.89777564165550428</v>
      </c>
      <c r="I100" s="157"/>
    </row>
    <row r="101" spans="1:9" ht="15.75" x14ac:dyDescent="0.25">
      <c r="A101" s="164"/>
      <c r="B101" s="165">
        <f>DATE(21,2,1)</f>
        <v>7703</v>
      </c>
      <c r="C101" s="226">
        <v>101917238.25</v>
      </c>
      <c r="D101" s="226">
        <v>10549814.82</v>
      </c>
      <c r="E101" s="226">
        <v>11744098.83</v>
      </c>
      <c r="F101" s="166">
        <f t="shared" si="21"/>
        <v>-0.1016922649653826</v>
      </c>
      <c r="G101" s="241">
        <f t="shared" si="22"/>
        <v>0.10351354688518555</v>
      </c>
      <c r="H101" s="242">
        <f t="shared" si="23"/>
        <v>0.89648645311481445</v>
      </c>
      <c r="I101" s="157"/>
    </row>
    <row r="102" spans="1:9" ht="15.75" x14ac:dyDescent="0.25">
      <c r="A102" s="164"/>
      <c r="B102" s="165">
        <f>DATE(21,3,1)</f>
        <v>7731</v>
      </c>
      <c r="C102" s="226">
        <v>151662191.69999999</v>
      </c>
      <c r="D102" s="226">
        <v>15700425.039999999</v>
      </c>
      <c r="E102" s="226">
        <v>6268299.54</v>
      </c>
      <c r="F102" s="166">
        <f t="shared" si="21"/>
        <v>1.5047343286342056</v>
      </c>
      <c r="G102" s="241">
        <f t="shared" si="22"/>
        <v>0.10352234043311666</v>
      </c>
      <c r="H102" s="242">
        <f t="shared" si="23"/>
        <v>0.8964776595668833</v>
      </c>
      <c r="I102" s="157"/>
    </row>
    <row r="103" spans="1:9" ht="15.75" thickBot="1" x14ac:dyDescent="0.25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SUM(C94:C103)</f>
        <v>1069337274.74</v>
      </c>
      <c r="D104" s="230">
        <f>SUM(D94:D103)</f>
        <v>107225185.75999999</v>
      </c>
      <c r="E104" s="271">
        <f>SUM(E94:E103)</f>
        <v>90962829.070000008</v>
      </c>
      <c r="F104" s="176">
        <f>(+D104-E104)/E104</f>
        <v>0.17878024305384527</v>
      </c>
      <c r="G104" s="249">
        <f>D104/C104</f>
        <v>0.10027255973665639</v>
      </c>
      <c r="H104" s="270">
        <f>1-G104</f>
        <v>0.89972744026334361</v>
      </c>
      <c r="I104" s="157"/>
    </row>
    <row r="105" spans="1:9" ht="15.75" thickTop="1" x14ac:dyDescent="0.2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 x14ac:dyDescent="0.25">
      <c r="A106" s="164" t="s">
        <v>16</v>
      </c>
      <c r="B106" s="165">
        <f>DATE(20,7,1)</f>
        <v>7488</v>
      </c>
      <c r="C106" s="226">
        <v>122917916.14</v>
      </c>
      <c r="D106" s="226">
        <v>12124639.109999999</v>
      </c>
      <c r="E106" s="226">
        <v>13562944.539999999</v>
      </c>
      <c r="F106" s="166">
        <f t="shared" ref="F106:F114" si="24">(+D106-E106)/E106</f>
        <v>-0.10604669404627676</v>
      </c>
      <c r="G106" s="241">
        <f t="shared" ref="G106:G114" si="25">D106/C106</f>
        <v>9.8640129045064362E-2</v>
      </c>
      <c r="H106" s="242">
        <f t="shared" ref="H106:H114" si="26">1-G106</f>
        <v>0.90135987095493564</v>
      </c>
      <c r="I106" s="157"/>
    </row>
    <row r="107" spans="1:9" ht="15.75" x14ac:dyDescent="0.25">
      <c r="A107" s="164"/>
      <c r="B107" s="165">
        <f>DATE(20,8,1)</f>
        <v>7519</v>
      </c>
      <c r="C107" s="226">
        <v>129077535.78</v>
      </c>
      <c r="D107" s="226">
        <v>12772714.18</v>
      </c>
      <c r="E107" s="226">
        <v>13870661.279999999</v>
      </c>
      <c r="F107" s="166">
        <f t="shared" si="24"/>
        <v>-7.9156074669858828E-2</v>
      </c>
      <c r="G107" s="241">
        <f t="shared" si="25"/>
        <v>9.8953811775349024E-2</v>
      </c>
      <c r="H107" s="242">
        <f t="shared" si="26"/>
        <v>0.90104618822465099</v>
      </c>
      <c r="I107" s="157"/>
    </row>
    <row r="108" spans="1:9" ht="15.75" x14ac:dyDescent="0.25">
      <c r="A108" s="164"/>
      <c r="B108" s="165">
        <f>DATE(20,9,1)</f>
        <v>7550</v>
      </c>
      <c r="C108" s="226">
        <v>120244266.26000001</v>
      </c>
      <c r="D108" s="226">
        <v>12144964.720000001</v>
      </c>
      <c r="E108" s="226">
        <v>12786419.43</v>
      </c>
      <c r="F108" s="166">
        <f t="shared" si="24"/>
        <v>-5.0166875372083662E-2</v>
      </c>
      <c r="G108" s="241">
        <f t="shared" si="25"/>
        <v>0.10100244359044418</v>
      </c>
      <c r="H108" s="242">
        <f t="shared" si="26"/>
        <v>0.89899755640955581</v>
      </c>
      <c r="I108" s="157"/>
    </row>
    <row r="109" spans="1:9" ht="15.75" x14ac:dyDescent="0.25">
      <c r="A109" s="164"/>
      <c r="B109" s="165">
        <f>DATE(20,10,1)</f>
        <v>7580</v>
      </c>
      <c r="C109" s="226">
        <v>126651805.83</v>
      </c>
      <c r="D109" s="226">
        <v>12789406.33</v>
      </c>
      <c r="E109" s="226">
        <v>13251508.66</v>
      </c>
      <c r="F109" s="166">
        <f t="shared" si="24"/>
        <v>-3.4871677018547112E-2</v>
      </c>
      <c r="G109" s="241">
        <f t="shared" si="25"/>
        <v>0.10098084465662292</v>
      </c>
      <c r="H109" s="242">
        <f t="shared" si="26"/>
        <v>0.89901915534337706</v>
      </c>
      <c r="I109" s="157"/>
    </row>
    <row r="110" spans="1:9" ht="15.75" x14ac:dyDescent="0.25">
      <c r="A110" s="164"/>
      <c r="B110" s="165">
        <f>DATE(20,11,1)</f>
        <v>7611</v>
      </c>
      <c r="C110" s="226">
        <v>115007879.84</v>
      </c>
      <c r="D110" s="226">
        <v>11020143.83</v>
      </c>
      <c r="E110" s="226">
        <v>13769145.800000001</v>
      </c>
      <c r="F110" s="166">
        <f t="shared" si="24"/>
        <v>-0.19964941979189446</v>
      </c>
      <c r="G110" s="241">
        <f t="shared" si="25"/>
        <v>9.5820771979548913E-2</v>
      </c>
      <c r="H110" s="242">
        <f t="shared" si="26"/>
        <v>0.90417922802045103</v>
      </c>
      <c r="I110" s="157"/>
    </row>
    <row r="111" spans="1:9" ht="15.75" x14ac:dyDescent="0.25">
      <c r="A111" s="164"/>
      <c r="B111" s="165">
        <f>DATE(20,12,1)</f>
        <v>7641</v>
      </c>
      <c r="C111" s="226">
        <v>128013467.42</v>
      </c>
      <c r="D111" s="226">
        <v>12188714.869999999</v>
      </c>
      <c r="E111" s="226">
        <v>13980639.65</v>
      </c>
      <c r="F111" s="166">
        <f t="shared" si="24"/>
        <v>-0.12817187373826641</v>
      </c>
      <c r="G111" s="241">
        <f t="shared" si="25"/>
        <v>9.5214317021895714E-2</v>
      </c>
      <c r="H111" s="242">
        <f t="shared" si="26"/>
        <v>0.90478568297810424</v>
      </c>
      <c r="I111" s="157"/>
    </row>
    <row r="112" spans="1:9" ht="15.75" x14ac:dyDescent="0.25">
      <c r="A112" s="164"/>
      <c r="B112" s="165">
        <f>DATE(21,1,1)</f>
        <v>7672</v>
      </c>
      <c r="C112" s="226">
        <v>143529356.00999999</v>
      </c>
      <c r="D112" s="226">
        <v>13712800.539999999</v>
      </c>
      <c r="E112" s="226">
        <v>12433682.390000001</v>
      </c>
      <c r="F112" s="166">
        <f t="shared" si="24"/>
        <v>0.10287524724201987</v>
      </c>
      <c r="G112" s="241">
        <f t="shared" si="25"/>
        <v>9.554004087529383E-2</v>
      </c>
      <c r="H112" s="242">
        <f t="shared" si="26"/>
        <v>0.90445995912470623</v>
      </c>
      <c r="I112" s="157"/>
    </row>
    <row r="113" spans="1:9" ht="15.75" x14ac:dyDescent="0.25">
      <c r="A113" s="164"/>
      <c r="B113" s="165">
        <f>DATE(21,2,1)</f>
        <v>7703</v>
      </c>
      <c r="C113" s="226">
        <v>124003301.5</v>
      </c>
      <c r="D113" s="226">
        <v>11801663.460000001</v>
      </c>
      <c r="E113" s="226">
        <v>14388741.640000001</v>
      </c>
      <c r="F113" s="166">
        <f t="shared" si="24"/>
        <v>-0.17979877912381501</v>
      </c>
      <c r="G113" s="241">
        <f t="shared" si="25"/>
        <v>9.5172171363518104E-2</v>
      </c>
      <c r="H113" s="242">
        <f t="shared" si="26"/>
        <v>0.90482782863648192</v>
      </c>
      <c r="I113" s="157"/>
    </row>
    <row r="114" spans="1:9" ht="15.75" x14ac:dyDescent="0.25">
      <c r="A114" s="164"/>
      <c r="B114" s="165">
        <f>DATE(21,3,1)</f>
        <v>7731</v>
      </c>
      <c r="C114" s="226">
        <v>183210464.84</v>
      </c>
      <c r="D114" s="226">
        <v>17750671.77</v>
      </c>
      <c r="E114" s="226">
        <v>7191924.8700000001</v>
      </c>
      <c r="F114" s="166">
        <f t="shared" si="24"/>
        <v>1.468139210414193</v>
      </c>
      <c r="G114" s="241">
        <f t="shared" si="25"/>
        <v>9.6886778741060914E-2</v>
      </c>
      <c r="H114" s="242">
        <f t="shared" si="26"/>
        <v>0.90311322125893911</v>
      </c>
      <c r="I114" s="157"/>
    </row>
    <row r="115" spans="1:9" ht="15.75" customHeight="1" thickBot="1" x14ac:dyDescent="0.3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81"/>
      <c r="C116" s="228">
        <f>SUM(C106:C115)</f>
        <v>1192655993.6199999</v>
      </c>
      <c r="D116" s="228">
        <f>SUM(D106:D115)</f>
        <v>116305718.80999999</v>
      </c>
      <c r="E116" s="228">
        <f>SUM(E106:E115)</f>
        <v>115235668.26000001</v>
      </c>
      <c r="F116" s="176">
        <f>(+D116-E116)/E116</f>
        <v>9.28575818717591E-3</v>
      </c>
      <c r="G116" s="245">
        <f>D116/C116</f>
        <v>9.751824451658013E-2</v>
      </c>
      <c r="H116" s="246">
        <f>1-G116</f>
        <v>0.90248175548341991</v>
      </c>
      <c r="I116" s="157"/>
    </row>
    <row r="117" spans="1:9" ht="15.75" thickTop="1" x14ac:dyDescent="0.2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 x14ac:dyDescent="0.25">
      <c r="A118" s="164" t="s">
        <v>54</v>
      </c>
      <c r="B118" s="165">
        <f>DATE(20,7,1)</f>
        <v>7488</v>
      </c>
      <c r="C118" s="226">
        <v>139778413.28999999</v>
      </c>
      <c r="D118" s="226">
        <v>13113665.15</v>
      </c>
      <c r="E118" s="226">
        <v>16247033.9</v>
      </c>
      <c r="F118" s="166">
        <f t="shared" ref="F118:F126" si="27">(+D118-E118)/E118</f>
        <v>-0.19285789451082513</v>
      </c>
      <c r="G118" s="241">
        <f t="shared" ref="G118:G126" si="28">D118/C118</f>
        <v>9.3817527623474437E-2</v>
      </c>
      <c r="H118" s="242">
        <f t="shared" ref="H118:H126" si="29">1-G118</f>
        <v>0.90618247237652561</v>
      </c>
      <c r="I118" s="157"/>
    </row>
    <row r="119" spans="1:9" ht="15.75" x14ac:dyDescent="0.25">
      <c r="A119" s="164"/>
      <c r="B119" s="165">
        <f>DATE(20,8,1)</f>
        <v>7519</v>
      </c>
      <c r="C119" s="226">
        <v>139190485.06</v>
      </c>
      <c r="D119" s="226">
        <v>13163225.939999999</v>
      </c>
      <c r="E119" s="226">
        <v>16871517.800000001</v>
      </c>
      <c r="F119" s="166">
        <f t="shared" si="27"/>
        <v>-0.21979598421192437</v>
      </c>
      <c r="G119" s="241">
        <f t="shared" si="28"/>
        <v>9.4569869013142724E-2</v>
      </c>
      <c r="H119" s="242">
        <f t="shared" si="29"/>
        <v>0.90543013098685732</v>
      </c>
      <c r="I119" s="157"/>
    </row>
    <row r="120" spans="1:9" ht="15.75" x14ac:dyDescent="0.25">
      <c r="A120" s="164"/>
      <c r="B120" s="165">
        <f>DATE(20,9,1)</f>
        <v>7550</v>
      </c>
      <c r="C120" s="226">
        <v>144179628.53</v>
      </c>
      <c r="D120" s="226">
        <v>13632742.51</v>
      </c>
      <c r="E120" s="226">
        <v>15944541.300000001</v>
      </c>
      <c r="F120" s="166">
        <f t="shared" si="27"/>
        <v>-0.1449899841270442</v>
      </c>
      <c r="G120" s="241">
        <f t="shared" si="28"/>
        <v>9.4553874559077419E-2</v>
      </c>
      <c r="H120" s="242">
        <f t="shared" si="29"/>
        <v>0.90544612544092262</v>
      </c>
      <c r="I120" s="157"/>
    </row>
    <row r="121" spans="1:9" ht="15.75" x14ac:dyDescent="0.25">
      <c r="A121" s="164"/>
      <c r="B121" s="165">
        <f>DATE(20,10,1)</f>
        <v>7580</v>
      </c>
      <c r="C121" s="226">
        <v>153697637.43000001</v>
      </c>
      <c r="D121" s="226">
        <v>14284849.609999999</v>
      </c>
      <c r="E121" s="226">
        <v>16080736.01</v>
      </c>
      <c r="F121" s="166">
        <f t="shared" si="27"/>
        <v>-0.11167936585012071</v>
      </c>
      <c r="G121" s="241">
        <f t="shared" si="28"/>
        <v>9.2941243917987262E-2</v>
      </c>
      <c r="H121" s="242">
        <f t="shared" si="29"/>
        <v>0.9070587560820127</v>
      </c>
      <c r="I121" s="157"/>
    </row>
    <row r="122" spans="1:9" ht="15.75" x14ac:dyDescent="0.25">
      <c r="A122" s="164"/>
      <c r="B122" s="165">
        <f>DATE(20,11,1)</f>
        <v>7611</v>
      </c>
      <c r="C122" s="226">
        <v>132944210.06999999</v>
      </c>
      <c r="D122" s="226">
        <v>12348288.83</v>
      </c>
      <c r="E122" s="226">
        <v>17058182.91</v>
      </c>
      <c r="F122" s="166">
        <f t="shared" si="27"/>
        <v>-0.276107607993752</v>
      </c>
      <c r="G122" s="241">
        <f t="shared" si="28"/>
        <v>9.2883238942848084E-2</v>
      </c>
      <c r="H122" s="242">
        <f t="shared" si="29"/>
        <v>0.90711676105715189</v>
      </c>
      <c r="I122" s="157"/>
    </row>
    <row r="123" spans="1:9" ht="15.75" x14ac:dyDescent="0.25">
      <c r="A123" s="164"/>
      <c r="B123" s="165">
        <f>DATE(20,12,1)</f>
        <v>7641</v>
      </c>
      <c r="C123" s="226">
        <v>134457499.72999999</v>
      </c>
      <c r="D123" s="226">
        <v>12123166.43</v>
      </c>
      <c r="E123" s="226">
        <v>16970606.43</v>
      </c>
      <c r="F123" s="166">
        <f t="shared" si="27"/>
        <v>-0.28563740606410376</v>
      </c>
      <c r="G123" s="241">
        <f t="shared" si="28"/>
        <v>9.0163556918313681E-2</v>
      </c>
      <c r="H123" s="242">
        <f t="shared" si="29"/>
        <v>0.90983644308168632</v>
      </c>
      <c r="I123" s="157"/>
    </row>
    <row r="124" spans="1:9" ht="15.75" x14ac:dyDescent="0.25">
      <c r="A124" s="164"/>
      <c r="B124" s="165">
        <f>DATE(21,1,1)</f>
        <v>7672</v>
      </c>
      <c r="C124" s="226">
        <v>139802539.06999999</v>
      </c>
      <c r="D124" s="226">
        <v>13355551.67</v>
      </c>
      <c r="E124" s="226">
        <v>16027792.039999999</v>
      </c>
      <c r="F124" s="166">
        <f t="shared" si="27"/>
        <v>-0.166725420652513</v>
      </c>
      <c r="G124" s="241">
        <f t="shared" si="28"/>
        <v>9.5531538689099152E-2</v>
      </c>
      <c r="H124" s="242">
        <f t="shared" si="29"/>
        <v>0.90446846131090086</v>
      </c>
      <c r="I124" s="157"/>
    </row>
    <row r="125" spans="1:9" ht="15.75" x14ac:dyDescent="0.25">
      <c r="A125" s="164"/>
      <c r="B125" s="165">
        <f>DATE(21,2,1)</f>
        <v>7703</v>
      </c>
      <c r="C125" s="226">
        <v>124137446.70999999</v>
      </c>
      <c r="D125" s="226">
        <v>11342744.4</v>
      </c>
      <c r="E125" s="226">
        <v>16606333.470000001</v>
      </c>
      <c r="F125" s="166">
        <f t="shared" si="27"/>
        <v>-0.31696274674411917</v>
      </c>
      <c r="G125" s="241">
        <f t="shared" si="28"/>
        <v>9.1372464156589395E-2</v>
      </c>
      <c r="H125" s="242">
        <f t="shared" si="29"/>
        <v>0.90862753584341061</v>
      </c>
      <c r="I125" s="157"/>
    </row>
    <row r="126" spans="1:9" ht="15.75" x14ac:dyDescent="0.25">
      <c r="A126" s="164"/>
      <c r="B126" s="165">
        <f>DATE(21,3,1)</f>
        <v>7731</v>
      </c>
      <c r="C126" s="226">
        <v>179319021.91</v>
      </c>
      <c r="D126" s="226">
        <v>16919608</v>
      </c>
      <c r="E126" s="226">
        <v>8278891.3399999999</v>
      </c>
      <c r="F126" s="166">
        <f t="shared" si="27"/>
        <v>1.043704562016875</v>
      </c>
      <c r="G126" s="241">
        <f t="shared" si="28"/>
        <v>9.4354786345488384E-2</v>
      </c>
      <c r="H126" s="242">
        <f t="shared" si="29"/>
        <v>0.90564521365451167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SUM(C118:C127)</f>
        <v>1287506881.8</v>
      </c>
      <c r="D128" s="228">
        <f>SUM(D118:D127)</f>
        <v>120283842.54000001</v>
      </c>
      <c r="E128" s="228">
        <f>SUM(E118:E127)</f>
        <v>140085635.19999999</v>
      </c>
      <c r="F128" s="176">
        <f>(+D128-E128)/E128</f>
        <v>-0.14135491217018076</v>
      </c>
      <c r="G128" s="249">
        <f>D128/C128</f>
        <v>9.3423844361776989E-2</v>
      </c>
      <c r="H128" s="270">
        <f>1-G128</f>
        <v>0.90657615563822302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55</v>
      </c>
      <c r="B130" s="165">
        <f>DATE(20,7,1)</f>
        <v>7488</v>
      </c>
      <c r="C130" s="226">
        <v>25124152.59</v>
      </c>
      <c r="D130" s="226">
        <v>2784731.95</v>
      </c>
      <c r="E130" s="226">
        <v>2612988.94</v>
      </c>
      <c r="F130" s="166">
        <f t="shared" ref="F130:F138" si="30">(+D130-E130)/E130</f>
        <v>6.5726650186280641E-2</v>
      </c>
      <c r="G130" s="241">
        <f t="shared" ref="G130:G138" si="31">D130/C130</f>
        <v>0.11083884083351685</v>
      </c>
      <c r="H130" s="242">
        <f t="shared" ref="H130:H138" si="32">1-G130</f>
        <v>0.88916115916648319</v>
      </c>
      <c r="I130" s="157"/>
    </row>
    <row r="131" spans="1:9" ht="15.75" x14ac:dyDescent="0.25">
      <c r="A131" s="164"/>
      <c r="B131" s="165">
        <f>DATE(20,8,1)</f>
        <v>7519</v>
      </c>
      <c r="C131" s="226">
        <v>26128366.460000001</v>
      </c>
      <c r="D131" s="226">
        <v>2961173.82</v>
      </c>
      <c r="E131" s="226">
        <v>2826240.12</v>
      </c>
      <c r="F131" s="166">
        <f t="shared" si="30"/>
        <v>4.7743183264980227E-2</v>
      </c>
      <c r="G131" s="241">
        <f t="shared" si="31"/>
        <v>0.1133317624174198</v>
      </c>
      <c r="H131" s="242">
        <f t="shared" si="32"/>
        <v>0.88666823758258018</v>
      </c>
      <c r="I131" s="157"/>
    </row>
    <row r="132" spans="1:9" ht="15.75" x14ac:dyDescent="0.25">
      <c r="A132" s="164"/>
      <c r="B132" s="165">
        <f>DATE(20,9,1)</f>
        <v>7550</v>
      </c>
      <c r="C132" s="226">
        <v>25242024.670000002</v>
      </c>
      <c r="D132" s="226">
        <v>2707604.99</v>
      </c>
      <c r="E132" s="226">
        <v>2549839.52</v>
      </c>
      <c r="F132" s="166">
        <f t="shared" si="30"/>
        <v>6.1872705620313002E-2</v>
      </c>
      <c r="G132" s="241">
        <f t="shared" si="31"/>
        <v>0.10726576118190602</v>
      </c>
      <c r="H132" s="242">
        <f t="shared" si="32"/>
        <v>0.89273423881809399</v>
      </c>
      <c r="I132" s="157"/>
    </row>
    <row r="133" spans="1:9" ht="15.75" x14ac:dyDescent="0.25">
      <c r="A133" s="164"/>
      <c r="B133" s="165">
        <f>DATE(20,10,1)</f>
        <v>7580</v>
      </c>
      <c r="C133" s="226">
        <v>24651178.559999999</v>
      </c>
      <c r="D133" s="226">
        <v>2777127.87</v>
      </c>
      <c r="E133" s="226">
        <v>2654170.6800000002</v>
      </c>
      <c r="F133" s="166">
        <f t="shared" si="30"/>
        <v>4.6326029793984438E-2</v>
      </c>
      <c r="G133" s="241">
        <f t="shared" si="31"/>
        <v>0.11265700190522657</v>
      </c>
      <c r="H133" s="242">
        <f t="shared" si="32"/>
        <v>0.88734299809477346</v>
      </c>
      <c r="I133" s="157"/>
    </row>
    <row r="134" spans="1:9" ht="15.75" x14ac:dyDescent="0.25">
      <c r="A134" s="164"/>
      <c r="B134" s="165">
        <f>DATE(20,11,1)</f>
        <v>7611</v>
      </c>
      <c r="C134" s="226">
        <v>22778053.699999999</v>
      </c>
      <c r="D134" s="226">
        <v>2545068.2999999998</v>
      </c>
      <c r="E134" s="226">
        <v>2750246.46</v>
      </c>
      <c r="F134" s="166">
        <f t="shared" si="30"/>
        <v>-7.4603553893857269E-2</v>
      </c>
      <c r="G134" s="241">
        <f t="shared" si="31"/>
        <v>0.11173335235398096</v>
      </c>
      <c r="H134" s="242">
        <f t="shared" si="32"/>
        <v>0.88826664764601904</v>
      </c>
      <c r="I134" s="157"/>
    </row>
    <row r="135" spans="1:9" ht="15.75" x14ac:dyDescent="0.25">
      <c r="A135" s="164"/>
      <c r="B135" s="165">
        <f>DATE(20,12,1)</f>
        <v>7641</v>
      </c>
      <c r="C135" s="226">
        <v>28927212.960000001</v>
      </c>
      <c r="D135" s="226">
        <v>3275319.33</v>
      </c>
      <c r="E135" s="226">
        <v>2678793.62</v>
      </c>
      <c r="F135" s="166">
        <f t="shared" si="30"/>
        <v>0.22268445973079476</v>
      </c>
      <c r="G135" s="241">
        <f t="shared" si="31"/>
        <v>0.11322623214787575</v>
      </c>
      <c r="H135" s="242">
        <f t="shared" si="32"/>
        <v>0.88677376785212425</v>
      </c>
      <c r="I135" s="157"/>
    </row>
    <row r="136" spans="1:9" ht="15.75" x14ac:dyDescent="0.25">
      <c r="A136" s="164"/>
      <c r="B136" s="165">
        <f>DATE(21,1,1)</f>
        <v>7672</v>
      </c>
      <c r="C136" s="226">
        <v>30658477.870000001</v>
      </c>
      <c r="D136" s="226">
        <v>3376789.13</v>
      </c>
      <c r="E136" s="226">
        <v>2358042.2999999998</v>
      </c>
      <c r="F136" s="166">
        <f t="shared" si="30"/>
        <v>0.43203076976184868</v>
      </c>
      <c r="G136" s="241">
        <f t="shared" si="31"/>
        <v>0.11014209982369225</v>
      </c>
      <c r="H136" s="242">
        <f t="shared" si="32"/>
        <v>0.88985790017630773</v>
      </c>
      <c r="I136" s="157"/>
    </row>
    <row r="137" spans="1:9" ht="15.75" x14ac:dyDescent="0.25">
      <c r="A137" s="164"/>
      <c r="B137" s="165">
        <f>DATE(21,2,1)</f>
        <v>7703</v>
      </c>
      <c r="C137" s="226">
        <v>23705081.329999998</v>
      </c>
      <c r="D137" s="226">
        <v>2596549.7000000002</v>
      </c>
      <c r="E137" s="226">
        <v>2851642.94</v>
      </c>
      <c r="F137" s="166">
        <f t="shared" si="30"/>
        <v>-8.9454831957327646E-2</v>
      </c>
      <c r="G137" s="241">
        <f t="shared" si="31"/>
        <v>0.10953557441348802</v>
      </c>
      <c r="H137" s="242">
        <f t="shared" si="32"/>
        <v>0.89046442558651195</v>
      </c>
      <c r="I137" s="157"/>
    </row>
    <row r="138" spans="1:9" ht="15.75" x14ac:dyDescent="0.25">
      <c r="A138" s="164"/>
      <c r="B138" s="165">
        <f>DATE(21,3,1)</f>
        <v>7731</v>
      </c>
      <c r="C138" s="226">
        <v>37711291.659999996</v>
      </c>
      <c r="D138" s="226">
        <v>4129956.27</v>
      </c>
      <c r="E138" s="226">
        <v>1714094.06</v>
      </c>
      <c r="F138" s="166">
        <f t="shared" si="30"/>
        <v>1.4094105255810756</v>
      </c>
      <c r="G138" s="241">
        <f t="shared" si="31"/>
        <v>0.1095151104140144</v>
      </c>
      <c r="H138" s="242">
        <f t="shared" si="32"/>
        <v>0.8904848895859856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82" t="s">
        <v>14</v>
      </c>
      <c r="B140" s="183"/>
      <c r="C140" s="230">
        <f>SUM(C130:C139)</f>
        <v>244925839.79999998</v>
      </c>
      <c r="D140" s="230">
        <f>SUM(D130:D139)</f>
        <v>27154321.359999996</v>
      </c>
      <c r="E140" s="230">
        <f>SUM(E130:E139)</f>
        <v>22996058.640000001</v>
      </c>
      <c r="F140" s="176">
        <f>(+D140-E140)/E140</f>
        <v>0.18082501810840726</v>
      </c>
      <c r="G140" s="249">
        <f>D140/C140</f>
        <v>0.11086752374585508</v>
      </c>
      <c r="H140" s="246">
        <f>1-G140</f>
        <v>0.88913247625414493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37</v>
      </c>
      <c r="B142" s="165">
        <f>DATE(20,7,1)</f>
        <v>7488</v>
      </c>
      <c r="C142" s="226">
        <v>193788423.05000001</v>
      </c>
      <c r="D142" s="226">
        <v>17781520.260000002</v>
      </c>
      <c r="E142" s="226">
        <v>19119192.239999998</v>
      </c>
      <c r="F142" s="166">
        <f t="shared" ref="F142:F150" si="33">(+D142-E142)/E142</f>
        <v>-6.9964879436768337E-2</v>
      </c>
      <c r="G142" s="241">
        <f t="shared" ref="G142:G150" si="34">D142/C142</f>
        <v>9.1757391799468485E-2</v>
      </c>
      <c r="H142" s="242">
        <f t="shared" ref="H142:H150" si="35">1-G142</f>
        <v>0.90824260820053149</v>
      </c>
      <c r="I142" s="157"/>
    </row>
    <row r="143" spans="1:9" ht="15.75" x14ac:dyDescent="0.25">
      <c r="A143" s="164"/>
      <c r="B143" s="165">
        <f>DATE(20,8,1)</f>
        <v>7519</v>
      </c>
      <c r="C143" s="226">
        <v>187407837.13</v>
      </c>
      <c r="D143" s="226">
        <v>17286123.989999998</v>
      </c>
      <c r="E143" s="226">
        <v>19394509.940000001</v>
      </c>
      <c r="F143" s="166">
        <f t="shared" si="33"/>
        <v>-0.10871045241785587</v>
      </c>
      <c r="G143" s="241">
        <f t="shared" si="34"/>
        <v>9.223799951337712E-2</v>
      </c>
      <c r="H143" s="242">
        <f t="shared" si="35"/>
        <v>0.90776200048662292</v>
      </c>
      <c r="I143" s="157"/>
    </row>
    <row r="144" spans="1:9" ht="15.75" x14ac:dyDescent="0.25">
      <c r="A144" s="164"/>
      <c r="B144" s="165">
        <f>DATE(20,9,1)</f>
        <v>7550</v>
      </c>
      <c r="C144" s="226">
        <v>182127854.37</v>
      </c>
      <c r="D144" s="226">
        <v>16702603.76</v>
      </c>
      <c r="E144" s="226">
        <v>17543226.640000001</v>
      </c>
      <c r="F144" s="166">
        <f t="shared" si="33"/>
        <v>-4.7917233086604005E-2</v>
      </c>
      <c r="G144" s="241">
        <f t="shared" si="34"/>
        <v>9.1708123492565796E-2</v>
      </c>
      <c r="H144" s="242">
        <f t="shared" si="35"/>
        <v>0.90829187650743415</v>
      </c>
      <c r="I144" s="157"/>
    </row>
    <row r="145" spans="1:9" ht="15.75" x14ac:dyDescent="0.25">
      <c r="A145" s="164"/>
      <c r="B145" s="165">
        <f>DATE(20,10,1)</f>
        <v>7580</v>
      </c>
      <c r="C145" s="226">
        <v>186473597.18000001</v>
      </c>
      <c r="D145" s="226">
        <v>17754592.84</v>
      </c>
      <c r="E145" s="226">
        <v>18312994.41</v>
      </c>
      <c r="F145" s="166">
        <f t="shared" si="33"/>
        <v>-3.0492095257511755E-2</v>
      </c>
      <c r="G145" s="241">
        <f t="shared" si="34"/>
        <v>9.5212368445178719E-2</v>
      </c>
      <c r="H145" s="242">
        <f t="shared" si="35"/>
        <v>0.90478763155482134</v>
      </c>
      <c r="I145" s="157"/>
    </row>
    <row r="146" spans="1:9" ht="15.75" x14ac:dyDescent="0.25">
      <c r="A146" s="164"/>
      <c r="B146" s="165">
        <f>DATE(20,11,1)</f>
        <v>7611</v>
      </c>
      <c r="C146" s="226">
        <v>166737487.81</v>
      </c>
      <c r="D146" s="226">
        <v>15307588.33</v>
      </c>
      <c r="E146" s="226">
        <v>17726569.68</v>
      </c>
      <c r="F146" s="166">
        <f t="shared" si="33"/>
        <v>-0.13646077011330709</v>
      </c>
      <c r="G146" s="241">
        <f t="shared" si="34"/>
        <v>9.1806518924186009E-2</v>
      </c>
      <c r="H146" s="242">
        <f t="shared" si="35"/>
        <v>0.90819348107581399</v>
      </c>
      <c r="I146" s="157"/>
    </row>
    <row r="147" spans="1:9" ht="15.75" x14ac:dyDescent="0.25">
      <c r="A147" s="164"/>
      <c r="B147" s="165">
        <f>DATE(20,12,1)</f>
        <v>7641</v>
      </c>
      <c r="C147" s="226">
        <v>206068326.33000001</v>
      </c>
      <c r="D147" s="226">
        <v>19390114.289999999</v>
      </c>
      <c r="E147" s="226">
        <v>17987460.18</v>
      </c>
      <c r="F147" s="166">
        <f t="shared" si="33"/>
        <v>7.7979553309009714E-2</v>
      </c>
      <c r="G147" s="241">
        <f t="shared" si="34"/>
        <v>9.4095558668965282E-2</v>
      </c>
      <c r="H147" s="242">
        <f t="shared" si="35"/>
        <v>0.90590444133103476</v>
      </c>
      <c r="I147" s="157"/>
    </row>
    <row r="148" spans="1:9" ht="15.75" x14ac:dyDescent="0.25">
      <c r="A148" s="164"/>
      <c r="B148" s="165">
        <f>DATE(21,1,1)</f>
        <v>7672</v>
      </c>
      <c r="C148" s="226">
        <v>233360885</v>
      </c>
      <c r="D148" s="226">
        <v>21258676.82</v>
      </c>
      <c r="E148" s="226">
        <v>17177529.199999999</v>
      </c>
      <c r="F148" s="166">
        <f t="shared" si="33"/>
        <v>0.23758641725959059</v>
      </c>
      <c r="G148" s="241">
        <f t="shared" si="34"/>
        <v>9.1097858237896207E-2</v>
      </c>
      <c r="H148" s="242">
        <f t="shared" si="35"/>
        <v>0.90890214176210382</v>
      </c>
      <c r="I148" s="157"/>
    </row>
    <row r="149" spans="1:9" ht="15.75" x14ac:dyDescent="0.25">
      <c r="A149" s="164"/>
      <c r="B149" s="165">
        <f>DATE(21,2,1)</f>
        <v>7703</v>
      </c>
      <c r="C149" s="226">
        <v>191556686</v>
      </c>
      <c r="D149" s="226">
        <v>17430596</v>
      </c>
      <c r="E149" s="226">
        <v>17791352.699999999</v>
      </c>
      <c r="F149" s="166">
        <f t="shared" si="33"/>
        <v>-2.0277081011383653E-2</v>
      </c>
      <c r="G149" s="241">
        <f t="shared" si="34"/>
        <v>9.0994453725306151E-2</v>
      </c>
      <c r="H149" s="242">
        <f t="shared" si="35"/>
        <v>0.90900554627469388</v>
      </c>
      <c r="I149" s="157"/>
    </row>
    <row r="150" spans="1:9" ht="15.75" x14ac:dyDescent="0.25">
      <c r="A150" s="164"/>
      <c r="B150" s="165">
        <f>DATE(21,3,1)</f>
        <v>7731</v>
      </c>
      <c r="C150" s="226">
        <v>247490909.47999999</v>
      </c>
      <c r="D150" s="226">
        <v>23210435.77</v>
      </c>
      <c r="E150" s="226">
        <v>9097301.5800000001</v>
      </c>
      <c r="F150" s="166">
        <f t="shared" si="33"/>
        <v>1.5513538894903822</v>
      </c>
      <c r="G150" s="241">
        <f t="shared" si="34"/>
        <v>9.3782983054881294E-2</v>
      </c>
      <c r="H150" s="242">
        <f t="shared" si="35"/>
        <v>0.90621701694511869</v>
      </c>
      <c r="I150" s="157"/>
    </row>
    <row r="151" spans="1:9" ht="15.75" thickBot="1" x14ac:dyDescent="0.25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Top="1" thickBot="1" x14ac:dyDescent="0.3">
      <c r="A152" s="174" t="s">
        <v>14</v>
      </c>
      <c r="B152" s="175"/>
      <c r="C152" s="228">
        <f>SUM(C142:C151)</f>
        <v>1795012006.3499999</v>
      </c>
      <c r="D152" s="228">
        <f>SUM(D142:D151)</f>
        <v>166122252.06</v>
      </c>
      <c r="E152" s="228">
        <f>SUM(E142:E151)</f>
        <v>154150136.57000002</v>
      </c>
      <c r="F152" s="176">
        <f>(+D152-E152)/E152</f>
        <v>7.7665292787875068E-2</v>
      </c>
      <c r="G152" s="245">
        <f>D152/C152</f>
        <v>9.2546596609008255E-2</v>
      </c>
      <c r="H152" s="246">
        <f>1-G152</f>
        <v>0.90745340339099179</v>
      </c>
      <c r="I152" s="157"/>
    </row>
    <row r="153" spans="1:9" ht="15.75" thickTop="1" x14ac:dyDescent="0.2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 x14ac:dyDescent="0.25">
      <c r="A154" s="164" t="s">
        <v>58</v>
      </c>
      <c r="B154" s="165">
        <f>DATE(20,7,1)</f>
        <v>7488</v>
      </c>
      <c r="C154" s="226">
        <v>30630065.859999999</v>
      </c>
      <c r="D154" s="226">
        <v>3357321.79</v>
      </c>
      <c r="E154" s="226">
        <v>3293709.88</v>
      </c>
      <c r="F154" s="166">
        <f t="shared" ref="F154:F162" si="36">(+D154-E154)/E154</f>
        <v>1.9313149098608574E-2</v>
      </c>
      <c r="G154" s="241">
        <f t="shared" ref="G154:G162" si="37">D154/C154</f>
        <v>0.10960870294387282</v>
      </c>
      <c r="H154" s="242">
        <f t="shared" ref="H154:H162" si="38">1-G154</f>
        <v>0.89039129705612718</v>
      </c>
      <c r="I154" s="157"/>
    </row>
    <row r="155" spans="1:9" ht="15.75" x14ac:dyDescent="0.25">
      <c r="A155" s="164"/>
      <c r="B155" s="165">
        <f>DATE(20,8,1)</f>
        <v>7519</v>
      </c>
      <c r="C155" s="226">
        <v>29521795.920000002</v>
      </c>
      <c r="D155" s="226">
        <v>3360444.04</v>
      </c>
      <c r="E155" s="226">
        <v>3283356.99</v>
      </c>
      <c r="F155" s="166">
        <f t="shared" si="36"/>
        <v>2.3478120178457906E-2</v>
      </c>
      <c r="G155" s="241">
        <f t="shared" si="37"/>
        <v>0.11382925514106053</v>
      </c>
      <c r="H155" s="242">
        <f t="shared" si="38"/>
        <v>0.88617074485893943</v>
      </c>
      <c r="I155" s="157"/>
    </row>
    <row r="156" spans="1:9" ht="15.75" x14ac:dyDescent="0.25">
      <c r="A156" s="164"/>
      <c r="B156" s="165">
        <f>DATE(20,9,1)</f>
        <v>7550</v>
      </c>
      <c r="C156" s="226">
        <v>27722632.809999999</v>
      </c>
      <c r="D156" s="226">
        <v>3031984.28</v>
      </c>
      <c r="E156" s="226">
        <v>3164787.25</v>
      </c>
      <c r="F156" s="166">
        <f t="shared" si="36"/>
        <v>-4.1962684853460594E-2</v>
      </c>
      <c r="G156" s="241">
        <f t="shared" si="37"/>
        <v>0.10936855459508574</v>
      </c>
      <c r="H156" s="242">
        <f t="shared" si="38"/>
        <v>0.89063144540491423</v>
      </c>
      <c r="I156" s="157"/>
    </row>
    <row r="157" spans="1:9" ht="15.75" x14ac:dyDescent="0.25">
      <c r="A157" s="164"/>
      <c r="B157" s="165">
        <f>DATE(20,10,1)</f>
        <v>7580</v>
      </c>
      <c r="C157" s="226">
        <v>24051972.260000002</v>
      </c>
      <c r="D157" s="226">
        <v>2770053.1200000001</v>
      </c>
      <c r="E157" s="226">
        <v>3114034.79</v>
      </c>
      <c r="F157" s="166">
        <f t="shared" si="36"/>
        <v>-0.11046172994104536</v>
      </c>
      <c r="G157" s="241">
        <f t="shared" si="37"/>
        <v>0.11516947924502553</v>
      </c>
      <c r="H157" s="242">
        <f t="shared" si="38"/>
        <v>0.88483052075497448</v>
      </c>
      <c r="I157" s="157"/>
    </row>
    <row r="158" spans="1:9" ht="15.75" x14ac:dyDescent="0.25">
      <c r="A158" s="164"/>
      <c r="B158" s="165">
        <f>DATE(20,11,1)</f>
        <v>7611</v>
      </c>
      <c r="C158" s="226">
        <v>21330939.300000001</v>
      </c>
      <c r="D158" s="226">
        <v>2396488.16</v>
      </c>
      <c r="E158" s="226">
        <v>3192066.7</v>
      </c>
      <c r="F158" s="166">
        <f t="shared" si="36"/>
        <v>-0.24923618920619672</v>
      </c>
      <c r="G158" s="241">
        <f t="shared" si="37"/>
        <v>0.11234799022657198</v>
      </c>
      <c r="H158" s="242">
        <f t="shared" si="38"/>
        <v>0.88765200977342806</v>
      </c>
      <c r="I158" s="157"/>
    </row>
    <row r="159" spans="1:9" ht="15.75" x14ac:dyDescent="0.25">
      <c r="A159" s="164"/>
      <c r="B159" s="165">
        <f>DATE(20,12,1)</f>
        <v>7641</v>
      </c>
      <c r="C159" s="226">
        <v>23281170.02</v>
      </c>
      <c r="D159" s="226">
        <v>2648752.5099999998</v>
      </c>
      <c r="E159" s="226">
        <v>3336598.49</v>
      </c>
      <c r="F159" s="166">
        <f t="shared" si="36"/>
        <v>-0.20615185856539797</v>
      </c>
      <c r="G159" s="241">
        <f t="shared" si="37"/>
        <v>0.11377231074402848</v>
      </c>
      <c r="H159" s="242">
        <f t="shared" si="38"/>
        <v>0.88622768925597151</v>
      </c>
      <c r="I159" s="157"/>
    </row>
    <row r="160" spans="1:9" ht="15.75" x14ac:dyDescent="0.25">
      <c r="A160" s="164"/>
      <c r="B160" s="165">
        <f>DATE(21,1,1)</f>
        <v>7672</v>
      </c>
      <c r="C160" s="226">
        <v>26242266.289999999</v>
      </c>
      <c r="D160" s="226">
        <v>3041407.25</v>
      </c>
      <c r="E160" s="226">
        <v>3179496.92</v>
      </c>
      <c r="F160" s="166">
        <f t="shared" si="36"/>
        <v>-4.3431295413866901E-2</v>
      </c>
      <c r="G160" s="241">
        <f t="shared" si="37"/>
        <v>0.11589727870260096</v>
      </c>
      <c r="H160" s="242">
        <f t="shared" si="38"/>
        <v>0.88410272129739909</v>
      </c>
      <c r="I160" s="157"/>
    </row>
    <row r="161" spans="1:9" ht="15.75" x14ac:dyDescent="0.25">
      <c r="A161" s="164"/>
      <c r="B161" s="165">
        <f>DATE(21,2,1)</f>
        <v>7703</v>
      </c>
      <c r="C161" s="226">
        <v>24357738.460000001</v>
      </c>
      <c r="D161" s="226">
        <v>2699820.17</v>
      </c>
      <c r="E161" s="226">
        <v>3678191.22</v>
      </c>
      <c r="F161" s="166">
        <f t="shared" si="36"/>
        <v>-0.26599243798967043</v>
      </c>
      <c r="G161" s="241">
        <f t="shared" si="37"/>
        <v>0.11084034646457895</v>
      </c>
      <c r="H161" s="242">
        <f t="shared" si="38"/>
        <v>0.88915965353542104</v>
      </c>
      <c r="I161" s="157"/>
    </row>
    <row r="162" spans="1:9" ht="15.75" x14ac:dyDescent="0.25">
      <c r="A162" s="164"/>
      <c r="B162" s="165">
        <f>DATE(21,3,1)</f>
        <v>7731</v>
      </c>
      <c r="C162" s="226">
        <v>38827661.759999998</v>
      </c>
      <c r="D162" s="226">
        <v>4317336.4400000004</v>
      </c>
      <c r="E162" s="226">
        <v>1985714.01</v>
      </c>
      <c r="F162" s="166">
        <f t="shared" si="36"/>
        <v>1.1741985090793616</v>
      </c>
      <c r="G162" s="241">
        <f t="shared" si="37"/>
        <v>0.11119228519827305</v>
      </c>
      <c r="H162" s="242">
        <f t="shared" si="38"/>
        <v>0.88880771480172693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69" t="s">
        <v>14</v>
      </c>
      <c r="B164" s="155"/>
      <c r="C164" s="223">
        <f>SUM(C154:C163)</f>
        <v>245966242.68000001</v>
      </c>
      <c r="D164" s="223">
        <f>SUM(D154:D163)</f>
        <v>27623607.760000002</v>
      </c>
      <c r="E164" s="223">
        <f>SUM(E154:E163)</f>
        <v>28227956.250000004</v>
      </c>
      <c r="F164" s="176">
        <f>(+D164-E164)/E164</f>
        <v>-2.1409573000879298E-2</v>
      </c>
      <c r="G164" s="245">
        <f>D164/C164</f>
        <v>0.11230649970101012</v>
      </c>
      <c r="H164" s="246">
        <f>1-G164</f>
        <v>0.88769350029898986</v>
      </c>
      <c r="I164" s="157"/>
    </row>
    <row r="165" spans="1:9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Top="1" thickBot="1" x14ac:dyDescent="0.3">
      <c r="A166" s="184" t="s">
        <v>38</v>
      </c>
      <c r="B166" s="155"/>
      <c r="C166" s="223">
        <f>C164+C152+C116+C92+C68+C44+C20+C56+C140+C32+C104+C128+C80</f>
        <v>10852443376.279999</v>
      </c>
      <c r="D166" s="223">
        <f>D164+D152+D116+D92+D68+D44+D20+D56+D140+D32+D104+D128+D80</f>
        <v>1063355560.4799999</v>
      </c>
      <c r="E166" s="223">
        <f>E164+E152+E116+E92+E68+E44+E20+E56+E140+E32+E104+E128+E80</f>
        <v>1050898530.3899999</v>
      </c>
      <c r="F166" s="170">
        <f>(+D166-E166)/E166</f>
        <v>1.1853694462182847E-2</v>
      </c>
      <c r="G166" s="236">
        <f>D166/C166</f>
        <v>9.7983055392314514E-2</v>
      </c>
      <c r="H166" s="237">
        <f>1-G166</f>
        <v>0.90201694460768544</v>
      </c>
      <c r="I166" s="157"/>
    </row>
    <row r="167" spans="1:9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Top="1" thickBot="1" x14ac:dyDescent="0.3">
      <c r="A168" s="184" t="s">
        <v>39</v>
      </c>
      <c r="B168" s="155"/>
      <c r="C168" s="223">
        <f>SUM(C18+C30+C42+C54+C66+C78+C90+C102+C114+C126+C138+C150+C162)</f>
        <v>1564264522.8500001</v>
      </c>
      <c r="D168" s="223">
        <f>SUM(D18+D30+D42+D54+D66+D78+D90+D102+D114+D126+D138+D150+D162)</f>
        <v>155060720.41</v>
      </c>
      <c r="E168" s="223">
        <f>SUM(E18+E30+E42+E54+E66+E78+E90+E102+E114+E126+E138+E150+E162)</f>
        <v>65143170.949999996</v>
      </c>
      <c r="F168" s="170">
        <f>(+D168-E168)/E168</f>
        <v>1.3803066100208008</v>
      </c>
      <c r="G168" s="236">
        <f>D168/C168</f>
        <v>9.9126917567297551E-2</v>
      </c>
      <c r="H168" s="246">
        <f>1-G168</f>
        <v>0.90087308243270248</v>
      </c>
      <c r="I168" s="157"/>
    </row>
    <row r="169" spans="1:9" ht="16.5" thickTop="1" x14ac:dyDescent="0.25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5.75" x14ac:dyDescent="0.25">
      <c r="A170" s="289" t="s">
        <v>77</v>
      </c>
      <c r="B170" s="258"/>
      <c r="C170" s="259"/>
      <c r="D170" s="259"/>
      <c r="E170" s="259"/>
      <c r="F170" s="260"/>
      <c r="G170" s="257"/>
      <c r="H170" s="257"/>
      <c r="I170" s="151"/>
    </row>
    <row r="171" spans="1:9" ht="16.5" customHeight="1" x14ac:dyDescent="0.3">
      <c r="A171" s="188" t="s">
        <v>49</v>
      </c>
      <c r="B171" s="189"/>
      <c r="C171" s="232"/>
      <c r="D171" s="232"/>
      <c r="E171" s="232"/>
      <c r="F171" s="190"/>
      <c r="G171" s="251"/>
      <c r="H171" s="251"/>
      <c r="I171" s="151"/>
    </row>
    <row r="172" spans="1:9" ht="15.75" x14ac:dyDescent="0.25">
      <c r="A172" s="191"/>
      <c r="B172" s="189"/>
      <c r="C172" s="232"/>
      <c r="D172" s="232"/>
      <c r="E172" s="232"/>
      <c r="F172" s="190"/>
      <c r="G172" s="257"/>
      <c r="H172" s="257"/>
      <c r="I172" s="151"/>
    </row>
    <row r="173" spans="1:9" ht="15.75" x14ac:dyDescent="0.25">
      <c r="A173" s="72"/>
      <c r="I173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4" manualBreakCount="4">
    <brk id="44" max="8" man="1"/>
    <brk id="80" max="8" man="1"/>
    <brk id="116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2021-04-08T14:35:48Z</cp:lastPrinted>
  <dcterms:created xsi:type="dcterms:W3CDTF">2003-09-09T14:41:43Z</dcterms:created>
  <dcterms:modified xsi:type="dcterms:W3CDTF">2021-04-09T19:02:24Z</dcterms:modified>
</cp:coreProperties>
</file>