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"/>
    </mc:Choice>
  </mc:AlternateContent>
  <bookViews>
    <workbookView xWindow="90" yWindow="150" windowWidth="7530" windowHeight="4050"/>
  </bookViews>
  <sheets>
    <sheet name="MONTHLY STATS" sheetId="1" r:id="rId1"/>
    <sheet name="YTD TAXES" sheetId="2" r:id="rId2"/>
    <sheet name="TABLE STATS" sheetId="3" r:id="rId3"/>
    <sheet name="SLOT STATS" sheetId="4" r:id="rId4"/>
  </sheets>
  <definedNames>
    <definedName name="_xlnm.Print_Area" localSheetId="0">'MONTHLY STATS'!$A$1:$M$143</definedName>
    <definedName name="_xlnm.Print_Area" localSheetId="3">'SLOT STATS'!$A$1:$I$144</definedName>
    <definedName name="_xlnm.Print_Area" localSheetId="2">'TABLE STATS'!$A$1:$H$143</definedName>
    <definedName name="_xlnm.Print_Titles" localSheetId="0">'MONTHLY STATS'!$1:$7</definedName>
    <definedName name="_xlnm.Print_Titles" localSheetId="3">'SLOT STATS'!$1:$8</definedName>
    <definedName name="_xlnm.Print_Titles" localSheetId="2">'TABLE STATS'!$1:$7</definedName>
  </definedNames>
  <calcPr calcId="162913"/>
</workbook>
</file>

<file path=xl/calcChain.xml><?xml version="1.0" encoding="utf-8"?>
<calcChain xmlns="http://schemas.openxmlformats.org/spreadsheetml/2006/main">
  <c r="E142" i="4" l="1"/>
  <c r="D142" i="4"/>
  <c r="C142" i="4"/>
  <c r="G142" i="4" s="1"/>
  <c r="H142" i="4" s="1"/>
  <c r="F136" i="4"/>
  <c r="G136" i="4"/>
  <c r="H136" i="4" s="1"/>
  <c r="F126" i="4"/>
  <c r="G126" i="4"/>
  <c r="H126" i="4" s="1"/>
  <c r="F116" i="4"/>
  <c r="G116" i="4"/>
  <c r="H116" i="4" s="1"/>
  <c r="F106" i="4"/>
  <c r="G106" i="4"/>
  <c r="H106" i="4"/>
  <c r="F96" i="4"/>
  <c r="G96" i="4"/>
  <c r="H96" i="4" s="1"/>
  <c r="F86" i="4"/>
  <c r="G86" i="4"/>
  <c r="H86" i="4" s="1"/>
  <c r="F76" i="4"/>
  <c r="G76" i="4"/>
  <c r="H76" i="4"/>
  <c r="F66" i="4"/>
  <c r="G66" i="4"/>
  <c r="H66" i="4"/>
  <c r="F56" i="4"/>
  <c r="G56" i="4"/>
  <c r="H56" i="4" s="1"/>
  <c r="F46" i="4"/>
  <c r="G46" i="4"/>
  <c r="H46" i="4" s="1"/>
  <c r="F36" i="4"/>
  <c r="G36" i="4"/>
  <c r="H36" i="4"/>
  <c r="F26" i="4"/>
  <c r="G26" i="4"/>
  <c r="H26" i="4"/>
  <c r="F16" i="4"/>
  <c r="G16" i="4"/>
  <c r="H16" i="4" s="1"/>
  <c r="B136" i="4"/>
  <c r="B126" i="4"/>
  <c r="B116" i="4"/>
  <c r="B106" i="4"/>
  <c r="B96" i="4"/>
  <c r="B86" i="4"/>
  <c r="B76" i="4"/>
  <c r="B66" i="4"/>
  <c r="B56" i="4"/>
  <c r="B46" i="4"/>
  <c r="B36" i="4"/>
  <c r="B26" i="4"/>
  <c r="B16" i="4"/>
  <c r="E141" i="3"/>
  <c r="D141" i="3"/>
  <c r="F141" i="3" s="1"/>
  <c r="C141" i="3"/>
  <c r="F135" i="3"/>
  <c r="G135" i="3"/>
  <c r="F125" i="3"/>
  <c r="G125" i="3"/>
  <c r="F115" i="3"/>
  <c r="G115" i="3"/>
  <c r="F105" i="3"/>
  <c r="G105" i="3"/>
  <c r="F95" i="3"/>
  <c r="G95" i="3"/>
  <c r="F85" i="3"/>
  <c r="G85" i="3"/>
  <c r="F75" i="3"/>
  <c r="G75" i="3"/>
  <c r="F65" i="3"/>
  <c r="G65" i="3"/>
  <c r="F55" i="3"/>
  <c r="G55" i="3"/>
  <c r="F45" i="3"/>
  <c r="G45" i="3"/>
  <c r="F35" i="3"/>
  <c r="G35" i="3"/>
  <c r="F25" i="3"/>
  <c r="G25" i="3"/>
  <c r="F15" i="3"/>
  <c r="G15" i="3"/>
  <c r="B135" i="3"/>
  <c r="B125" i="3"/>
  <c r="B115" i="3"/>
  <c r="B105" i="3"/>
  <c r="B95" i="3"/>
  <c r="B85" i="3"/>
  <c r="B75" i="3"/>
  <c r="B65" i="3"/>
  <c r="B55" i="3"/>
  <c r="B45" i="3"/>
  <c r="B35" i="3"/>
  <c r="B25" i="3"/>
  <c r="B15" i="3"/>
  <c r="F64" i="1"/>
  <c r="H64" i="1" s="1"/>
  <c r="F34" i="1"/>
  <c r="J34" i="1" s="1"/>
  <c r="F62" i="1"/>
  <c r="F81" i="1"/>
  <c r="F104" i="1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O37" i="2" s="1"/>
  <c r="N16" i="2"/>
  <c r="M16" i="2"/>
  <c r="L16" i="2"/>
  <c r="K16" i="2"/>
  <c r="J16" i="2"/>
  <c r="O16" i="2" s="1"/>
  <c r="I16" i="2"/>
  <c r="H16" i="2"/>
  <c r="G16" i="2"/>
  <c r="F16" i="2"/>
  <c r="E16" i="2"/>
  <c r="D16" i="2"/>
  <c r="C16" i="2"/>
  <c r="B16" i="2"/>
  <c r="A37" i="2"/>
  <c r="A16" i="2"/>
  <c r="L141" i="1"/>
  <c r="K141" i="1"/>
  <c r="I141" i="1" s="1"/>
  <c r="D141" i="1"/>
  <c r="E141" i="1" s="1"/>
  <c r="C141" i="1"/>
  <c r="M135" i="1"/>
  <c r="I135" i="1"/>
  <c r="J135" i="1"/>
  <c r="G135" i="1"/>
  <c r="H135" i="1" s="1"/>
  <c r="F135" i="1"/>
  <c r="E135" i="1"/>
  <c r="H125" i="1"/>
  <c r="M125" i="1"/>
  <c r="I125" i="1"/>
  <c r="J125" i="1"/>
  <c r="G125" i="1"/>
  <c r="F125" i="1"/>
  <c r="E125" i="1"/>
  <c r="M115" i="1"/>
  <c r="I115" i="1"/>
  <c r="G115" i="1"/>
  <c r="F115" i="1"/>
  <c r="H115" i="1" s="1"/>
  <c r="E115" i="1"/>
  <c r="M105" i="1"/>
  <c r="I105" i="1"/>
  <c r="G105" i="1"/>
  <c r="F105" i="1"/>
  <c r="H105" i="1" s="1"/>
  <c r="E105" i="1"/>
  <c r="H95" i="1"/>
  <c r="M95" i="1"/>
  <c r="I95" i="1"/>
  <c r="J95" i="1"/>
  <c r="G95" i="1"/>
  <c r="F95" i="1"/>
  <c r="E95" i="1"/>
  <c r="M85" i="1"/>
  <c r="I85" i="1"/>
  <c r="G85" i="1"/>
  <c r="F85" i="1"/>
  <c r="H85" i="1" s="1"/>
  <c r="E85" i="1"/>
  <c r="H75" i="1"/>
  <c r="M75" i="1"/>
  <c r="I75" i="1"/>
  <c r="J75" i="1"/>
  <c r="G75" i="1"/>
  <c r="F75" i="1"/>
  <c r="E75" i="1"/>
  <c r="M65" i="1"/>
  <c r="I65" i="1"/>
  <c r="G65" i="1"/>
  <c r="F65" i="1"/>
  <c r="H65" i="1" s="1"/>
  <c r="E65" i="1"/>
  <c r="M55" i="1"/>
  <c r="I55" i="1"/>
  <c r="G55" i="1"/>
  <c r="F55" i="1"/>
  <c r="H55" i="1" s="1"/>
  <c r="E55" i="1"/>
  <c r="M45" i="1"/>
  <c r="I45" i="1"/>
  <c r="J45" i="1"/>
  <c r="G45" i="1"/>
  <c r="H45" i="1" s="1"/>
  <c r="F45" i="1"/>
  <c r="E45" i="1"/>
  <c r="M35" i="1"/>
  <c r="I35" i="1"/>
  <c r="G35" i="1"/>
  <c r="F35" i="1"/>
  <c r="H35" i="1" s="1"/>
  <c r="E35" i="1"/>
  <c r="H25" i="1"/>
  <c r="M25" i="1"/>
  <c r="I25" i="1"/>
  <c r="J25" i="1"/>
  <c r="G25" i="1"/>
  <c r="F25" i="1"/>
  <c r="E25" i="1"/>
  <c r="M15" i="1"/>
  <c r="I15" i="1"/>
  <c r="G15" i="1"/>
  <c r="G141" i="1" s="1"/>
  <c r="F15" i="1"/>
  <c r="F141" i="1" s="1"/>
  <c r="H141" i="1" s="1"/>
  <c r="E15" i="1"/>
  <c r="B135" i="1"/>
  <c r="B125" i="1"/>
  <c r="B115" i="1"/>
  <c r="B105" i="1"/>
  <c r="B95" i="1"/>
  <c r="B85" i="1"/>
  <c r="B75" i="1"/>
  <c r="B65" i="1"/>
  <c r="B55" i="1"/>
  <c r="B45" i="1"/>
  <c r="B35" i="1"/>
  <c r="B25" i="1"/>
  <c r="B15" i="1"/>
  <c r="F135" i="4"/>
  <c r="G135" i="4"/>
  <c r="H135" i="4" s="1"/>
  <c r="F125" i="4"/>
  <c r="G125" i="4"/>
  <c r="H125" i="4"/>
  <c r="F115" i="4"/>
  <c r="G115" i="4"/>
  <c r="H115" i="4" s="1"/>
  <c r="F105" i="4"/>
  <c r="G105" i="4"/>
  <c r="H105" i="4" s="1"/>
  <c r="F95" i="4"/>
  <c r="G95" i="4"/>
  <c r="H95" i="4" s="1"/>
  <c r="F85" i="4"/>
  <c r="G85" i="4"/>
  <c r="H85" i="4"/>
  <c r="F75" i="4"/>
  <c r="G75" i="4"/>
  <c r="H75" i="4" s="1"/>
  <c r="F65" i="4"/>
  <c r="G65" i="4"/>
  <c r="H65" i="4" s="1"/>
  <c r="F55" i="4"/>
  <c r="G55" i="4"/>
  <c r="H55" i="4" s="1"/>
  <c r="F45" i="4"/>
  <c r="G45" i="4"/>
  <c r="H45" i="4"/>
  <c r="F35" i="4"/>
  <c r="G35" i="4"/>
  <c r="H35" i="4" s="1"/>
  <c r="F25" i="4"/>
  <c r="G25" i="4"/>
  <c r="H25" i="4" s="1"/>
  <c r="F15" i="4"/>
  <c r="G15" i="4"/>
  <c r="H15" i="4" s="1"/>
  <c r="B135" i="4"/>
  <c r="B125" i="4"/>
  <c r="B115" i="4"/>
  <c r="B105" i="4"/>
  <c r="B95" i="4"/>
  <c r="B85" i="4"/>
  <c r="B75" i="4"/>
  <c r="B65" i="4"/>
  <c r="B55" i="4"/>
  <c r="B45" i="4"/>
  <c r="B35" i="4"/>
  <c r="B25" i="4"/>
  <c r="B15" i="4"/>
  <c r="F134" i="3"/>
  <c r="G134" i="3"/>
  <c r="F124" i="3"/>
  <c r="G124" i="3"/>
  <c r="F114" i="3"/>
  <c r="G114" i="3"/>
  <c r="F104" i="3"/>
  <c r="G104" i="3"/>
  <c r="F94" i="3"/>
  <c r="G94" i="3"/>
  <c r="F84" i="3"/>
  <c r="G84" i="3"/>
  <c r="F74" i="3"/>
  <c r="G74" i="3"/>
  <c r="F64" i="3"/>
  <c r="G64" i="3"/>
  <c r="F54" i="3"/>
  <c r="G54" i="3"/>
  <c r="F44" i="3"/>
  <c r="G44" i="3"/>
  <c r="F34" i="3"/>
  <c r="G34" i="3"/>
  <c r="F24" i="3"/>
  <c r="G24" i="3"/>
  <c r="F14" i="3"/>
  <c r="G14" i="3"/>
  <c r="B134" i="3"/>
  <c r="B124" i="3"/>
  <c r="B114" i="3"/>
  <c r="B104" i="3"/>
  <c r="B94" i="3"/>
  <c r="B84" i="3"/>
  <c r="B74" i="3"/>
  <c r="B64" i="3"/>
  <c r="B54" i="3"/>
  <c r="B44" i="3"/>
  <c r="B34" i="3"/>
  <c r="B24" i="3"/>
  <c r="B14" i="3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O36" i="2" s="1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A36" i="2"/>
  <c r="A15" i="2"/>
  <c r="F63" i="1"/>
  <c r="F103" i="1"/>
  <c r="H103" i="1" s="1"/>
  <c r="F101" i="1"/>
  <c r="M134" i="1"/>
  <c r="I134" i="1"/>
  <c r="J134" i="1"/>
  <c r="G134" i="1"/>
  <c r="H134" i="1" s="1"/>
  <c r="F134" i="1"/>
  <c r="E134" i="1"/>
  <c r="H124" i="1"/>
  <c r="M124" i="1"/>
  <c r="I124" i="1"/>
  <c r="J124" i="1"/>
  <c r="G124" i="1"/>
  <c r="F124" i="1"/>
  <c r="E124" i="1"/>
  <c r="M114" i="1"/>
  <c r="I114" i="1"/>
  <c r="G114" i="1"/>
  <c r="F114" i="1"/>
  <c r="H114" i="1" s="1"/>
  <c r="E114" i="1"/>
  <c r="M104" i="1"/>
  <c r="I104" i="1"/>
  <c r="G104" i="1"/>
  <c r="H104" i="1"/>
  <c r="E104" i="1"/>
  <c r="M94" i="1"/>
  <c r="I94" i="1"/>
  <c r="G94" i="1"/>
  <c r="F94" i="1"/>
  <c r="H94" i="1" s="1"/>
  <c r="E94" i="1"/>
  <c r="M84" i="1"/>
  <c r="I84" i="1"/>
  <c r="G84" i="1"/>
  <c r="F84" i="1"/>
  <c r="H84" i="1" s="1"/>
  <c r="E84" i="1"/>
  <c r="H74" i="1"/>
  <c r="M74" i="1"/>
  <c r="I74" i="1"/>
  <c r="J74" i="1"/>
  <c r="G74" i="1"/>
  <c r="F74" i="1"/>
  <c r="E74" i="1"/>
  <c r="M64" i="1"/>
  <c r="I64" i="1"/>
  <c r="J64" i="1"/>
  <c r="G64" i="1"/>
  <c r="E64" i="1"/>
  <c r="M54" i="1"/>
  <c r="I54" i="1"/>
  <c r="J54" i="1"/>
  <c r="G54" i="1"/>
  <c r="F54" i="1"/>
  <c r="E54" i="1"/>
  <c r="M44" i="1"/>
  <c r="I44" i="1"/>
  <c r="G44" i="1"/>
  <c r="F44" i="1"/>
  <c r="H44" i="1" s="1"/>
  <c r="E44" i="1"/>
  <c r="M34" i="1"/>
  <c r="I34" i="1"/>
  <c r="G34" i="1"/>
  <c r="E34" i="1"/>
  <c r="M24" i="1"/>
  <c r="I24" i="1"/>
  <c r="G24" i="1"/>
  <c r="F24" i="1"/>
  <c r="H24" i="1" s="1"/>
  <c r="E24" i="1"/>
  <c r="H14" i="1"/>
  <c r="M14" i="1"/>
  <c r="I14" i="1"/>
  <c r="J14" i="1"/>
  <c r="G14" i="1"/>
  <c r="F14" i="1"/>
  <c r="E14" i="1"/>
  <c r="B134" i="1"/>
  <c r="B124" i="1"/>
  <c r="B114" i="1"/>
  <c r="B104" i="1"/>
  <c r="B94" i="1"/>
  <c r="B84" i="1"/>
  <c r="B74" i="1"/>
  <c r="B64" i="1"/>
  <c r="B54" i="1"/>
  <c r="B44" i="1"/>
  <c r="B34" i="1"/>
  <c r="B24" i="1"/>
  <c r="B14" i="1"/>
  <c r="F13" i="1"/>
  <c r="J13" i="1" s="1"/>
  <c r="F134" i="4"/>
  <c r="G134" i="4"/>
  <c r="H134" i="4" s="1"/>
  <c r="F124" i="4"/>
  <c r="G124" i="4"/>
  <c r="H124" i="4" s="1"/>
  <c r="F114" i="4"/>
  <c r="G114" i="4"/>
  <c r="H114" i="4" s="1"/>
  <c r="F104" i="4"/>
  <c r="G104" i="4"/>
  <c r="H104" i="4"/>
  <c r="F94" i="4"/>
  <c r="G94" i="4"/>
  <c r="H94" i="4" s="1"/>
  <c r="F84" i="4"/>
  <c r="G84" i="4"/>
  <c r="H84" i="4" s="1"/>
  <c r="F74" i="4"/>
  <c r="G74" i="4"/>
  <c r="H74" i="4" s="1"/>
  <c r="F64" i="4"/>
  <c r="G64" i="4"/>
  <c r="H64" i="4"/>
  <c r="F54" i="4"/>
  <c r="G54" i="4"/>
  <c r="H54" i="4" s="1"/>
  <c r="F44" i="4"/>
  <c r="G44" i="4"/>
  <c r="H44" i="4" s="1"/>
  <c r="F34" i="4"/>
  <c r="G34" i="4"/>
  <c r="H34" i="4" s="1"/>
  <c r="F24" i="4"/>
  <c r="G24" i="4"/>
  <c r="H24" i="4"/>
  <c r="F14" i="4"/>
  <c r="G14" i="4"/>
  <c r="H14" i="4" s="1"/>
  <c r="B134" i="4"/>
  <c r="B124" i="4"/>
  <c r="B114" i="4"/>
  <c r="B104" i="4"/>
  <c r="B94" i="4"/>
  <c r="B84" i="4"/>
  <c r="B74" i="4"/>
  <c r="B64" i="4"/>
  <c r="B54" i="4"/>
  <c r="B44" i="4"/>
  <c r="B34" i="4"/>
  <c r="B24" i="4"/>
  <c r="B14" i="4"/>
  <c r="F133" i="3"/>
  <c r="G133" i="3"/>
  <c r="F123" i="3"/>
  <c r="G123" i="3"/>
  <c r="F113" i="3"/>
  <c r="G113" i="3"/>
  <c r="F103" i="3"/>
  <c r="G103" i="3"/>
  <c r="F93" i="3"/>
  <c r="G93" i="3"/>
  <c r="F83" i="3"/>
  <c r="G83" i="3"/>
  <c r="F73" i="3"/>
  <c r="G73" i="3"/>
  <c r="F63" i="3"/>
  <c r="G63" i="3"/>
  <c r="F53" i="3"/>
  <c r="G53" i="3"/>
  <c r="F43" i="3"/>
  <c r="G43" i="3"/>
  <c r="F33" i="3"/>
  <c r="G33" i="3"/>
  <c r="F23" i="3"/>
  <c r="G23" i="3"/>
  <c r="F13" i="3"/>
  <c r="G13" i="3"/>
  <c r="B133" i="3"/>
  <c r="B123" i="3"/>
  <c r="B113" i="3"/>
  <c r="B103" i="3"/>
  <c r="B93" i="3"/>
  <c r="B83" i="3"/>
  <c r="B73" i="3"/>
  <c r="B63" i="3"/>
  <c r="B53" i="3"/>
  <c r="B43" i="3"/>
  <c r="B33" i="3"/>
  <c r="B23" i="3"/>
  <c r="B13" i="3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O35" i="2" s="1"/>
  <c r="N14" i="2"/>
  <c r="M14" i="2"/>
  <c r="L14" i="2"/>
  <c r="K14" i="2"/>
  <c r="J14" i="2"/>
  <c r="I14" i="2"/>
  <c r="H14" i="2"/>
  <c r="G14" i="2"/>
  <c r="F14" i="2"/>
  <c r="E14" i="2"/>
  <c r="D14" i="2"/>
  <c r="C14" i="2"/>
  <c r="A35" i="2"/>
  <c r="A14" i="2"/>
  <c r="F102" i="1"/>
  <c r="F121" i="1"/>
  <c r="M133" i="1"/>
  <c r="I133" i="1"/>
  <c r="J133" i="1"/>
  <c r="G133" i="1"/>
  <c r="H133" i="1" s="1"/>
  <c r="F133" i="1"/>
  <c r="E133" i="1"/>
  <c r="M123" i="1"/>
  <c r="I123" i="1"/>
  <c r="G123" i="1"/>
  <c r="F123" i="1"/>
  <c r="H123" i="1" s="1"/>
  <c r="E123" i="1"/>
  <c r="M113" i="1"/>
  <c r="I113" i="1"/>
  <c r="G113" i="1"/>
  <c r="F113" i="1"/>
  <c r="J113" i="1" s="1"/>
  <c r="E113" i="1"/>
  <c r="M103" i="1"/>
  <c r="I103" i="1"/>
  <c r="G103" i="1"/>
  <c r="J103" i="1"/>
  <c r="E103" i="1"/>
  <c r="M93" i="1"/>
  <c r="I93" i="1"/>
  <c r="G93" i="1"/>
  <c r="F93" i="1"/>
  <c r="J93" i="1" s="1"/>
  <c r="E93" i="1"/>
  <c r="M83" i="1"/>
  <c r="I83" i="1"/>
  <c r="J83" i="1"/>
  <c r="G83" i="1"/>
  <c r="H83" i="1" s="1"/>
  <c r="F83" i="1"/>
  <c r="E83" i="1"/>
  <c r="H73" i="1"/>
  <c r="M73" i="1"/>
  <c r="I73" i="1"/>
  <c r="J73" i="1"/>
  <c r="G73" i="1"/>
  <c r="F73" i="1"/>
  <c r="E73" i="1"/>
  <c r="M63" i="1"/>
  <c r="I63" i="1"/>
  <c r="J63" i="1"/>
  <c r="G63" i="1"/>
  <c r="H63" i="1"/>
  <c r="E63" i="1"/>
  <c r="M53" i="1"/>
  <c r="I53" i="1"/>
  <c r="G53" i="1"/>
  <c r="F53" i="1"/>
  <c r="H53" i="1" s="1"/>
  <c r="E53" i="1"/>
  <c r="M43" i="1"/>
  <c r="I43" i="1"/>
  <c r="J43" i="1"/>
  <c r="G43" i="1"/>
  <c r="H43" i="1" s="1"/>
  <c r="F43" i="1"/>
  <c r="E43" i="1"/>
  <c r="M33" i="1"/>
  <c r="I33" i="1"/>
  <c r="G33" i="1"/>
  <c r="F33" i="1"/>
  <c r="H33" i="1" s="1"/>
  <c r="E33" i="1"/>
  <c r="M23" i="1"/>
  <c r="I23" i="1"/>
  <c r="G23" i="1"/>
  <c r="F23" i="1"/>
  <c r="J23" i="1" s="1"/>
  <c r="E23" i="1"/>
  <c r="M13" i="1"/>
  <c r="G13" i="1"/>
  <c r="B133" i="1"/>
  <c r="B123" i="1"/>
  <c r="B122" i="1"/>
  <c r="B113" i="1"/>
  <c r="B103" i="1"/>
  <c r="B93" i="1"/>
  <c r="B83" i="1"/>
  <c r="B73" i="1"/>
  <c r="B63" i="1"/>
  <c r="B53" i="1"/>
  <c r="B43" i="1"/>
  <c r="B33" i="1"/>
  <c r="B23" i="1"/>
  <c r="B13" i="1"/>
  <c r="F133" i="4"/>
  <c r="G133" i="4"/>
  <c r="H133" i="4"/>
  <c r="F123" i="4"/>
  <c r="G123" i="4"/>
  <c r="H123" i="4"/>
  <c r="F113" i="4"/>
  <c r="G113" i="4"/>
  <c r="H113" i="4"/>
  <c r="F103" i="4"/>
  <c r="G103" i="4"/>
  <c r="H103" i="4"/>
  <c r="F93" i="4"/>
  <c r="G93" i="4"/>
  <c r="H93" i="4"/>
  <c r="F83" i="4"/>
  <c r="G83" i="4"/>
  <c r="H83" i="4"/>
  <c r="F73" i="4"/>
  <c r="G73" i="4"/>
  <c r="H73" i="4"/>
  <c r="F63" i="4"/>
  <c r="G63" i="4"/>
  <c r="H63" i="4"/>
  <c r="F53" i="4"/>
  <c r="G53" i="4"/>
  <c r="H53" i="4"/>
  <c r="F43" i="4"/>
  <c r="G43" i="4"/>
  <c r="H43" i="4"/>
  <c r="F33" i="4"/>
  <c r="G33" i="4"/>
  <c r="H33" i="4"/>
  <c r="F23" i="4"/>
  <c r="G23" i="4"/>
  <c r="H23" i="4"/>
  <c r="G13" i="4"/>
  <c r="H13" i="4" s="1"/>
  <c r="F13" i="4"/>
  <c r="B133" i="4"/>
  <c r="B123" i="4"/>
  <c r="B113" i="4"/>
  <c r="B103" i="4"/>
  <c r="B93" i="4"/>
  <c r="B83" i="4"/>
  <c r="B73" i="4"/>
  <c r="B63" i="4"/>
  <c r="B53" i="4"/>
  <c r="B43" i="4"/>
  <c r="B33" i="4"/>
  <c r="B23" i="4"/>
  <c r="B13" i="4"/>
  <c r="F132" i="3"/>
  <c r="G132" i="3"/>
  <c r="F122" i="3"/>
  <c r="G122" i="3"/>
  <c r="F112" i="3"/>
  <c r="G112" i="3"/>
  <c r="F102" i="3"/>
  <c r="G102" i="3"/>
  <c r="F92" i="3"/>
  <c r="G92" i="3"/>
  <c r="F82" i="3"/>
  <c r="G82" i="3"/>
  <c r="F72" i="3"/>
  <c r="G72" i="3"/>
  <c r="F62" i="3"/>
  <c r="G62" i="3"/>
  <c r="F52" i="3"/>
  <c r="G52" i="3"/>
  <c r="F42" i="3"/>
  <c r="G42" i="3"/>
  <c r="F32" i="3"/>
  <c r="G32" i="3"/>
  <c r="F22" i="3"/>
  <c r="G22" i="3"/>
  <c r="G12" i="3"/>
  <c r="F12" i="3"/>
  <c r="B132" i="3"/>
  <c r="B122" i="3"/>
  <c r="B112" i="3"/>
  <c r="B102" i="3"/>
  <c r="B92" i="3"/>
  <c r="B82" i="3"/>
  <c r="B72" i="3"/>
  <c r="B62" i="3"/>
  <c r="B52" i="3"/>
  <c r="B42" i="3"/>
  <c r="B32" i="3"/>
  <c r="B22" i="3"/>
  <c r="B12" i="3"/>
  <c r="F29" i="1"/>
  <c r="F61" i="1"/>
  <c r="F80" i="1"/>
  <c r="F79" i="1"/>
  <c r="J79" i="1" s="1"/>
  <c r="J101" i="1"/>
  <c r="F100" i="1"/>
  <c r="H100" i="1" s="1"/>
  <c r="F99" i="1"/>
  <c r="F107" i="1" s="1"/>
  <c r="H107" i="1" s="1"/>
  <c r="H99" i="1"/>
  <c r="F129" i="1"/>
  <c r="F137" i="1" s="1"/>
  <c r="N34" i="2"/>
  <c r="M34" i="2"/>
  <c r="L34" i="2"/>
  <c r="K34" i="2"/>
  <c r="J34" i="2"/>
  <c r="I34" i="2"/>
  <c r="H34" i="2"/>
  <c r="G34" i="2"/>
  <c r="F34" i="2"/>
  <c r="E34" i="2"/>
  <c r="D34" i="2"/>
  <c r="C34" i="2"/>
  <c r="O34" i="2" s="1"/>
  <c r="B34" i="2"/>
  <c r="A34" i="2"/>
  <c r="N13" i="2"/>
  <c r="M13" i="2"/>
  <c r="L13" i="2"/>
  <c r="K13" i="2"/>
  <c r="J13" i="2"/>
  <c r="I13" i="2"/>
  <c r="H13" i="2"/>
  <c r="G13" i="2"/>
  <c r="F13" i="2"/>
  <c r="E13" i="2"/>
  <c r="O13" i="2" s="1"/>
  <c r="D13" i="2"/>
  <c r="C13" i="2"/>
  <c r="B13" i="2"/>
  <c r="A13" i="2"/>
  <c r="M132" i="1"/>
  <c r="I132" i="1"/>
  <c r="J132" i="1"/>
  <c r="G132" i="1"/>
  <c r="H132" i="1" s="1"/>
  <c r="F132" i="1"/>
  <c r="E132" i="1"/>
  <c r="H122" i="1"/>
  <c r="M122" i="1"/>
  <c r="I122" i="1"/>
  <c r="J122" i="1"/>
  <c r="G122" i="1"/>
  <c r="F122" i="1"/>
  <c r="E122" i="1"/>
  <c r="M112" i="1"/>
  <c r="I112" i="1"/>
  <c r="G112" i="1"/>
  <c r="F112" i="1"/>
  <c r="H112" i="1" s="1"/>
  <c r="E112" i="1"/>
  <c r="M102" i="1"/>
  <c r="I102" i="1"/>
  <c r="G102" i="1"/>
  <c r="H102" i="1" s="1"/>
  <c r="J102" i="1"/>
  <c r="E102" i="1"/>
  <c r="M92" i="1"/>
  <c r="I92" i="1"/>
  <c r="J92" i="1"/>
  <c r="G92" i="1"/>
  <c r="H92" i="1" s="1"/>
  <c r="F92" i="1"/>
  <c r="E92" i="1"/>
  <c r="M82" i="1"/>
  <c r="I82" i="1"/>
  <c r="G82" i="1"/>
  <c r="F82" i="1"/>
  <c r="H82" i="1" s="1"/>
  <c r="E82" i="1"/>
  <c r="M72" i="1"/>
  <c r="I72" i="1"/>
  <c r="G72" i="1"/>
  <c r="F72" i="1"/>
  <c r="J72" i="1" s="1"/>
  <c r="E72" i="1"/>
  <c r="M62" i="1"/>
  <c r="I62" i="1"/>
  <c r="G62" i="1"/>
  <c r="H62" i="1" s="1"/>
  <c r="J62" i="1"/>
  <c r="E62" i="1"/>
  <c r="M52" i="1"/>
  <c r="I52" i="1"/>
  <c r="G52" i="1"/>
  <c r="F52" i="1"/>
  <c r="J52" i="1" s="1"/>
  <c r="E52" i="1"/>
  <c r="M42" i="1"/>
  <c r="I42" i="1"/>
  <c r="G42" i="1"/>
  <c r="F42" i="1"/>
  <c r="H42" i="1" s="1"/>
  <c r="E42" i="1"/>
  <c r="M32" i="1"/>
  <c r="I32" i="1"/>
  <c r="J32" i="1"/>
  <c r="G32" i="1"/>
  <c r="F32" i="1"/>
  <c r="H32" i="1" s="1"/>
  <c r="E32" i="1"/>
  <c r="M22" i="1"/>
  <c r="I22" i="1"/>
  <c r="G22" i="1"/>
  <c r="G27" i="1" s="1"/>
  <c r="F22" i="1"/>
  <c r="F27" i="1" s="1"/>
  <c r="E22" i="1"/>
  <c r="M12" i="1"/>
  <c r="I12" i="1"/>
  <c r="E12" i="1"/>
  <c r="G12" i="1"/>
  <c r="F12" i="1"/>
  <c r="J12" i="1" s="1"/>
  <c r="B132" i="1"/>
  <c r="B112" i="1"/>
  <c r="B102" i="1"/>
  <c r="B92" i="1"/>
  <c r="B82" i="1"/>
  <c r="B72" i="1"/>
  <c r="B62" i="1"/>
  <c r="B52" i="1"/>
  <c r="B42" i="1"/>
  <c r="B32" i="1"/>
  <c r="B22" i="1"/>
  <c r="B12" i="1"/>
  <c r="G132" i="4"/>
  <c r="H132" i="4" s="1"/>
  <c r="F132" i="4"/>
  <c r="G122" i="4"/>
  <c r="H122" i="4" s="1"/>
  <c r="F122" i="4"/>
  <c r="G112" i="4"/>
  <c r="H112" i="4" s="1"/>
  <c r="F112" i="4"/>
  <c r="G102" i="4"/>
  <c r="H102" i="4"/>
  <c r="F102" i="4"/>
  <c r="G92" i="4"/>
  <c r="H92" i="4" s="1"/>
  <c r="F92" i="4"/>
  <c r="G82" i="4"/>
  <c r="H82" i="4" s="1"/>
  <c r="F82" i="4"/>
  <c r="G72" i="4"/>
  <c r="H72" i="4" s="1"/>
  <c r="F72" i="4"/>
  <c r="G62" i="4"/>
  <c r="H62" i="4"/>
  <c r="F62" i="4"/>
  <c r="G52" i="4"/>
  <c r="H52" i="4" s="1"/>
  <c r="F52" i="4"/>
  <c r="G42" i="4"/>
  <c r="H42" i="4" s="1"/>
  <c r="F42" i="4"/>
  <c r="G32" i="4"/>
  <c r="H32" i="4" s="1"/>
  <c r="F32" i="4"/>
  <c r="G22" i="4"/>
  <c r="H22" i="4"/>
  <c r="F22" i="4"/>
  <c r="G12" i="4"/>
  <c r="H12" i="4" s="1"/>
  <c r="F12" i="4"/>
  <c r="B132" i="4"/>
  <c r="B122" i="4"/>
  <c r="B112" i="4"/>
  <c r="B102" i="4"/>
  <c r="B92" i="4"/>
  <c r="B82" i="4"/>
  <c r="B72" i="4"/>
  <c r="B62" i="4"/>
  <c r="B52" i="4"/>
  <c r="B42" i="4"/>
  <c r="B32" i="4"/>
  <c r="B22" i="4"/>
  <c r="B12" i="4"/>
  <c r="G131" i="3"/>
  <c r="F131" i="3"/>
  <c r="G121" i="3"/>
  <c r="F121" i="3"/>
  <c r="G111" i="3"/>
  <c r="F111" i="3"/>
  <c r="G101" i="3"/>
  <c r="F101" i="3"/>
  <c r="G91" i="3"/>
  <c r="F91" i="3"/>
  <c r="G81" i="3"/>
  <c r="F81" i="3"/>
  <c r="G71" i="3"/>
  <c r="F71" i="3"/>
  <c r="G61" i="3"/>
  <c r="F61" i="3"/>
  <c r="G51" i="3"/>
  <c r="F51" i="3"/>
  <c r="G41" i="3"/>
  <c r="F41" i="3"/>
  <c r="G31" i="3"/>
  <c r="F31" i="3"/>
  <c r="G21" i="3"/>
  <c r="F21" i="3"/>
  <c r="G11" i="3"/>
  <c r="F11" i="3"/>
  <c r="B131" i="3"/>
  <c r="B121" i="3"/>
  <c r="B111" i="3"/>
  <c r="B101" i="3"/>
  <c r="B91" i="3"/>
  <c r="B81" i="3"/>
  <c r="B71" i="3"/>
  <c r="B61" i="3"/>
  <c r="B51" i="3"/>
  <c r="B41" i="3"/>
  <c r="B31" i="3"/>
  <c r="B21" i="3"/>
  <c r="B11" i="3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N12" i="2"/>
  <c r="M12" i="2"/>
  <c r="L12" i="2"/>
  <c r="K12" i="2"/>
  <c r="J12" i="2"/>
  <c r="I12" i="2"/>
  <c r="H12" i="2"/>
  <c r="G12" i="2"/>
  <c r="G23" i="2" s="1"/>
  <c r="F12" i="2"/>
  <c r="E12" i="2"/>
  <c r="D12" i="2"/>
  <c r="C12" i="2"/>
  <c r="B12" i="2"/>
  <c r="A33" i="2"/>
  <c r="A12" i="2"/>
  <c r="F60" i="1"/>
  <c r="J60" i="1" s="1"/>
  <c r="F59" i="1"/>
  <c r="J59" i="1" s="1"/>
  <c r="J80" i="1"/>
  <c r="M131" i="1"/>
  <c r="J131" i="1"/>
  <c r="I131" i="1"/>
  <c r="E131" i="1"/>
  <c r="G131" i="1"/>
  <c r="F131" i="1"/>
  <c r="H131" i="1" s="1"/>
  <c r="M121" i="1"/>
  <c r="I121" i="1"/>
  <c r="H121" i="1"/>
  <c r="E121" i="1"/>
  <c r="G121" i="1"/>
  <c r="J121" i="1"/>
  <c r="M111" i="1"/>
  <c r="I111" i="1"/>
  <c r="H111" i="1"/>
  <c r="E111" i="1"/>
  <c r="G111" i="1"/>
  <c r="F111" i="1"/>
  <c r="J111" i="1" s="1"/>
  <c r="M101" i="1"/>
  <c r="I101" i="1"/>
  <c r="E101" i="1"/>
  <c r="G101" i="1"/>
  <c r="M91" i="1"/>
  <c r="J91" i="1"/>
  <c r="I91" i="1"/>
  <c r="E91" i="1"/>
  <c r="G91" i="1"/>
  <c r="F91" i="1"/>
  <c r="H91" i="1" s="1"/>
  <c r="M81" i="1"/>
  <c r="I81" i="1"/>
  <c r="H81" i="1"/>
  <c r="E81" i="1"/>
  <c r="G81" i="1"/>
  <c r="J81" i="1"/>
  <c r="M71" i="1"/>
  <c r="I71" i="1"/>
  <c r="H71" i="1"/>
  <c r="E71" i="1"/>
  <c r="G71" i="1"/>
  <c r="F71" i="1"/>
  <c r="J71" i="1" s="1"/>
  <c r="M61" i="1"/>
  <c r="I61" i="1"/>
  <c r="E61" i="1"/>
  <c r="G61" i="1"/>
  <c r="J61" i="1"/>
  <c r="M51" i="1"/>
  <c r="I51" i="1"/>
  <c r="H51" i="1"/>
  <c r="E51" i="1"/>
  <c r="G51" i="1"/>
  <c r="F51" i="1"/>
  <c r="J51" i="1" s="1"/>
  <c r="M41" i="1"/>
  <c r="J41" i="1"/>
  <c r="I41" i="1"/>
  <c r="E41" i="1"/>
  <c r="G41" i="1"/>
  <c r="H41" i="1" s="1"/>
  <c r="F41" i="1"/>
  <c r="M31" i="1"/>
  <c r="I31" i="1"/>
  <c r="E31" i="1"/>
  <c r="G31" i="1"/>
  <c r="F31" i="1"/>
  <c r="J31" i="1" s="1"/>
  <c r="M21" i="1"/>
  <c r="I21" i="1"/>
  <c r="H21" i="1"/>
  <c r="E21" i="1"/>
  <c r="G21" i="1"/>
  <c r="F21" i="1"/>
  <c r="J21" i="1" s="1"/>
  <c r="M11" i="1"/>
  <c r="J11" i="1"/>
  <c r="I11" i="1"/>
  <c r="E11" i="1"/>
  <c r="G11" i="1"/>
  <c r="H11" i="1" s="1"/>
  <c r="F11" i="1"/>
  <c r="B131" i="1"/>
  <c r="B121" i="1"/>
  <c r="B111" i="1"/>
  <c r="B101" i="1"/>
  <c r="B91" i="1"/>
  <c r="B81" i="1"/>
  <c r="B71" i="1"/>
  <c r="B61" i="1"/>
  <c r="B51" i="1"/>
  <c r="B41" i="1"/>
  <c r="B31" i="1"/>
  <c r="B21" i="1"/>
  <c r="B11" i="1"/>
  <c r="G131" i="4"/>
  <c r="H131" i="4"/>
  <c r="F131" i="4"/>
  <c r="G121" i="4"/>
  <c r="H121" i="4" s="1"/>
  <c r="F121" i="4"/>
  <c r="G111" i="4"/>
  <c r="H111" i="4"/>
  <c r="F111" i="4"/>
  <c r="G101" i="4"/>
  <c r="H101" i="4"/>
  <c r="F101" i="4"/>
  <c r="G91" i="4"/>
  <c r="H91" i="4"/>
  <c r="F91" i="4"/>
  <c r="G81" i="4"/>
  <c r="H81" i="4" s="1"/>
  <c r="F81" i="4"/>
  <c r="G71" i="4"/>
  <c r="H71" i="4"/>
  <c r="F71" i="4"/>
  <c r="G61" i="4"/>
  <c r="H61" i="4"/>
  <c r="F61" i="4"/>
  <c r="G51" i="4"/>
  <c r="H51" i="4"/>
  <c r="F51" i="4"/>
  <c r="G41" i="4"/>
  <c r="H41" i="4" s="1"/>
  <c r="F41" i="4"/>
  <c r="G31" i="4"/>
  <c r="H31" i="4"/>
  <c r="F31" i="4"/>
  <c r="G21" i="4"/>
  <c r="H21" i="4"/>
  <c r="F21" i="4"/>
  <c r="G11" i="4"/>
  <c r="H11" i="4"/>
  <c r="F11" i="4"/>
  <c r="B131" i="4"/>
  <c r="B121" i="4"/>
  <c r="B111" i="4"/>
  <c r="B101" i="4"/>
  <c r="B91" i="4"/>
  <c r="B81" i="4"/>
  <c r="B71" i="4"/>
  <c r="B61" i="4"/>
  <c r="B51" i="4"/>
  <c r="B41" i="4"/>
  <c r="B31" i="4"/>
  <c r="B21" i="4"/>
  <c r="B11" i="4"/>
  <c r="G130" i="3"/>
  <c r="F130" i="3"/>
  <c r="G120" i="3"/>
  <c r="F120" i="3"/>
  <c r="G110" i="3"/>
  <c r="F110" i="3"/>
  <c r="G100" i="3"/>
  <c r="F100" i="3"/>
  <c r="G90" i="3"/>
  <c r="F90" i="3"/>
  <c r="G80" i="3"/>
  <c r="F80" i="3"/>
  <c r="G70" i="3"/>
  <c r="F70" i="3"/>
  <c r="G60" i="3"/>
  <c r="F60" i="3"/>
  <c r="G50" i="3"/>
  <c r="F50" i="3"/>
  <c r="G40" i="3"/>
  <c r="F40" i="3"/>
  <c r="G30" i="3"/>
  <c r="F30" i="3"/>
  <c r="G20" i="3"/>
  <c r="F20" i="3"/>
  <c r="G10" i="3"/>
  <c r="F10" i="3"/>
  <c r="B130" i="3"/>
  <c r="B120" i="3"/>
  <c r="B110" i="3"/>
  <c r="B100" i="3"/>
  <c r="B90" i="3"/>
  <c r="B80" i="3"/>
  <c r="B70" i="3"/>
  <c r="B60" i="3"/>
  <c r="B50" i="3"/>
  <c r="B40" i="3"/>
  <c r="B30" i="3"/>
  <c r="B20" i="3"/>
  <c r="B10" i="3"/>
  <c r="N32" i="2"/>
  <c r="M32" i="2"/>
  <c r="L32" i="2"/>
  <c r="L44" i="2" s="1"/>
  <c r="K32" i="2"/>
  <c r="O32" i="2" s="1"/>
  <c r="J32" i="2"/>
  <c r="I32" i="2"/>
  <c r="H32" i="2"/>
  <c r="G32" i="2"/>
  <c r="F32" i="2"/>
  <c r="E32" i="2"/>
  <c r="D32" i="2"/>
  <c r="C32" i="2"/>
  <c r="B32" i="2"/>
  <c r="N11" i="2"/>
  <c r="M11" i="2"/>
  <c r="L11" i="2"/>
  <c r="L23" i="2" s="1"/>
  <c r="K11" i="2"/>
  <c r="J11" i="2"/>
  <c r="I11" i="2"/>
  <c r="I23" i="2" s="1"/>
  <c r="H11" i="2"/>
  <c r="G11" i="2"/>
  <c r="F11" i="2"/>
  <c r="E11" i="2"/>
  <c r="E23" i="2" s="1"/>
  <c r="D11" i="2"/>
  <c r="C11" i="2"/>
  <c r="O11" i="2" s="1"/>
  <c r="B11" i="2"/>
  <c r="A32" i="2"/>
  <c r="A11" i="2"/>
  <c r="M130" i="1"/>
  <c r="I130" i="1"/>
  <c r="E130" i="1"/>
  <c r="G130" i="1"/>
  <c r="F130" i="1"/>
  <c r="J130" i="1" s="1"/>
  <c r="M120" i="1"/>
  <c r="J120" i="1"/>
  <c r="I120" i="1"/>
  <c r="H120" i="1"/>
  <c r="E120" i="1"/>
  <c r="G120" i="1"/>
  <c r="F120" i="1"/>
  <c r="M110" i="1"/>
  <c r="I110" i="1"/>
  <c r="E110" i="1"/>
  <c r="G110" i="1"/>
  <c r="F110" i="1"/>
  <c r="F117" i="1" s="1"/>
  <c r="M100" i="1"/>
  <c r="J100" i="1"/>
  <c r="I100" i="1"/>
  <c r="E100" i="1"/>
  <c r="G100" i="1"/>
  <c r="M90" i="1"/>
  <c r="J90" i="1"/>
  <c r="I90" i="1"/>
  <c r="E90" i="1"/>
  <c r="G90" i="1"/>
  <c r="G97" i="1" s="1"/>
  <c r="F90" i="1"/>
  <c r="M80" i="1"/>
  <c r="I80" i="1"/>
  <c r="E80" i="1"/>
  <c r="G80" i="1"/>
  <c r="H80" i="1"/>
  <c r="M70" i="1"/>
  <c r="J70" i="1"/>
  <c r="I70" i="1"/>
  <c r="E70" i="1"/>
  <c r="G70" i="1"/>
  <c r="H70" i="1" s="1"/>
  <c r="F70" i="1"/>
  <c r="M60" i="1"/>
  <c r="I60" i="1"/>
  <c r="E60" i="1"/>
  <c r="G60" i="1"/>
  <c r="M50" i="1"/>
  <c r="J50" i="1"/>
  <c r="I50" i="1"/>
  <c r="E50" i="1"/>
  <c r="G50" i="1"/>
  <c r="H50" i="1" s="1"/>
  <c r="F50" i="1"/>
  <c r="M40" i="1"/>
  <c r="J40" i="1"/>
  <c r="I40" i="1"/>
  <c r="E40" i="1"/>
  <c r="G40" i="1"/>
  <c r="F40" i="1"/>
  <c r="F47" i="1" s="1"/>
  <c r="M30" i="1"/>
  <c r="I30" i="1"/>
  <c r="E30" i="1"/>
  <c r="G30" i="1"/>
  <c r="G37" i="1" s="1"/>
  <c r="F30" i="1"/>
  <c r="J30" i="1" s="1"/>
  <c r="M20" i="1"/>
  <c r="I20" i="1"/>
  <c r="E20" i="1"/>
  <c r="G20" i="1"/>
  <c r="F20" i="1"/>
  <c r="J20" i="1" s="1"/>
  <c r="M10" i="1"/>
  <c r="J10" i="1"/>
  <c r="I10" i="1"/>
  <c r="H10" i="1"/>
  <c r="E10" i="1"/>
  <c r="G10" i="1"/>
  <c r="F10" i="1"/>
  <c r="B130" i="1"/>
  <c r="B120" i="1"/>
  <c r="B110" i="1"/>
  <c r="B100" i="1"/>
  <c r="B90" i="1"/>
  <c r="B80" i="1"/>
  <c r="B70" i="1"/>
  <c r="B60" i="1"/>
  <c r="B50" i="1"/>
  <c r="B40" i="1"/>
  <c r="B30" i="1"/>
  <c r="B20" i="1"/>
  <c r="B10" i="1"/>
  <c r="B130" i="4"/>
  <c r="B120" i="4"/>
  <c r="B110" i="4"/>
  <c r="B100" i="4"/>
  <c r="B90" i="4"/>
  <c r="B80" i="4"/>
  <c r="B70" i="4"/>
  <c r="B60" i="4"/>
  <c r="B50" i="4"/>
  <c r="B40" i="4"/>
  <c r="B30" i="4"/>
  <c r="B20" i="4"/>
  <c r="B10" i="4"/>
  <c r="B129" i="3"/>
  <c r="B119" i="3"/>
  <c r="B109" i="3"/>
  <c r="B99" i="3"/>
  <c r="B89" i="3"/>
  <c r="B79" i="3"/>
  <c r="B69" i="3"/>
  <c r="B59" i="3"/>
  <c r="B49" i="3"/>
  <c r="B39" i="3"/>
  <c r="B29" i="3"/>
  <c r="B19" i="3"/>
  <c r="B9" i="3"/>
  <c r="A31" i="2"/>
  <c r="A10" i="2"/>
  <c r="G129" i="1"/>
  <c r="G119" i="1"/>
  <c r="H119" i="1" s="1"/>
  <c r="F119" i="1"/>
  <c r="F127" i="1" s="1"/>
  <c r="H127" i="1" s="1"/>
  <c r="B119" i="1"/>
  <c r="G109" i="1"/>
  <c r="H109" i="1" s="1"/>
  <c r="F109" i="1"/>
  <c r="G99" i="1"/>
  <c r="G89" i="1"/>
  <c r="H89" i="1" s="1"/>
  <c r="F89" i="1"/>
  <c r="G79" i="1"/>
  <c r="G69" i="1"/>
  <c r="F69" i="1"/>
  <c r="F77" i="1" s="1"/>
  <c r="G59" i="1"/>
  <c r="G67" i="1" s="1"/>
  <c r="G49" i="1"/>
  <c r="F49" i="1"/>
  <c r="J49" i="1" s="1"/>
  <c r="G39" i="1"/>
  <c r="G47" i="1" s="1"/>
  <c r="F39" i="1"/>
  <c r="G29" i="1"/>
  <c r="H29" i="1" s="1"/>
  <c r="J29" i="1"/>
  <c r="G19" i="1"/>
  <c r="F19" i="1"/>
  <c r="G9" i="1"/>
  <c r="F9" i="1"/>
  <c r="J9" i="1" s="1"/>
  <c r="B129" i="1"/>
  <c r="B109" i="1"/>
  <c r="B99" i="1"/>
  <c r="B89" i="1"/>
  <c r="B79" i="1"/>
  <c r="B69" i="1"/>
  <c r="B59" i="1"/>
  <c r="B49" i="1"/>
  <c r="B39" i="1"/>
  <c r="B29" i="1"/>
  <c r="B19" i="1"/>
  <c r="B9" i="1"/>
  <c r="J119" i="1"/>
  <c r="J109" i="1"/>
  <c r="G77" i="1"/>
  <c r="J69" i="1"/>
  <c r="L47" i="1"/>
  <c r="F60" i="4"/>
  <c r="F59" i="3"/>
  <c r="M59" i="1"/>
  <c r="E59" i="1"/>
  <c r="F130" i="4"/>
  <c r="F129" i="3"/>
  <c r="G31" i="2"/>
  <c r="G44" i="2" s="1"/>
  <c r="G10" i="2"/>
  <c r="M129" i="1"/>
  <c r="E129" i="1"/>
  <c r="E68" i="4"/>
  <c r="D68" i="4"/>
  <c r="F68" i="4" s="1"/>
  <c r="C68" i="4"/>
  <c r="G60" i="4"/>
  <c r="H60" i="4"/>
  <c r="E67" i="3"/>
  <c r="F67" i="3" s="1"/>
  <c r="D67" i="3"/>
  <c r="C67" i="3"/>
  <c r="G67" i="3" s="1"/>
  <c r="G59" i="3"/>
  <c r="L67" i="1"/>
  <c r="D67" i="1"/>
  <c r="C67" i="1"/>
  <c r="E67" i="1" s="1"/>
  <c r="I59" i="1"/>
  <c r="G130" i="4"/>
  <c r="H130" i="4" s="1"/>
  <c r="G129" i="3"/>
  <c r="I129" i="1"/>
  <c r="D17" i="1"/>
  <c r="D27" i="1"/>
  <c r="D37" i="1"/>
  <c r="D47" i="1"/>
  <c r="E47" i="1" s="1"/>
  <c r="D57" i="1"/>
  <c r="D77" i="1"/>
  <c r="D87" i="1"/>
  <c r="D97" i="1"/>
  <c r="D107" i="1"/>
  <c r="D117" i="1"/>
  <c r="E117" i="1"/>
  <c r="D127" i="1"/>
  <c r="D137" i="1"/>
  <c r="D139" i="1" s="1"/>
  <c r="C137" i="1"/>
  <c r="E137" i="1" s="1"/>
  <c r="C138" i="4"/>
  <c r="C140" i="4" s="1"/>
  <c r="D138" i="4"/>
  <c r="C137" i="3"/>
  <c r="G137" i="3"/>
  <c r="D137" i="3"/>
  <c r="E18" i="4"/>
  <c r="E28" i="4"/>
  <c r="E38" i="4"/>
  <c r="E48" i="4"/>
  <c r="E58" i="4"/>
  <c r="F58" i="4" s="1"/>
  <c r="E78" i="4"/>
  <c r="E88" i="4"/>
  <c r="F88" i="4" s="1"/>
  <c r="E98" i="4"/>
  <c r="F98" i="4" s="1"/>
  <c r="E108" i="4"/>
  <c r="E118" i="4"/>
  <c r="E128" i="4"/>
  <c r="F128" i="4" s="1"/>
  <c r="E138" i="4"/>
  <c r="D18" i="4"/>
  <c r="F18" i="4" s="1"/>
  <c r="D28" i="4"/>
  <c r="G28" i="4" s="1"/>
  <c r="H28" i="4" s="1"/>
  <c r="F28" i="4"/>
  <c r="D38" i="4"/>
  <c r="G38" i="4" s="1"/>
  <c r="H38" i="4" s="1"/>
  <c r="D48" i="4"/>
  <c r="G48" i="4"/>
  <c r="H48" i="4"/>
  <c r="D58" i="4"/>
  <c r="D78" i="4"/>
  <c r="D88" i="4"/>
  <c r="G88" i="4" s="1"/>
  <c r="H88" i="4" s="1"/>
  <c r="D98" i="4"/>
  <c r="D108" i="4"/>
  <c r="F108" i="4"/>
  <c r="D118" i="4"/>
  <c r="G118" i="4" s="1"/>
  <c r="H118" i="4" s="1"/>
  <c r="D128" i="4"/>
  <c r="C18" i="4"/>
  <c r="G18" i="4" s="1"/>
  <c r="H18" i="4" s="1"/>
  <c r="C28" i="4"/>
  <c r="C38" i="4"/>
  <c r="C48" i="4"/>
  <c r="C58" i="4"/>
  <c r="G58" i="4" s="1"/>
  <c r="H58" i="4" s="1"/>
  <c r="C78" i="4"/>
  <c r="G78" i="4" s="1"/>
  <c r="H78" i="4" s="1"/>
  <c r="C88" i="4"/>
  <c r="C98" i="4"/>
  <c r="C108" i="4"/>
  <c r="C118" i="4"/>
  <c r="C128" i="4"/>
  <c r="F100" i="4"/>
  <c r="E17" i="3"/>
  <c r="E27" i="3"/>
  <c r="E37" i="3"/>
  <c r="E47" i="3"/>
  <c r="E57" i="3"/>
  <c r="E77" i="3"/>
  <c r="F77" i="3" s="1"/>
  <c r="E87" i="3"/>
  <c r="E97" i="3"/>
  <c r="F97" i="3"/>
  <c r="E107" i="3"/>
  <c r="E117" i="3"/>
  <c r="E127" i="3"/>
  <c r="E137" i="3"/>
  <c r="E139" i="3" s="1"/>
  <c r="D17" i="3"/>
  <c r="F17" i="3" s="1"/>
  <c r="D27" i="3"/>
  <c r="G27" i="3" s="1"/>
  <c r="D37" i="3"/>
  <c r="G37" i="3" s="1"/>
  <c r="D47" i="3"/>
  <c r="F47" i="3" s="1"/>
  <c r="D57" i="3"/>
  <c r="D77" i="3"/>
  <c r="D87" i="3"/>
  <c r="F87" i="3"/>
  <c r="D97" i="3"/>
  <c r="D107" i="3"/>
  <c r="D117" i="3"/>
  <c r="G117" i="3" s="1"/>
  <c r="D127" i="3"/>
  <c r="D139" i="3" s="1"/>
  <c r="C17" i="3"/>
  <c r="C27" i="3"/>
  <c r="C37" i="3"/>
  <c r="C47" i="3"/>
  <c r="C57" i="3"/>
  <c r="G57" i="3" s="1"/>
  <c r="C77" i="3"/>
  <c r="C87" i="3"/>
  <c r="G87" i="3" s="1"/>
  <c r="C97" i="3"/>
  <c r="C107" i="3"/>
  <c r="C117" i="3"/>
  <c r="C127" i="3"/>
  <c r="C139" i="3" s="1"/>
  <c r="F99" i="3"/>
  <c r="M99" i="1"/>
  <c r="E99" i="1"/>
  <c r="L17" i="1"/>
  <c r="L27" i="1"/>
  <c r="L37" i="1"/>
  <c r="L57" i="1"/>
  <c r="L77" i="1"/>
  <c r="L87" i="1"/>
  <c r="L139" i="1" s="1"/>
  <c r="L97" i="1"/>
  <c r="L107" i="1"/>
  <c r="L117" i="1"/>
  <c r="L127" i="1"/>
  <c r="K17" i="1"/>
  <c r="M17" i="1" s="1"/>
  <c r="K27" i="1"/>
  <c r="C27" i="1"/>
  <c r="I27" i="1" s="1"/>
  <c r="C37" i="1"/>
  <c r="E37" i="1" s="1"/>
  <c r="C47" i="1"/>
  <c r="I47" i="1" s="1"/>
  <c r="C57" i="1"/>
  <c r="I57" i="1" s="1"/>
  <c r="C77" i="1"/>
  <c r="E77" i="1" s="1"/>
  <c r="C87" i="1"/>
  <c r="E87" i="1" s="1"/>
  <c r="C97" i="1"/>
  <c r="C107" i="1"/>
  <c r="E107" i="1" s="1"/>
  <c r="C117" i="1"/>
  <c r="C127" i="1"/>
  <c r="E109" i="1"/>
  <c r="I109" i="1"/>
  <c r="M109" i="1"/>
  <c r="K107" i="1"/>
  <c r="M107" i="1" s="1"/>
  <c r="F120" i="4"/>
  <c r="K31" i="2"/>
  <c r="K44" i="2" s="1"/>
  <c r="K10" i="2"/>
  <c r="K23" i="2" s="1"/>
  <c r="K47" i="1"/>
  <c r="K57" i="1"/>
  <c r="M57" i="1"/>
  <c r="K77" i="1"/>
  <c r="M77" i="1"/>
  <c r="K87" i="1"/>
  <c r="K97" i="1"/>
  <c r="I97" i="1" s="1"/>
  <c r="K127" i="1"/>
  <c r="I99" i="1"/>
  <c r="G100" i="4"/>
  <c r="H100" i="4"/>
  <c r="G99" i="3"/>
  <c r="F80" i="4"/>
  <c r="F79" i="3"/>
  <c r="N31" i="2"/>
  <c r="M31" i="2"/>
  <c r="L31" i="2"/>
  <c r="J31" i="2"/>
  <c r="J44" i="2" s="1"/>
  <c r="I31" i="2"/>
  <c r="I44" i="2" s="1"/>
  <c r="H31" i="2"/>
  <c r="H44" i="2" s="1"/>
  <c r="F31" i="2"/>
  <c r="F44" i="2" s="1"/>
  <c r="E31" i="2"/>
  <c r="E44" i="2" s="1"/>
  <c r="C31" i="2"/>
  <c r="O31" i="2" s="1"/>
  <c r="B31" i="2"/>
  <c r="M79" i="1"/>
  <c r="E79" i="1"/>
  <c r="I10" i="2"/>
  <c r="G80" i="4"/>
  <c r="H80" i="4" s="1"/>
  <c r="G90" i="4"/>
  <c r="H90" i="4"/>
  <c r="F90" i="4"/>
  <c r="G79" i="3"/>
  <c r="I79" i="1"/>
  <c r="F10" i="4"/>
  <c r="G10" i="4"/>
  <c r="H10" i="4"/>
  <c r="I9" i="1"/>
  <c r="I19" i="1"/>
  <c r="I39" i="1"/>
  <c r="I49" i="1"/>
  <c r="I69" i="1"/>
  <c r="I89" i="1"/>
  <c r="I119" i="1"/>
  <c r="E9" i="1"/>
  <c r="M9" i="1"/>
  <c r="E19" i="1"/>
  <c r="M19" i="1"/>
  <c r="E29" i="1"/>
  <c r="E39" i="1"/>
  <c r="M39" i="1"/>
  <c r="E49" i="1"/>
  <c r="M49" i="1"/>
  <c r="E69" i="1"/>
  <c r="M69" i="1"/>
  <c r="E89" i="1"/>
  <c r="M89" i="1"/>
  <c r="E119" i="1"/>
  <c r="M119" i="1"/>
  <c r="F20" i="4"/>
  <c r="G20" i="4"/>
  <c r="H20" i="4"/>
  <c r="F30" i="4"/>
  <c r="G30" i="4"/>
  <c r="H30" i="4" s="1"/>
  <c r="F40" i="4"/>
  <c r="G40" i="4"/>
  <c r="H40" i="4"/>
  <c r="F50" i="4"/>
  <c r="G50" i="4"/>
  <c r="H50" i="4"/>
  <c r="F70" i="4"/>
  <c r="G70" i="4"/>
  <c r="H70" i="4"/>
  <c r="F110" i="4"/>
  <c r="G110" i="4"/>
  <c r="H110" i="4" s="1"/>
  <c r="G120" i="4"/>
  <c r="H120" i="4"/>
  <c r="F9" i="3"/>
  <c r="F19" i="3"/>
  <c r="G19" i="3"/>
  <c r="F29" i="3"/>
  <c r="G29" i="3"/>
  <c r="F39" i="3"/>
  <c r="G39" i="3"/>
  <c r="F49" i="3"/>
  <c r="G49" i="3"/>
  <c r="F69" i="3"/>
  <c r="G69" i="3"/>
  <c r="F89" i="3"/>
  <c r="G89" i="3"/>
  <c r="F109" i="3"/>
  <c r="G109" i="3"/>
  <c r="F119" i="3"/>
  <c r="G119" i="3"/>
  <c r="G9" i="3"/>
  <c r="B10" i="2"/>
  <c r="C10" i="2"/>
  <c r="D10" i="2"/>
  <c r="D23" i="2" s="1"/>
  <c r="E10" i="2"/>
  <c r="F10" i="2"/>
  <c r="F23" i="2" s="1"/>
  <c r="H10" i="2"/>
  <c r="O10" i="2" s="1"/>
  <c r="J10" i="2"/>
  <c r="L10" i="2"/>
  <c r="M10" i="2"/>
  <c r="M23" i="2" s="1"/>
  <c r="N10" i="2"/>
  <c r="N23" i="2" s="1"/>
  <c r="I29" i="1"/>
  <c r="M29" i="1"/>
  <c r="K37" i="1"/>
  <c r="M37" i="1" s="1"/>
  <c r="D31" i="2"/>
  <c r="D44" i="2" s="1"/>
  <c r="L137" i="1"/>
  <c r="K137" i="1"/>
  <c r="I137" i="1" s="1"/>
  <c r="K67" i="1"/>
  <c r="I67" i="1" s="1"/>
  <c r="M67" i="1"/>
  <c r="K117" i="1"/>
  <c r="M117" i="1" s="1"/>
  <c r="F142" i="4"/>
  <c r="H19" i="1"/>
  <c r="G107" i="1"/>
  <c r="G57" i="1"/>
  <c r="H9" i="1"/>
  <c r="G137" i="1"/>
  <c r="J89" i="1"/>
  <c r="J19" i="1"/>
  <c r="F37" i="1"/>
  <c r="J37" i="1" s="1"/>
  <c r="J39" i="1"/>
  <c r="G127" i="1"/>
  <c r="H129" i="1"/>
  <c r="G141" i="3"/>
  <c r="H60" i="1"/>
  <c r="H61" i="1"/>
  <c r="F87" i="1"/>
  <c r="J87" i="1" s="1"/>
  <c r="J99" i="1"/>
  <c r="F137" i="3"/>
  <c r="G77" i="3"/>
  <c r="F57" i="3"/>
  <c r="H54" i="1"/>
  <c r="H101" i="1"/>
  <c r="E57" i="1"/>
  <c r="H13" i="1"/>
  <c r="B14" i="2"/>
  <c r="C17" i="1"/>
  <c r="E17" i="1" s="1"/>
  <c r="I17" i="1"/>
  <c r="E13" i="1"/>
  <c r="I13" i="1"/>
  <c r="F138" i="4"/>
  <c r="G128" i="4"/>
  <c r="H128" i="4"/>
  <c r="G108" i="4"/>
  <c r="H108" i="4" s="1"/>
  <c r="G98" i="4"/>
  <c r="H98" i="4" s="1"/>
  <c r="F78" i="4"/>
  <c r="G68" i="4"/>
  <c r="H68" i="4" s="1"/>
  <c r="F48" i="4"/>
  <c r="F38" i="4"/>
  <c r="D140" i="4"/>
  <c r="G107" i="3"/>
  <c r="F107" i="3"/>
  <c r="G127" i="3"/>
  <c r="G97" i="3"/>
  <c r="I37" i="1"/>
  <c r="H34" i="1"/>
  <c r="O15" i="2"/>
  <c r="J104" i="1"/>
  <c r="M127" i="1"/>
  <c r="I127" i="1"/>
  <c r="E127" i="1"/>
  <c r="I117" i="1"/>
  <c r="E97" i="1"/>
  <c r="M47" i="1"/>
  <c r="M27" i="1"/>
  <c r="N44" i="2"/>
  <c r="O14" i="2"/>
  <c r="B44" i="2"/>
  <c r="M44" i="2"/>
  <c r="O33" i="2"/>
  <c r="B23" i="2"/>
  <c r="J23" i="2"/>
  <c r="H47" i="1" l="1"/>
  <c r="J47" i="1"/>
  <c r="H137" i="1"/>
  <c r="G139" i="3"/>
  <c r="F139" i="3"/>
  <c r="H77" i="1"/>
  <c r="J77" i="1"/>
  <c r="H117" i="1"/>
  <c r="J117" i="1"/>
  <c r="O44" i="2"/>
  <c r="J27" i="1"/>
  <c r="H27" i="1"/>
  <c r="J127" i="1"/>
  <c r="O12" i="2"/>
  <c r="O23" i="2" s="1"/>
  <c r="I77" i="1"/>
  <c r="H37" i="1"/>
  <c r="F117" i="3"/>
  <c r="G87" i="1"/>
  <c r="H87" i="1" s="1"/>
  <c r="F57" i="1"/>
  <c r="J137" i="1"/>
  <c r="M97" i="1"/>
  <c r="F127" i="3"/>
  <c r="F27" i="3"/>
  <c r="J22" i="1"/>
  <c r="H52" i="1"/>
  <c r="H72" i="1"/>
  <c r="J112" i="1"/>
  <c r="H23" i="1"/>
  <c r="H93" i="1"/>
  <c r="H113" i="1"/>
  <c r="J94" i="1"/>
  <c r="J114" i="1"/>
  <c r="J115" i="1"/>
  <c r="J129" i="1"/>
  <c r="H30" i="1"/>
  <c r="J42" i="1"/>
  <c r="J15" i="1"/>
  <c r="J65" i="1"/>
  <c r="M137" i="1"/>
  <c r="F97" i="1"/>
  <c r="H97" i="1" s="1"/>
  <c r="F118" i="4"/>
  <c r="C23" i="2"/>
  <c r="I87" i="1"/>
  <c r="H23" i="2"/>
  <c r="C139" i="1"/>
  <c r="E139" i="1" s="1"/>
  <c r="G47" i="3"/>
  <c r="G17" i="1"/>
  <c r="M87" i="1"/>
  <c r="H90" i="1"/>
  <c r="H22" i="1"/>
  <c r="J24" i="1"/>
  <c r="J44" i="1"/>
  <c r="J85" i="1"/>
  <c r="M141" i="1"/>
  <c r="G17" i="3"/>
  <c r="I107" i="1"/>
  <c r="G138" i="4"/>
  <c r="H138" i="4" s="1"/>
  <c r="G117" i="1"/>
  <c r="H69" i="1"/>
  <c r="E27" i="1"/>
  <c r="H79" i="1"/>
  <c r="H110" i="1"/>
  <c r="J82" i="1"/>
  <c r="J33" i="1"/>
  <c r="J123" i="1"/>
  <c r="H15" i="1"/>
  <c r="J35" i="1"/>
  <c r="K139" i="1"/>
  <c r="J141" i="1"/>
  <c r="F17" i="1"/>
  <c r="F67" i="1"/>
  <c r="H67" i="1" s="1"/>
  <c r="E140" i="4"/>
  <c r="F140" i="4" s="1"/>
  <c r="H31" i="1"/>
  <c r="H12" i="1"/>
  <c r="J84" i="1"/>
  <c r="J105" i="1"/>
  <c r="C44" i="2"/>
  <c r="J107" i="1"/>
  <c r="F37" i="3"/>
  <c r="H49" i="1"/>
  <c r="H20" i="1"/>
  <c r="J110" i="1"/>
  <c r="H130" i="1"/>
  <c r="J53" i="1"/>
  <c r="J55" i="1"/>
  <c r="G140" i="4"/>
  <c r="H140" i="4" s="1"/>
  <c r="H59" i="1"/>
  <c r="H40" i="1"/>
  <c r="H39" i="1"/>
  <c r="H57" i="1" l="1"/>
  <c r="J57" i="1"/>
  <c r="G139" i="1"/>
  <c r="F139" i="1"/>
  <c r="H139" i="1" s="1"/>
  <c r="J17" i="1"/>
  <c r="H17" i="1"/>
  <c r="J67" i="1"/>
  <c r="J139" i="1"/>
  <c r="I139" i="1"/>
  <c r="M139" i="1"/>
  <c r="J97" i="1"/>
</calcChain>
</file>

<file path=xl/sharedStrings.xml><?xml version="1.0" encoding="utf-8"?>
<sst xmlns="http://schemas.openxmlformats.org/spreadsheetml/2006/main" count="192" uniqueCount="75">
  <si>
    <t>MISSOURI GAMING COMMISSION</t>
  </si>
  <si>
    <t>CURR YR</t>
  </si>
  <si>
    <t>CURR</t>
  </si>
  <si>
    <t>PRIOR YR</t>
  </si>
  <si>
    <t>WIN PER</t>
  </si>
  <si>
    <t xml:space="preserve">BOAT </t>
  </si>
  <si>
    <t>YEAR</t>
  </si>
  <si>
    <t>ADMISSIONS</t>
  </si>
  <si>
    <t>% CHG</t>
  </si>
  <si>
    <t>PATRONS</t>
  </si>
  <si>
    <t>ADMISSION</t>
  </si>
  <si>
    <t>PATRON</t>
  </si>
  <si>
    <t>TOTAL AGR</t>
  </si>
  <si>
    <t>ARGOSY</t>
  </si>
  <si>
    <t xml:space="preserve">      TOTALS:</t>
  </si>
  <si>
    <t>IOC - BOONVILLE</t>
  </si>
  <si>
    <t>HARRAHS NKC</t>
  </si>
  <si>
    <t>ISLE OF CAPRI - KC</t>
  </si>
  <si>
    <t xml:space="preserve">AMERISTAR KC </t>
  </si>
  <si>
    <t>AMERISTAR SC</t>
  </si>
  <si>
    <t>STATE TOTALS FYTD:</t>
  </si>
  <si>
    <t>STATE TOTALS MTD:</t>
  </si>
  <si>
    <t>NOTE:  1)    The figures in this report are subject to adjustment.</t>
  </si>
  <si>
    <t>FISCAL YTD ADMISSION FEES &amp; GAMING TAX BY LICENSED OPERATOR</t>
  </si>
  <si>
    <t>ADMISSIONS FEES</t>
  </si>
  <si>
    <t>STATE</t>
  </si>
  <si>
    <t>MONTH</t>
  </si>
  <si>
    <t>AMERISTAR KC</t>
  </si>
  <si>
    <t>TOTAL</t>
  </si>
  <si>
    <t>TOTALS</t>
  </si>
  <si>
    <t>GAMING TAX</t>
  </si>
  <si>
    <t>NOTE:  THE FIGURES IN THIS REPORT ARE SUBJECT TO ADJUSTMENT</t>
  </si>
  <si>
    <t xml:space="preserve">TABLE GAMES - FISCAL YTD  ANALYSIS OF HOLD % BY BOAT </t>
  </si>
  <si>
    <t>CURR YEAR</t>
  </si>
  <si>
    <t>ACTUAL</t>
  </si>
  <si>
    <t>TABLE DROP</t>
  </si>
  <si>
    <t>TABLE WIN</t>
  </si>
  <si>
    <t>HOLD %</t>
  </si>
  <si>
    <t>ARGOSY RIVERSIDE</t>
  </si>
  <si>
    <t>HARRAHS NORTH KC</t>
  </si>
  <si>
    <t xml:space="preserve">AMERISTAR SC </t>
  </si>
  <si>
    <t>STATE TOTALS FISCAL YTD:</t>
  </si>
  <si>
    <t>STATE TOTALS CURR MONTH:</t>
  </si>
  <si>
    <t>NOTE:  The figures in this report are subject to adjustment.</t>
  </si>
  <si>
    <t>ELECTRONIC GAMING DEVICES</t>
  </si>
  <si>
    <t xml:space="preserve">FISCAL YTD ANALYSIS OF HOLD &amp; PAYOUT % BY BOAT </t>
  </si>
  <si>
    <t>CURRENT YEAR</t>
  </si>
  <si>
    <t>SLOT</t>
  </si>
  <si>
    <t>HANDLE</t>
  </si>
  <si>
    <t>SLOT WIN</t>
  </si>
  <si>
    <t>PAYOUT %</t>
  </si>
  <si>
    <t xml:space="preserve">IOC - BOONVILLE </t>
  </si>
  <si>
    <t>NOTE:    The figures in this report are subject to adjustment.</t>
  </si>
  <si>
    <t>MARK TWAIN</t>
  </si>
  <si>
    <t xml:space="preserve">ST. JO </t>
  </si>
  <si>
    <t>LUMIERE PLACE</t>
  </si>
  <si>
    <t>IOC - LADY LUCK</t>
  </si>
  <si>
    <t>RIVER CITY</t>
  </si>
  <si>
    <t xml:space="preserve">RIVER CITY </t>
  </si>
  <si>
    <t xml:space="preserve">MARK TWAIN </t>
  </si>
  <si>
    <t xml:space="preserve">IOC - LADY LUCK </t>
  </si>
  <si>
    <t>IOC - CAPE GIRARDEAU</t>
  </si>
  <si>
    <t>HOLLYWOOD</t>
  </si>
  <si>
    <t>ST. JO FRONTIER</t>
  </si>
  <si>
    <t xml:space="preserve">ST. JO FRONTIER </t>
  </si>
  <si>
    <t xml:space="preserve">HOLLYWOOD </t>
  </si>
  <si>
    <t xml:space="preserve">IOC - CAPE GIRARDEAU </t>
  </si>
  <si>
    <t xml:space="preserve">LUMIERE PLACE </t>
  </si>
  <si>
    <t xml:space="preserve">FISCAL 2020 YTD ADMISSIONS, PATRONS AND AGR SUMMARY </t>
  </si>
  <si>
    <t>MONTH ENDED:   JANUARY 31, 2020</t>
  </si>
  <si>
    <t>(as reported on the tax remittal database dtd 2/6/20)</t>
  </si>
  <si>
    <t>FOR THE MONTH ENDED:   JANUARY 31, 2020</t>
  </si>
  <si>
    <t>THRU MONTH ENDED:   JANUARY 31, 2020</t>
  </si>
  <si>
    <t>(as reported on the tax remittal database as of 2/6/20)</t>
  </si>
  <si>
    <t>THRU MONTH ENDED:     JANUARY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</si>
</sst>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;[Red]\-General"/>
    <numFmt numFmtId="165" formatCode="0.000%"/>
    <numFmt numFmtId="166" formatCode="#,##0.00;[Red]\-#,##0.00"/>
    <numFmt numFmtId="167" formatCode="0.0%"/>
  </numFmts>
  <fonts count="15" x14ac:knownFonts="1">
    <font>
      <sz val="12"/>
      <name val="Arial"/>
    </font>
    <font>
      <b/>
      <sz val="10"/>
      <name val="Arial"/>
    </font>
    <font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8"/>
      <name val="Arial"/>
      <family val="2"/>
    </font>
    <font>
      <b/>
      <i/>
      <u/>
      <sz val="14"/>
      <name val="Arial"/>
      <family val="2"/>
    </font>
    <font>
      <b/>
      <i/>
      <u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</borders>
  <cellStyleXfs count="4">
    <xf numFmtId="164" fontId="0" fillId="0" borderId="0"/>
    <xf numFmtId="0" fontId="2" fillId="0" borderId="0"/>
    <xf numFmtId="0" fontId="2" fillId="0" borderId="0"/>
    <xf numFmtId="0" fontId="2" fillId="0" borderId="0"/>
  </cellStyleXfs>
  <cellXfs count="285">
    <xf numFmtId="164" fontId="2" fillId="0" borderId="0" xfId="0" applyNumberFormat="1" applyFont="1" applyAlignment="1" applyProtection="1">
      <protection locked="0"/>
    </xf>
    <xf numFmtId="0" fontId="3" fillId="0" borderId="0" xfId="0" applyNumberFormat="1" applyFont="1" applyAlignment="1"/>
    <xf numFmtId="164" fontId="0" fillId="0" borderId="0" xfId="0" applyFont="1" applyAlignment="1"/>
    <xf numFmtId="164" fontId="0" fillId="0" borderId="0" xfId="0" applyNumberFormat="1" applyFont="1" applyAlignment="1" applyProtection="1">
      <protection locked="0"/>
    </xf>
    <xf numFmtId="0" fontId="4" fillId="0" borderId="0" xfId="0" applyNumberFormat="1" applyFont="1" applyAlignment="1"/>
    <xf numFmtId="164" fontId="1" fillId="0" borderId="0" xfId="0" applyFont="1" applyAlignment="1">
      <alignment horizontal="center"/>
    </xf>
    <xf numFmtId="164" fontId="0" fillId="2" borderId="1" xfId="0" applyFont="1" applyFill="1" applyBorder="1" applyAlignment="1"/>
    <xf numFmtId="164" fontId="5" fillId="2" borderId="2" xfId="0" applyFont="1" applyFill="1" applyBorder="1" applyAlignment="1">
      <alignment horizontal="center"/>
    </xf>
    <xf numFmtId="164" fontId="5" fillId="3" borderId="2" xfId="0" applyFont="1" applyFill="1" applyBorder="1" applyAlignment="1">
      <alignment horizontal="center"/>
    </xf>
    <xf numFmtId="164" fontId="5" fillId="3" borderId="3" xfId="0" applyFont="1" applyFill="1" applyBorder="1" applyAlignment="1">
      <alignment horizontal="center"/>
    </xf>
    <xf numFmtId="164" fontId="0" fillId="0" borderId="0" xfId="0" applyBorder="1"/>
    <xf numFmtId="164" fontId="6" fillId="2" borderId="4" xfId="0" applyFont="1" applyFill="1" applyBorder="1" applyAlignment="1">
      <alignment horizontal="center"/>
    </xf>
    <xf numFmtId="164" fontId="5" fillId="2" borderId="5" xfId="0" applyFont="1" applyFill="1" applyBorder="1" applyAlignment="1">
      <alignment horizontal="center"/>
    </xf>
    <xf numFmtId="164" fontId="0" fillId="3" borderId="5" xfId="0" applyFill="1" applyBorder="1" applyAlignment="1">
      <alignment horizontal="center"/>
    </xf>
    <xf numFmtId="164" fontId="5" fillId="3" borderId="6" xfId="0" applyFont="1" applyFill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7" fillId="0" borderId="2" xfId="0" applyFont="1" applyBorder="1" applyAlignment="1">
      <alignment horizontal="center"/>
    </xf>
    <xf numFmtId="164" fontId="7" fillId="3" borderId="2" xfId="0" applyFont="1" applyFill="1" applyBorder="1" applyAlignment="1">
      <alignment horizontal="center"/>
    </xf>
    <xf numFmtId="164" fontId="7" fillId="3" borderId="3" xfId="0" applyFont="1" applyFill="1" applyBorder="1" applyAlignment="1">
      <alignment horizontal="center"/>
    </xf>
    <xf numFmtId="166" fontId="6" fillId="0" borderId="4" xfId="0" applyNumberFormat="1" applyFont="1" applyBorder="1" applyAlignment="1"/>
    <xf numFmtId="17" fontId="0" fillId="0" borderId="5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9" fontId="0" fillId="3" borderId="5" xfId="0" applyNumberFormat="1" applyFont="1" applyFill="1" applyBorder="1" applyAlignment="1">
      <alignment horizontal="center"/>
    </xf>
    <xf numFmtId="4" fontId="0" fillId="0" borderId="5" xfId="0" applyNumberFormat="1" applyFont="1" applyBorder="1" applyAlignment="1">
      <alignment horizontal="center"/>
    </xf>
    <xf numFmtId="9" fontId="0" fillId="3" borderId="6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/>
    <xf numFmtId="164" fontId="0" fillId="2" borderId="2" xfId="0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9" fontId="0" fillId="3" borderId="2" xfId="0" applyNumberFormat="1" applyFont="1" applyFill="1" applyBorder="1" applyAlignment="1">
      <alignment horizontal="center"/>
    </xf>
    <xf numFmtId="9" fontId="6" fillId="3" borderId="2" xfId="0" applyNumberFormat="1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9" fontId="6" fillId="3" borderId="3" xfId="0" applyNumberFormat="1" applyFont="1" applyFill="1" applyBorder="1" applyAlignment="1">
      <alignment horizontal="center"/>
    </xf>
    <xf numFmtId="166" fontId="6" fillId="0" borderId="1" xfId="0" applyNumberFormat="1" applyFont="1" applyBorder="1" applyAlignment="1"/>
    <xf numFmtId="164" fontId="0" fillId="0" borderId="2" xfId="0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9" fontId="0" fillId="3" borderId="3" xfId="0" applyNumberFormat="1" applyFont="1" applyFill="1" applyBorder="1" applyAlignment="1">
      <alignment horizontal="center"/>
    </xf>
    <xf numFmtId="166" fontId="0" fillId="0" borderId="4" xfId="0" applyNumberFormat="1" applyFont="1" applyBorder="1" applyAlignment="1"/>
    <xf numFmtId="166" fontId="6" fillId="2" borderId="7" xfId="0" applyNumberFormat="1" applyFont="1" applyFill="1" applyBorder="1" applyAlignment="1"/>
    <xf numFmtId="164" fontId="0" fillId="2" borderId="8" xfId="0" applyFont="1" applyFill="1" applyBorder="1" applyAlignment="1">
      <alignment horizontal="center"/>
    </xf>
    <xf numFmtId="3" fontId="6" fillId="2" borderId="8" xfId="0" applyNumberFormat="1" applyFont="1" applyFill="1" applyBorder="1" applyAlignment="1">
      <alignment horizontal="center"/>
    </xf>
    <xf numFmtId="9" fontId="6" fillId="3" borderId="8" xfId="0" applyNumberFormat="1" applyFont="1" applyFill="1" applyBorder="1" applyAlignment="1">
      <alignment horizontal="center"/>
    </xf>
    <xf numFmtId="4" fontId="6" fillId="2" borderId="8" xfId="0" applyNumberFormat="1" applyFont="1" applyFill="1" applyBorder="1" applyAlignment="1">
      <alignment horizontal="center"/>
    </xf>
    <xf numFmtId="9" fontId="6" fillId="3" borderId="9" xfId="0" applyNumberFormat="1" applyFont="1" applyFill="1" applyBorder="1" applyAlignment="1">
      <alignment horizontal="center"/>
    </xf>
    <xf numFmtId="164" fontId="0" fillId="0" borderId="5" xfId="0" applyFont="1" applyBorder="1" applyAlignment="1">
      <alignment horizontal="center"/>
    </xf>
    <xf numFmtId="9" fontId="0" fillId="3" borderId="10" xfId="0" applyNumberFormat="1" applyFont="1" applyFill="1" applyBorder="1" applyAlignment="1">
      <alignment horizontal="center"/>
    </xf>
    <xf numFmtId="3" fontId="6" fillId="2" borderId="11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9" fontId="6" fillId="3" borderId="11" xfId="0" applyNumberFormat="1" applyFont="1" applyFill="1" applyBorder="1" applyAlignment="1">
      <alignment horizontal="center"/>
    </xf>
    <xf numFmtId="4" fontId="6" fillId="2" borderId="10" xfId="0" applyNumberFormat="1" applyFont="1" applyFill="1" applyBorder="1" applyAlignment="1">
      <alignment horizontal="center"/>
    </xf>
    <xf numFmtId="4" fontId="6" fillId="2" borderId="11" xfId="0" applyNumberFormat="1" applyFont="1" applyFill="1" applyBorder="1" applyAlignment="1">
      <alignment horizontal="center"/>
    </xf>
    <xf numFmtId="164" fontId="0" fillId="2" borderId="10" xfId="0" applyFont="1" applyFill="1" applyBorder="1" applyAlignment="1">
      <alignment horizontal="center"/>
    </xf>
    <xf numFmtId="9" fontId="6" fillId="3" borderId="10" xfId="0" applyNumberFormat="1" applyFont="1" applyFill="1" applyBorder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/>
    <xf numFmtId="164" fontId="0" fillId="3" borderId="2" xfId="0" applyNumberFormat="1" applyFont="1" applyFill="1" applyBorder="1" applyAlignment="1"/>
    <xf numFmtId="164" fontId="0" fillId="3" borderId="3" xfId="0" applyNumberFormat="1" applyFont="1" applyFill="1" applyBorder="1" applyAlignment="1"/>
    <xf numFmtId="164" fontId="0" fillId="0" borderId="4" xfId="0" applyNumberFormat="1" applyBorder="1"/>
    <xf numFmtId="164" fontId="0" fillId="0" borderId="5" xfId="0" applyNumberFormat="1" applyBorder="1"/>
    <xf numFmtId="164" fontId="0" fillId="3" borderId="5" xfId="0" applyNumberFormat="1" applyFont="1" applyFill="1" applyBorder="1" applyAlignment="1"/>
    <xf numFmtId="164" fontId="0" fillId="3" borderId="6" xfId="0" applyNumberFormat="1" applyFont="1" applyFill="1" applyBorder="1" applyAlignment="1"/>
    <xf numFmtId="166" fontId="6" fillId="2" borderId="12" xfId="0" applyNumberFormat="1" applyFont="1" applyFill="1" applyBorder="1" applyAlignment="1"/>
    <xf numFmtId="166" fontId="0" fillId="0" borderId="1" xfId="0" applyNumberFormat="1" applyFont="1" applyBorder="1" applyAlignment="1"/>
    <xf numFmtId="166" fontId="6" fillId="2" borderId="1" xfId="0" applyNumberFormat="1" applyFont="1" applyFill="1" applyBorder="1" applyAlignment="1">
      <alignment horizontal="center"/>
    </xf>
    <xf numFmtId="164" fontId="6" fillId="2" borderId="2" xfId="0" applyFont="1" applyFill="1" applyBorder="1" applyAlignment="1">
      <alignment horizontal="center"/>
    </xf>
    <xf numFmtId="166" fontId="0" fillId="0" borderId="13" xfId="0" applyNumberFormat="1" applyFont="1" applyBorder="1" applyAlignment="1"/>
    <xf numFmtId="164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166" fontId="3" fillId="0" borderId="0" xfId="0" applyNumberFormat="1" applyFont="1" applyAlignment="1"/>
    <xf numFmtId="164" fontId="0" fillId="0" borderId="0" xfId="0" applyFont="1" applyAlignment="1">
      <alignment horizontal="center"/>
    </xf>
    <xf numFmtId="4" fontId="6" fillId="0" borderId="0" xfId="0" applyNumberFormat="1" applyFont="1" applyAlignment="1"/>
    <xf numFmtId="0" fontId="6" fillId="0" borderId="0" xfId="0" applyNumberFormat="1" applyFont="1" applyAlignment="1"/>
    <xf numFmtId="17" fontId="0" fillId="0" borderId="0" xfId="0" applyNumberFormat="1" applyFont="1" applyAlignment="1">
      <alignment horizontal="center"/>
    </xf>
    <xf numFmtId="4" fontId="0" fillId="0" borderId="0" xfId="0" applyNumberFormat="1" applyFont="1" applyAlignment="1"/>
    <xf numFmtId="165" fontId="0" fillId="0" borderId="0" xfId="0" applyNumberFormat="1" applyFont="1" applyAlignment="1"/>
    <xf numFmtId="164" fontId="6" fillId="0" borderId="0" xfId="0" applyFont="1" applyAlignment="1"/>
    <xf numFmtId="17" fontId="0" fillId="0" borderId="0" xfId="0" applyNumberFormat="1" applyFont="1" applyAlignment="1"/>
    <xf numFmtId="0" fontId="8" fillId="0" borderId="0" xfId="3" applyFont="1" applyAlignment="1"/>
    <xf numFmtId="0" fontId="2" fillId="0" borderId="0" xfId="3" applyFont="1" applyAlignment="1"/>
    <xf numFmtId="0" fontId="2" fillId="0" borderId="0" xfId="3" applyNumberFormat="1" applyFont="1" applyAlignment="1" applyProtection="1">
      <protection locked="0"/>
    </xf>
    <xf numFmtId="0" fontId="2" fillId="3" borderId="1" xfId="3" applyFont="1" applyFill="1" applyBorder="1" applyAlignment="1"/>
    <xf numFmtId="0" fontId="6" fillId="3" borderId="1" xfId="3" applyFont="1" applyFill="1" applyBorder="1" applyAlignment="1">
      <alignment horizontal="center"/>
    </xf>
    <xf numFmtId="0" fontId="2" fillId="0" borderId="4" xfId="3" applyNumberFormat="1" applyBorder="1"/>
    <xf numFmtId="0" fontId="7" fillId="3" borderId="4" xfId="3" applyFont="1" applyFill="1" applyBorder="1" applyAlignment="1">
      <alignment horizontal="center"/>
    </xf>
    <xf numFmtId="0" fontId="2" fillId="3" borderId="4" xfId="3" applyFont="1" applyFill="1" applyBorder="1" applyAlignment="1"/>
    <xf numFmtId="0" fontId="2" fillId="2" borderId="1" xfId="3" applyFont="1" applyFill="1" applyBorder="1" applyAlignment="1"/>
    <xf numFmtId="0" fontId="2" fillId="0" borderId="1" xfId="3" applyFont="1" applyBorder="1" applyAlignment="1"/>
    <xf numFmtId="17" fontId="2" fillId="0" borderId="14" xfId="3" applyNumberFormat="1" applyFont="1" applyBorder="1" applyAlignment="1">
      <alignment horizontal="center"/>
    </xf>
    <xf numFmtId="3" fontId="2" fillId="0" borderId="14" xfId="3" applyNumberFormat="1" applyFont="1" applyBorder="1" applyAlignment="1">
      <alignment horizontal="center"/>
    </xf>
    <xf numFmtId="3" fontId="6" fillId="0" borderId="14" xfId="3" applyNumberFormat="1" applyFont="1" applyBorder="1" applyAlignment="1">
      <alignment horizontal="center"/>
    </xf>
    <xf numFmtId="17" fontId="7" fillId="0" borderId="14" xfId="3" applyNumberFormat="1" applyFont="1" applyBorder="1" applyAlignment="1">
      <alignment horizontal="center"/>
    </xf>
    <xf numFmtId="17" fontId="6" fillId="0" borderId="14" xfId="3" applyNumberFormat="1" applyFont="1" applyBorder="1" applyAlignment="1">
      <alignment horizontal="center"/>
    </xf>
    <xf numFmtId="17" fontId="2" fillId="0" borderId="13" xfId="3" applyNumberFormat="1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0" fontId="2" fillId="0" borderId="13" xfId="3" applyNumberFormat="1" applyFont="1" applyBorder="1" applyAlignment="1">
      <alignment horizontal="center"/>
    </xf>
    <xf numFmtId="17" fontId="8" fillId="0" borderId="0" xfId="3" applyNumberFormat="1" applyFont="1" applyAlignment="1">
      <alignment horizontal="centerContinuous"/>
    </xf>
    <xf numFmtId="0" fontId="8" fillId="0" borderId="0" xfId="3" applyNumberFormat="1" applyFont="1" applyAlignment="1">
      <alignment horizontal="centerContinuous"/>
    </xf>
    <xf numFmtId="0" fontId="2" fillId="0" borderId="0" xfId="3" applyFont="1" applyAlignment="1">
      <alignment horizontal="center"/>
    </xf>
    <xf numFmtId="0" fontId="2" fillId="0" borderId="0" xfId="3" applyNumberFormat="1" applyFont="1" applyAlignment="1">
      <alignment horizontal="center"/>
    </xf>
    <xf numFmtId="17" fontId="2" fillId="3" borderId="1" xfId="3" applyNumberFormat="1" applyFont="1" applyFill="1" applyBorder="1" applyAlignment="1">
      <alignment horizontal="center"/>
    </xf>
    <xf numFmtId="0" fontId="2" fillId="3" borderId="1" xfId="3" applyFont="1" applyFill="1" applyBorder="1" applyAlignment="1">
      <alignment horizontal="center"/>
    </xf>
    <xf numFmtId="0" fontId="7" fillId="3" borderId="1" xfId="3" applyFont="1" applyFill="1" applyBorder="1" applyAlignment="1">
      <alignment horizontal="center"/>
    </xf>
    <xf numFmtId="0" fontId="2" fillId="3" borderId="1" xfId="3" applyNumberFormat="1" applyFont="1" applyFill="1" applyBorder="1" applyAlignment="1">
      <alignment horizontal="center"/>
    </xf>
    <xf numFmtId="0" fontId="6" fillId="3" borderId="1" xfId="3" applyNumberFormat="1" applyFont="1" applyFill="1" applyBorder="1" applyAlignment="1">
      <alignment horizontal="center"/>
    </xf>
    <xf numFmtId="17" fontId="7" fillId="3" borderId="4" xfId="3" applyNumberFormat="1" applyFont="1" applyFill="1" applyBorder="1" applyAlignment="1">
      <alignment horizontal="center"/>
    </xf>
    <xf numFmtId="0" fontId="7" fillId="3" borderId="4" xfId="3" applyNumberFormat="1" applyFont="1" applyFill="1" applyBorder="1" applyAlignment="1">
      <alignment horizontal="center"/>
    </xf>
    <xf numFmtId="17" fontId="2" fillId="3" borderId="4" xfId="3" applyNumberFormat="1" applyFont="1" applyFill="1" applyBorder="1" applyAlignment="1">
      <alignment horizontal="center"/>
    </xf>
    <xf numFmtId="0" fontId="2" fillId="3" borderId="4" xfId="3" applyFont="1" applyFill="1" applyBorder="1" applyAlignment="1">
      <alignment horizontal="center"/>
    </xf>
    <xf numFmtId="0" fontId="2" fillId="3" borderId="4" xfId="3" applyNumberFormat="1" applyFont="1" applyFill="1" applyBorder="1" applyAlignment="1">
      <alignment horizontal="center"/>
    </xf>
    <xf numFmtId="17" fontId="2" fillId="2" borderId="1" xfId="3" applyNumberFormat="1" applyFont="1" applyFill="1" applyBorder="1" applyAlignment="1">
      <alignment horizontal="center"/>
    </xf>
    <xf numFmtId="0" fontId="2" fillId="2" borderId="1" xfId="3" applyFont="1" applyFill="1" applyBorder="1" applyAlignment="1">
      <alignment horizontal="center"/>
    </xf>
    <xf numFmtId="0" fontId="2" fillId="0" borderId="1" xfId="3" applyFont="1" applyBorder="1" applyAlignment="1">
      <alignment horizontal="center"/>
    </xf>
    <xf numFmtId="0" fontId="2" fillId="2" borderId="1" xfId="3" applyNumberFormat="1" applyFont="1" applyFill="1" applyBorder="1" applyAlignment="1">
      <alignment horizontal="center"/>
    </xf>
    <xf numFmtId="4" fontId="2" fillId="0" borderId="13" xfId="3" applyNumberFormat="1" applyFont="1" applyBorder="1" applyAlignment="1">
      <alignment horizontal="center"/>
    </xf>
    <xf numFmtId="0" fontId="7" fillId="0" borderId="0" xfId="3" applyFont="1" applyAlignment="1">
      <alignment horizontal="left"/>
    </xf>
    <xf numFmtId="0" fontId="3" fillId="0" borderId="0" xfId="2" applyNumberFormat="1" applyFont="1" applyAlignment="1"/>
    <xf numFmtId="0" fontId="2" fillId="0" borderId="0" xfId="2" applyNumberFormat="1" applyFont="1" applyAlignment="1"/>
    <xf numFmtId="0" fontId="2" fillId="0" borderId="0" xfId="2" applyAlignment="1"/>
    <xf numFmtId="0" fontId="4" fillId="0" borderId="0" xfId="2" applyNumberFormat="1" applyFont="1" applyAlignment="1"/>
    <xf numFmtId="0" fontId="2" fillId="2" borderId="1" xfId="2" applyNumberFormat="1" applyFont="1" applyFill="1" applyBorder="1" applyAlignment="1"/>
    <xf numFmtId="0" fontId="6" fillId="2" borderId="2" xfId="2" applyNumberFormat="1" applyFont="1" applyFill="1" applyBorder="1" applyAlignment="1">
      <alignment horizontal="center"/>
    </xf>
    <xf numFmtId="0" fontId="6" fillId="3" borderId="2" xfId="2" applyNumberFormat="1" applyFont="1" applyFill="1" applyBorder="1" applyAlignment="1">
      <alignment horizontal="center"/>
    </xf>
    <xf numFmtId="0" fontId="2" fillId="0" borderId="4" xfId="2" applyBorder="1"/>
    <xf numFmtId="0" fontId="6" fillId="2" borderId="15" xfId="2" applyNumberFormat="1" applyFont="1" applyFill="1" applyBorder="1" applyAlignment="1">
      <alignment horizontal="center"/>
    </xf>
    <xf numFmtId="0" fontId="6" fillId="2" borderId="16" xfId="2" applyNumberFormat="1" applyFont="1" applyFill="1" applyBorder="1" applyAlignment="1">
      <alignment horizontal="center"/>
    </xf>
    <xf numFmtId="0" fontId="6" fillId="3" borderId="16" xfId="2" applyNumberFormat="1" applyFont="1" applyFill="1" applyBorder="1" applyAlignment="1">
      <alignment horizontal="center"/>
    </xf>
    <xf numFmtId="0" fontId="7" fillId="0" borderId="4" xfId="2" applyNumberFormat="1" applyFont="1" applyBorder="1" applyAlignment="1">
      <alignment horizontal="center"/>
    </xf>
    <xf numFmtId="0" fontId="7" fillId="0" borderId="5" xfId="2" applyNumberFormat="1" applyFont="1" applyBorder="1" applyAlignment="1">
      <alignment horizontal="center"/>
    </xf>
    <xf numFmtId="0" fontId="7" fillId="3" borderId="5" xfId="2" applyNumberFormat="1" applyFont="1" applyFill="1" applyBorder="1" applyAlignment="1">
      <alignment horizontal="center"/>
    </xf>
    <xf numFmtId="166" fontId="6" fillId="0" borderId="4" xfId="2" applyNumberFormat="1" applyFont="1" applyBorder="1" applyAlignment="1"/>
    <xf numFmtId="17" fontId="2" fillId="0" borderId="5" xfId="2" applyNumberFormat="1" applyFont="1" applyBorder="1" applyAlignment="1">
      <alignment horizontal="center"/>
    </xf>
    <xf numFmtId="9" fontId="2" fillId="3" borderId="5" xfId="2" applyNumberFormat="1" applyFont="1" applyFill="1" applyBorder="1" applyAlignment="1">
      <alignment horizontal="center"/>
    </xf>
    <xf numFmtId="166" fontId="2" fillId="0" borderId="4" xfId="2" applyNumberFormat="1" applyFont="1" applyBorder="1" applyAlignment="1"/>
    <xf numFmtId="0" fontId="2" fillId="0" borderId="5" xfId="2" applyNumberFormat="1" applyFont="1" applyBorder="1" applyAlignment="1">
      <alignment horizontal="center"/>
    </xf>
    <xf numFmtId="166" fontId="6" fillId="2" borderId="1" xfId="2" applyNumberFormat="1" applyFont="1" applyFill="1" applyBorder="1" applyAlignment="1"/>
    <xf numFmtId="0" fontId="2" fillId="2" borderId="2" xfId="2" applyNumberFormat="1" applyFont="1" applyFill="1" applyBorder="1" applyAlignment="1">
      <alignment horizontal="center"/>
    </xf>
    <xf numFmtId="9" fontId="6" fillId="3" borderId="2" xfId="2" applyNumberFormat="1" applyFont="1" applyFill="1" applyBorder="1" applyAlignment="1">
      <alignment horizontal="center"/>
    </xf>
    <xf numFmtId="166" fontId="6" fillId="0" borderId="1" xfId="2" applyNumberFormat="1" applyFont="1" applyBorder="1" applyAlignment="1"/>
    <xf numFmtId="0" fontId="2" fillId="0" borderId="2" xfId="2" applyNumberFormat="1" applyFont="1" applyBorder="1" applyAlignment="1">
      <alignment horizontal="center"/>
    </xf>
    <xf numFmtId="9" fontId="2" fillId="3" borderId="2" xfId="2" applyNumberFormat="1" applyFont="1" applyFill="1" applyBorder="1" applyAlignment="1">
      <alignment horizontal="center"/>
    </xf>
    <xf numFmtId="166" fontId="6" fillId="2" borderId="7" xfId="2" applyNumberFormat="1" applyFont="1" applyFill="1" applyBorder="1" applyAlignment="1"/>
    <xf numFmtId="0" fontId="2" fillId="2" borderId="8" xfId="2" applyNumberFormat="1" applyFont="1" applyFill="1" applyBorder="1" applyAlignment="1">
      <alignment horizontal="center"/>
    </xf>
    <xf numFmtId="9" fontId="6" fillId="3" borderId="8" xfId="2" applyNumberFormat="1" applyFont="1" applyFill="1" applyBorder="1" applyAlignment="1">
      <alignment horizontal="center"/>
    </xf>
    <xf numFmtId="166" fontId="6" fillId="2" borderId="12" xfId="2" applyNumberFormat="1" applyFont="1" applyFill="1" applyBorder="1" applyAlignment="1"/>
    <xf numFmtId="0" fontId="2" fillId="2" borderId="10" xfId="2" applyNumberFormat="1" applyFont="1" applyFill="1" applyBorder="1" applyAlignment="1">
      <alignment horizontal="center"/>
    </xf>
    <xf numFmtId="166" fontId="2" fillId="0" borderId="1" xfId="2" applyNumberFormat="1" applyFont="1" applyBorder="1" applyAlignment="1"/>
    <xf numFmtId="166" fontId="6" fillId="2" borderId="1" xfId="2" applyNumberFormat="1" applyFont="1" applyFill="1" applyBorder="1" applyAlignment="1">
      <alignment horizontal="center"/>
    </xf>
    <xf numFmtId="4" fontId="6" fillId="0" borderId="0" xfId="2" applyNumberFormat="1" applyFont="1" applyAlignment="1"/>
    <xf numFmtId="0" fontId="3" fillId="0" borderId="0" xfId="1" applyNumberFormat="1" applyFont="1" applyAlignment="1"/>
    <xf numFmtId="0" fontId="2" fillId="0" borderId="0" xfId="1" applyNumberFormat="1" applyFont="1" applyAlignment="1"/>
    <xf numFmtId="0" fontId="2" fillId="0" borderId="0" xfId="1"/>
    <xf numFmtId="0" fontId="2" fillId="0" borderId="0" xfId="1" applyAlignment="1"/>
    <xf numFmtId="0" fontId="4" fillId="0" borderId="0" xfId="1" applyNumberFormat="1" applyFont="1" applyAlignment="1"/>
    <xf numFmtId="0" fontId="6" fillId="2" borderId="1" xfId="1" applyNumberFormat="1" applyFont="1" applyFill="1" applyBorder="1" applyAlignment="1">
      <alignment horizontal="center"/>
    </xf>
    <xf numFmtId="0" fontId="6" fillId="2" borderId="2" xfId="1" applyNumberFormat="1" applyFont="1" applyFill="1" applyBorder="1" applyAlignment="1">
      <alignment horizontal="center"/>
    </xf>
    <xf numFmtId="0" fontId="6" fillId="3" borderId="2" xfId="1" applyNumberFormat="1" applyFont="1" applyFill="1" applyBorder="1" applyAlignment="1">
      <alignment horizontal="center"/>
    </xf>
    <xf numFmtId="0" fontId="2" fillId="0" borderId="0" xfId="1" applyBorder="1"/>
    <xf numFmtId="0" fontId="6" fillId="2" borderId="4" xfId="1" applyNumberFormat="1" applyFont="1" applyFill="1" applyBorder="1" applyAlignment="1">
      <alignment horizontal="center"/>
    </xf>
    <xf numFmtId="0" fontId="6" fillId="2" borderId="5" xfId="1" applyNumberFormat="1" applyFont="1" applyFill="1" applyBorder="1" applyAlignment="1">
      <alignment horizontal="center"/>
    </xf>
    <xf numFmtId="0" fontId="6" fillId="3" borderId="5" xfId="1" applyNumberFormat="1" applyFont="1" applyFill="1" applyBorder="1" applyAlignment="1">
      <alignment horizontal="center"/>
    </xf>
    <xf numFmtId="0" fontId="7" fillId="0" borderId="1" xfId="1" applyNumberFormat="1" applyFont="1" applyBorder="1" applyAlignment="1">
      <alignment horizontal="center"/>
    </xf>
    <xf numFmtId="0" fontId="7" fillId="0" borderId="2" xfId="1" applyNumberFormat="1" applyFont="1" applyBorder="1" applyAlignment="1">
      <alignment horizontal="center"/>
    </xf>
    <xf numFmtId="0" fontId="7" fillId="3" borderId="2" xfId="1" applyNumberFormat="1" applyFont="1" applyFill="1" applyBorder="1" applyAlignment="1">
      <alignment horizontal="center"/>
    </xf>
    <xf numFmtId="166" fontId="6" fillId="0" borderId="4" xfId="1" applyNumberFormat="1" applyFont="1" applyBorder="1" applyAlignment="1"/>
    <xf numFmtId="17" fontId="2" fillId="0" borderId="5" xfId="1" applyNumberFormat="1" applyFont="1" applyBorder="1" applyAlignment="1">
      <alignment horizontal="center"/>
    </xf>
    <xf numFmtId="9" fontId="2" fillId="3" borderId="5" xfId="1" applyNumberFormat="1" applyFont="1" applyFill="1" applyBorder="1" applyAlignment="1">
      <alignment horizontal="center"/>
    </xf>
    <xf numFmtId="166" fontId="2" fillId="0" borderId="4" xfId="1" applyNumberFormat="1" applyFont="1" applyBorder="1" applyAlignment="1"/>
    <xf numFmtId="0" fontId="2" fillId="0" borderId="5" xfId="1" applyNumberFormat="1" applyFont="1" applyBorder="1" applyAlignment="1">
      <alignment horizontal="center"/>
    </xf>
    <xf numFmtId="166" fontId="6" fillId="2" borderId="1" xfId="1" applyNumberFormat="1" applyFont="1" applyFill="1" applyBorder="1" applyAlignment="1"/>
    <xf numFmtId="9" fontId="6" fillId="3" borderId="2" xfId="1" applyNumberFormat="1" applyFont="1" applyFill="1" applyBorder="1" applyAlignment="1">
      <alignment horizontal="center"/>
    </xf>
    <xf numFmtId="166" fontId="2" fillId="0" borderId="1" xfId="1" applyNumberFormat="1" applyFont="1" applyBorder="1" applyAlignment="1"/>
    <xf numFmtId="0" fontId="2" fillId="0" borderId="2" xfId="1" applyNumberFormat="1" applyFont="1" applyBorder="1" applyAlignment="1">
      <alignment horizontal="center"/>
    </xf>
    <xf numFmtId="9" fontId="2" fillId="3" borderId="2" xfId="1" applyNumberFormat="1" applyFont="1" applyFill="1" applyBorder="1" applyAlignment="1">
      <alignment horizontal="center"/>
    </xf>
    <xf numFmtId="166" fontId="6" fillId="2" borderId="7" xfId="1" applyNumberFormat="1" applyFont="1" applyFill="1" applyBorder="1" applyAlignment="1"/>
    <xf numFmtId="0" fontId="6" fillId="2" borderId="8" xfId="1" applyNumberFormat="1" applyFont="1" applyFill="1" applyBorder="1" applyAlignment="1">
      <alignment horizontal="center"/>
    </xf>
    <xf numFmtId="9" fontId="6" fillId="3" borderId="8" xfId="1" applyNumberFormat="1" applyFont="1" applyFill="1" applyBorder="1" applyAlignment="1">
      <alignment horizontal="center"/>
    </xf>
    <xf numFmtId="0" fontId="6" fillId="0" borderId="4" xfId="1" applyNumberFormat="1" applyFont="1" applyBorder="1" applyAlignment="1"/>
    <xf numFmtId="17" fontId="6" fillId="2" borderId="8" xfId="1" applyNumberFormat="1" applyFont="1" applyFill="1" applyBorder="1" applyAlignment="1">
      <alignment horizontal="center"/>
    </xf>
    <xf numFmtId="0" fontId="2" fillId="0" borderId="5" xfId="1" applyBorder="1"/>
    <xf numFmtId="0" fontId="2" fillId="3" borderId="5" xfId="1" applyFont="1" applyFill="1" applyBorder="1" applyAlignment="1"/>
    <xf numFmtId="0" fontId="2" fillId="2" borderId="8" xfId="1" applyNumberFormat="1" applyFont="1" applyFill="1" applyBorder="1" applyAlignment="1">
      <alignment horizontal="center"/>
    </xf>
    <xf numFmtId="166" fontId="6" fillId="2" borderId="12" xfId="1" applyNumberFormat="1" applyFont="1" applyFill="1" applyBorder="1" applyAlignment="1"/>
    <xf numFmtId="0" fontId="6" fillId="2" borderId="10" xfId="1" applyNumberFormat="1" applyFont="1" applyFill="1" applyBorder="1" applyAlignment="1">
      <alignment horizontal="center"/>
    </xf>
    <xf numFmtId="166" fontId="6" fillId="2" borderId="1" xfId="1" applyNumberFormat="1" applyFont="1" applyFill="1" applyBorder="1" applyAlignment="1">
      <alignment horizontal="center"/>
    </xf>
    <xf numFmtId="166" fontId="6" fillId="0" borderId="13" xfId="1" applyNumberFormat="1" applyFont="1" applyBorder="1" applyAlignment="1"/>
    <xf numFmtId="0" fontId="6" fillId="0" borderId="13" xfId="1" applyNumberFormat="1" applyFont="1" applyBorder="1" applyAlignment="1">
      <alignment horizontal="center"/>
    </xf>
    <xf numFmtId="4" fontId="6" fillId="0" borderId="13" xfId="1" applyNumberFormat="1" applyFont="1" applyBorder="1" applyAlignment="1">
      <alignment horizontal="center"/>
    </xf>
    <xf numFmtId="0" fontId="9" fillId="0" borderId="0" xfId="1" applyNumberFormat="1" applyFont="1" applyAlignment="1"/>
    <xf numFmtId="17" fontId="6" fillId="0" borderId="0" xfId="1" applyNumberFormat="1" applyFont="1" applyAlignment="1">
      <alignment horizontal="center"/>
    </xf>
    <xf numFmtId="4" fontId="6" fillId="0" borderId="0" xfId="1" applyNumberFormat="1" applyFont="1" applyAlignment="1">
      <alignment horizontal="center"/>
    </xf>
    <xf numFmtId="0" fontId="6" fillId="0" borderId="0" xfId="1" applyNumberFormat="1" applyFont="1" applyAlignment="1"/>
    <xf numFmtId="3" fontId="0" fillId="0" borderId="0" xfId="0" applyNumberFormat="1" applyFont="1" applyAlignment="1"/>
    <xf numFmtId="3" fontId="5" fillId="2" borderId="2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0" fillId="0" borderId="2" xfId="0" applyNumberFormat="1" applyBorder="1"/>
    <xf numFmtId="3" fontId="0" fillId="0" borderId="5" xfId="0" applyNumberFormat="1" applyBorder="1"/>
    <xf numFmtId="3" fontId="6" fillId="0" borderId="0" xfId="0" applyNumberFormat="1" applyFont="1" applyAlignment="1"/>
    <xf numFmtId="3" fontId="0" fillId="0" borderId="0" xfId="0" applyNumberFormat="1" applyFont="1" applyAlignment="1" applyProtection="1">
      <protection locked="0"/>
    </xf>
    <xf numFmtId="3" fontId="2" fillId="0" borderId="0" xfId="2" applyNumberFormat="1" applyFont="1" applyAlignment="1"/>
    <xf numFmtId="3" fontId="6" fillId="2" borderId="2" xfId="2" applyNumberFormat="1" applyFont="1" applyFill="1" applyBorder="1" applyAlignment="1">
      <alignment horizontal="center"/>
    </xf>
    <xf numFmtId="3" fontId="6" fillId="2" borderId="16" xfId="2" applyNumberFormat="1" applyFont="1" applyFill="1" applyBorder="1" applyAlignment="1">
      <alignment horizontal="center"/>
    </xf>
    <xf numFmtId="3" fontId="7" fillId="0" borderId="5" xfId="2" applyNumberFormat="1" applyFont="1" applyBorder="1" applyAlignment="1">
      <alignment horizontal="center"/>
    </xf>
    <xf numFmtId="3" fontId="2" fillId="0" borderId="5" xfId="2" applyNumberFormat="1" applyFont="1" applyBorder="1" applyAlignment="1">
      <alignment horizontal="center"/>
    </xf>
    <xf numFmtId="3" fontId="2" fillId="0" borderId="2" xfId="2" applyNumberFormat="1" applyFont="1" applyBorder="1" applyAlignment="1">
      <alignment horizontal="center"/>
    </xf>
    <xf numFmtId="3" fontId="6" fillId="2" borderId="8" xfId="2" applyNumberFormat="1" applyFont="1" applyFill="1" applyBorder="1" applyAlignment="1">
      <alignment horizontal="center"/>
    </xf>
    <xf numFmtId="3" fontId="6" fillId="2" borderId="10" xfId="2" applyNumberFormat="1" applyFont="1" applyFill="1" applyBorder="1" applyAlignment="1">
      <alignment horizontal="center"/>
    </xf>
    <xf numFmtId="3" fontId="6" fillId="0" borderId="0" xfId="2" applyNumberFormat="1" applyFont="1" applyAlignment="1"/>
    <xf numFmtId="3" fontId="2" fillId="0" borderId="0" xfId="2" applyNumberFormat="1" applyAlignment="1"/>
    <xf numFmtId="167" fontId="2" fillId="0" borderId="0" xfId="2" applyNumberFormat="1" applyFont="1" applyAlignment="1"/>
    <xf numFmtId="167" fontId="6" fillId="0" borderId="0" xfId="2" applyNumberFormat="1" applyFont="1" applyAlignment="1">
      <alignment horizontal="center"/>
    </xf>
    <xf numFmtId="167" fontId="6" fillId="2" borderId="2" xfId="2" applyNumberFormat="1" applyFont="1" applyFill="1" applyBorder="1" applyAlignment="1">
      <alignment horizontal="center"/>
    </xf>
    <xf numFmtId="167" fontId="6" fillId="2" borderId="17" xfId="2" applyNumberFormat="1" applyFont="1" applyFill="1" applyBorder="1" applyAlignment="1">
      <alignment horizontal="center"/>
    </xf>
    <xf numFmtId="167" fontId="7" fillId="0" borderId="6" xfId="2" applyNumberFormat="1" applyFont="1" applyBorder="1" applyAlignment="1">
      <alignment horizontal="center"/>
    </xf>
    <xf numFmtId="167" fontId="2" fillId="0" borderId="5" xfId="2" applyNumberFormat="1" applyFont="1" applyBorder="1" applyAlignment="1">
      <alignment horizontal="center"/>
    </xf>
    <xf numFmtId="167" fontId="2" fillId="0" borderId="2" xfId="2" applyNumberFormat="1" applyFont="1" applyBorder="1" applyAlignment="1">
      <alignment horizontal="center"/>
    </xf>
    <xf numFmtId="167" fontId="6" fillId="2" borderId="9" xfId="2" applyNumberFormat="1" applyFont="1" applyFill="1" applyBorder="1" applyAlignment="1">
      <alignment horizontal="center"/>
    </xf>
    <xf numFmtId="167" fontId="2" fillId="0" borderId="6" xfId="2" applyNumberFormat="1" applyFont="1" applyBorder="1" applyAlignment="1">
      <alignment horizontal="center"/>
    </xf>
    <xf numFmtId="167" fontId="2" fillId="0" borderId="3" xfId="2" applyNumberFormat="1" applyFont="1" applyBorder="1" applyAlignment="1">
      <alignment horizontal="center"/>
    </xf>
    <xf numFmtId="167" fontId="6" fillId="0" borderId="0" xfId="2" applyNumberFormat="1" applyFont="1" applyAlignment="1"/>
    <xf numFmtId="167" fontId="2" fillId="0" borderId="0" xfId="2" applyNumberFormat="1" applyAlignment="1"/>
    <xf numFmtId="3" fontId="2" fillId="0" borderId="0" xfId="1" applyNumberFormat="1" applyFont="1" applyAlignment="1"/>
    <xf numFmtId="3" fontId="6" fillId="2" borderId="2" xfId="1" applyNumberFormat="1" applyFont="1" applyFill="1" applyBorder="1" applyAlignment="1">
      <alignment horizontal="center"/>
    </xf>
    <xf numFmtId="3" fontId="6" fillId="2" borderId="5" xfId="1" applyNumberFormat="1" applyFont="1" applyFill="1" applyBorder="1" applyAlignment="1">
      <alignment horizontal="center"/>
    </xf>
    <xf numFmtId="3" fontId="7" fillId="0" borderId="2" xfId="1" applyNumberFormat="1" applyFont="1" applyBorder="1" applyAlignment="1">
      <alignment horizontal="center"/>
    </xf>
    <xf numFmtId="3" fontId="2" fillId="0" borderId="5" xfId="1" applyNumberFormat="1" applyFont="1" applyBorder="1" applyAlignment="1">
      <alignment horizontal="center"/>
    </xf>
    <xf numFmtId="3" fontId="2" fillId="0" borderId="2" xfId="1" applyNumberFormat="1" applyFont="1" applyBorder="1" applyAlignment="1">
      <alignment horizontal="center"/>
    </xf>
    <xf numFmtId="3" fontId="6" fillId="2" borderId="8" xfId="1" applyNumberFormat="1" applyFont="1" applyFill="1" applyBorder="1" applyAlignment="1">
      <alignment horizontal="center"/>
    </xf>
    <xf numFmtId="3" fontId="2" fillId="0" borderId="5" xfId="1" applyNumberFormat="1" applyBorder="1"/>
    <xf numFmtId="3" fontId="6" fillId="2" borderId="10" xfId="1" applyNumberFormat="1" applyFont="1" applyFill="1" applyBorder="1" applyAlignment="1">
      <alignment horizontal="center"/>
    </xf>
    <xf numFmtId="3" fontId="6" fillId="0" borderId="13" xfId="1" applyNumberFormat="1" applyFont="1" applyBorder="1" applyAlignment="1">
      <alignment horizontal="center"/>
    </xf>
    <xf numFmtId="3" fontId="6" fillId="0" borderId="0" xfId="1" applyNumberFormat="1" applyFont="1" applyAlignment="1">
      <alignment horizontal="center"/>
    </xf>
    <xf numFmtId="3" fontId="2" fillId="0" borderId="0" xfId="1" applyNumberFormat="1" applyAlignment="1"/>
    <xf numFmtId="167" fontId="2" fillId="0" borderId="0" xfId="1" applyNumberFormat="1" applyFont="1" applyAlignment="1"/>
    <xf numFmtId="167" fontId="6" fillId="0" borderId="0" xfId="1" applyNumberFormat="1" applyFont="1" applyAlignment="1">
      <alignment horizontal="centerContinuous"/>
    </xf>
    <xf numFmtId="167" fontId="6" fillId="2" borderId="2" xfId="1" applyNumberFormat="1" applyFont="1" applyFill="1" applyBorder="1" applyAlignment="1">
      <alignment horizontal="center"/>
    </xf>
    <xf numFmtId="167" fontId="6" fillId="2" borderId="3" xfId="1" applyNumberFormat="1" applyFont="1" applyFill="1" applyBorder="1" applyAlignment="1">
      <alignment horizontal="center"/>
    </xf>
    <xf numFmtId="167" fontId="6" fillId="2" borderId="5" xfId="1" applyNumberFormat="1" applyFont="1" applyFill="1" applyBorder="1" applyAlignment="1">
      <alignment horizontal="center"/>
    </xf>
    <xf numFmtId="167" fontId="7" fillId="0" borderId="2" xfId="1" applyNumberFormat="1" applyFont="1" applyBorder="1" applyAlignment="1">
      <alignment horizontal="center"/>
    </xf>
    <xf numFmtId="167" fontId="7" fillId="0" borderId="3" xfId="1" applyNumberFormat="1" applyFont="1" applyBorder="1" applyAlignment="1">
      <alignment horizontal="center"/>
    </xf>
    <xf numFmtId="167" fontId="2" fillId="0" borderId="5" xfId="1" applyNumberFormat="1" applyFont="1" applyBorder="1" applyAlignment="1">
      <alignment horizontal="center"/>
    </xf>
    <xf numFmtId="167" fontId="2" fillId="0" borderId="6" xfId="1" applyNumberFormat="1" applyFont="1" applyBorder="1" applyAlignment="1">
      <alignment horizontal="center"/>
    </xf>
    <xf numFmtId="167" fontId="2" fillId="0" borderId="2" xfId="1" applyNumberFormat="1" applyFont="1" applyBorder="1" applyAlignment="1">
      <alignment horizontal="center"/>
    </xf>
    <xf numFmtId="167" fontId="2" fillId="0" borderId="3" xfId="1" applyNumberFormat="1" applyFont="1" applyBorder="1" applyAlignment="1">
      <alignment horizontal="center"/>
    </xf>
    <xf numFmtId="167" fontId="6" fillId="2" borderId="8" xfId="1" applyNumberFormat="1" applyFont="1" applyFill="1" applyBorder="1" applyAlignment="1">
      <alignment horizontal="center"/>
    </xf>
    <xf numFmtId="167" fontId="6" fillId="2" borderId="9" xfId="1" applyNumberFormat="1" applyFont="1" applyFill="1" applyBorder="1" applyAlignment="1">
      <alignment horizontal="center"/>
    </xf>
    <xf numFmtId="167" fontId="2" fillId="0" borderId="5" xfId="1" applyNumberFormat="1" applyBorder="1"/>
    <xf numFmtId="167" fontId="2" fillId="0" borderId="6" xfId="1" applyNumberFormat="1" applyBorder="1"/>
    <xf numFmtId="167" fontId="6" fillId="2" borderId="10" xfId="1" applyNumberFormat="1" applyFont="1" applyFill="1" applyBorder="1" applyAlignment="1">
      <alignment horizontal="center"/>
    </xf>
    <xf numFmtId="167" fontId="6" fillId="0" borderId="13" xfId="1" applyNumberFormat="1" applyFont="1" applyBorder="1" applyAlignment="1">
      <alignment horizontal="center"/>
    </xf>
    <xf numFmtId="167" fontId="6" fillId="0" borderId="0" xfId="1" applyNumberFormat="1" applyFont="1" applyAlignment="1">
      <alignment horizontal="center"/>
    </xf>
    <xf numFmtId="167" fontId="2" fillId="0" borderId="0" xfId="1" applyNumberFormat="1" applyAlignment="1"/>
    <xf numFmtId="167" fontId="6" fillId="2" borderId="3" xfId="1" applyNumberFormat="1" applyFont="1" applyFill="1" applyBorder="1" applyAlignment="1"/>
    <xf numFmtId="167" fontId="6" fillId="2" borderId="6" xfId="1" applyNumberFormat="1" applyFont="1" applyFill="1" applyBorder="1" applyAlignment="1"/>
    <xf numFmtId="166" fontId="6" fillId="0" borderId="18" xfId="2" applyNumberFormat="1" applyFont="1" applyBorder="1" applyAlignment="1"/>
    <xf numFmtId="166" fontId="6" fillId="0" borderId="0" xfId="1" applyNumberFormat="1" applyFont="1" applyBorder="1" applyAlignment="1"/>
    <xf numFmtId="167" fontId="6" fillId="0" borderId="0" xfId="1" applyNumberFormat="1" applyFont="1" applyBorder="1" applyAlignment="1">
      <alignment horizontal="center"/>
    </xf>
    <xf numFmtId="0" fontId="6" fillId="0" borderId="0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4" fontId="6" fillId="0" borderId="0" xfId="1" applyNumberFormat="1" applyFont="1" applyBorder="1" applyAlignment="1">
      <alignment horizontal="center"/>
    </xf>
    <xf numFmtId="3" fontId="6" fillId="2" borderId="11" xfId="2" applyNumberFormat="1" applyFont="1" applyFill="1" applyBorder="1" applyAlignment="1">
      <alignment horizontal="center"/>
    </xf>
    <xf numFmtId="3" fontId="6" fillId="2" borderId="19" xfId="2" applyNumberFormat="1" applyFont="1" applyFill="1" applyBorder="1" applyAlignment="1">
      <alignment horizontal="center"/>
    </xf>
    <xf numFmtId="166" fontId="10" fillId="0" borderId="0" xfId="2" applyNumberFormat="1" applyFont="1" applyAlignment="1"/>
    <xf numFmtId="166" fontId="10" fillId="0" borderId="0" xfId="0" applyNumberFormat="1" applyFont="1" applyAlignment="1"/>
    <xf numFmtId="166" fontId="6" fillId="2" borderId="7" xfId="2" applyNumberFormat="1" applyFont="1" applyFill="1" applyBorder="1" applyAlignment="1">
      <alignment horizontal="center"/>
    </xf>
    <xf numFmtId="0" fontId="6" fillId="2" borderId="8" xfId="2" applyNumberFormat="1" applyFont="1" applyFill="1" applyBorder="1" applyAlignment="1">
      <alignment horizontal="center"/>
    </xf>
    <xf numFmtId="167" fontId="6" fillId="2" borderId="20" xfId="2" applyNumberFormat="1" applyFont="1" applyFill="1" applyBorder="1" applyAlignment="1">
      <alignment horizontal="center"/>
    </xf>
    <xf numFmtId="9" fontId="6" fillId="3" borderId="10" xfId="2" applyNumberFormat="1" applyFont="1" applyFill="1" applyBorder="1" applyAlignment="1">
      <alignment horizontal="center"/>
    </xf>
    <xf numFmtId="9" fontId="6" fillId="3" borderId="21" xfId="2" applyNumberFormat="1" applyFont="1" applyFill="1" applyBorder="1" applyAlignment="1">
      <alignment horizontal="center"/>
    </xf>
    <xf numFmtId="167" fontId="6" fillId="2" borderId="20" xfId="1" applyNumberFormat="1" applyFont="1" applyFill="1" applyBorder="1" applyAlignment="1">
      <alignment horizontal="center"/>
    </xf>
    <xf numFmtId="3" fontId="6" fillId="2" borderId="11" xfId="1" applyNumberFormat="1" applyFont="1" applyFill="1" applyBorder="1" applyAlignment="1">
      <alignment horizontal="center"/>
    </xf>
    <xf numFmtId="9" fontId="6" fillId="3" borderId="10" xfId="1" applyNumberFormat="1" applyFont="1" applyFill="1" applyBorder="1" applyAlignment="1">
      <alignment horizontal="center"/>
    </xf>
    <xf numFmtId="166" fontId="6" fillId="2" borderId="4" xfId="0" applyNumberFormat="1" applyFont="1" applyFill="1" applyBorder="1" applyAlignment="1"/>
    <xf numFmtId="166" fontId="11" fillId="0" borderId="4" xfId="0" applyNumberFormat="1" applyFont="1" applyBorder="1" applyAlignment="1"/>
    <xf numFmtId="0" fontId="12" fillId="3" borderId="4" xfId="3" applyFont="1" applyFill="1" applyBorder="1" applyAlignment="1">
      <alignment horizontal="center"/>
    </xf>
    <xf numFmtId="0" fontId="11" fillId="3" borderId="4" xfId="3" applyFont="1" applyFill="1" applyBorder="1" applyAlignment="1">
      <alignment horizontal="center"/>
    </xf>
    <xf numFmtId="0" fontId="13" fillId="0" borderId="0" xfId="0" applyNumberFormat="1" applyFont="1" applyAlignment="1"/>
    <xf numFmtId="9" fontId="11" fillId="3" borderId="2" xfId="0" applyNumberFormat="1" applyFont="1" applyFill="1" applyBorder="1" applyAlignment="1">
      <alignment horizontal="center"/>
    </xf>
    <xf numFmtId="9" fontId="11" fillId="3" borderId="8" xfId="0" applyNumberFormat="1" applyFont="1" applyFill="1" applyBorder="1" applyAlignment="1">
      <alignment horizontal="center"/>
    </xf>
    <xf numFmtId="9" fontId="11" fillId="3" borderId="10" xfId="0" applyNumberFormat="1" applyFont="1" applyFill="1" applyBorder="1" applyAlignment="1">
      <alignment horizontal="center"/>
    </xf>
    <xf numFmtId="0" fontId="13" fillId="0" borderId="0" xfId="2" applyNumberFormat="1" applyFont="1" applyAlignment="1"/>
    <xf numFmtId="0" fontId="13" fillId="0" borderId="0" xfId="1" applyNumberFormat="1" applyFont="1" applyAlignment="1"/>
    <xf numFmtId="4" fontId="2" fillId="0" borderId="0" xfId="3" applyNumberFormat="1" applyFont="1" applyBorder="1" applyAlignment="1">
      <alignment horizontal="center"/>
    </xf>
    <xf numFmtId="4" fontId="14" fillId="0" borderId="0" xfId="3" applyNumberFormat="1" applyFont="1" applyBorder="1" applyAlignment="1">
      <alignment horizontal="left"/>
    </xf>
  </cellXfs>
  <cellStyles count="4">
    <cellStyle name="Normal" xfId="0" builtinId="0"/>
    <cellStyle name="Normal_SLOT STATS" xfId="1"/>
    <cellStyle name="Normal_TABLE STATS" xfId="2"/>
    <cellStyle name="Normal_YTD TAXE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413"/>
  <sheetViews>
    <sheetView tabSelected="1" showOutlineSymbols="0" view="pageBreakPreview" topLeftCell="A27" zoomScale="60" zoomScaleNormal="100" workbookViewId="0">
      <selection activeCell="I106" sqref="I106"/>
    </sheetView>
  </sheetViews>
  <sheetFormatPr defaultColWidth="9.6640625" defaultRowHeight="15" x14ac:dyDescent="0.2"/>
  <cols>
    <col min="1" max="1" width="22.44140625" style="3" customWidth="1"/>
    <col min="2" max="2" width="8.6640625" style="3" customWidth="1"/>
    <col min="3" max="4" width="13.6640625" style="3" customWidth="1"/>
    <col min="5" max="5" width="7.6640625" style="3" customWidth="1"/>
    <col min="6" max="7" width="13.6640625" style="3" customWidth="1"/>
    <col min="8" max="8" width="7.6640625" style="3" customWidth="1"/>
    <col min="9" max="10" width="11.6640625" style="3" customWidth="1"/>
    <col min="11" max="12" width="16.6640625" style="199" customWidth="1"/>
    <col min="13" max="13" width="7.6640625" style="3" customWidth="1"/>
    <col min="14" max="14" width="11.6640625" style="3" customWidth="1"/>
    <col min="15" max="15" width="7.6640625" style="3" customWidth="1"/>
    <col min="16" max="16" width="15.6640625" style="3" customWidth="1"/>
    <col min="17" max="17" width="7.6640625" style="3" customWidth="1"/>
    <col min="18" max="16384" width="9.6640625" style="3"/>
  </cols>
  <sheetData>
    <row r="1" spans="1:18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92"/>
      <c r="L1" s="192"/>
      <c r="M1" s="2"/>
      <c r="N1" s="2"/>
      <c r="O1" s="2"/>
      <c r="P1" s="2"/>
      <c r="Q1" s="2"/>
      <c r="R1" s="2"/>
    </row>
    <row r="2" spans="1:18" ht="18" customHeight="1" x14ac:dyDescent="0.3">
      <c r="A2" s="4" t="s">
        <v>68</v>
      </c>
      <c r="B2" s="2"/>
      <c r="C2" s="2"/>
      <c r="D2" s="2"/>
      <c r="E2" s="2"/>
      <c r="F2" s="2"/>
      <c r="G2" s="2"/>
      <c r="H2" s="2"/>
      <c r="I2" s="2"/>
      <c r="J2" s="2"/>
      <c r="K2" s="192"/>
      <c r="L2" s="192"/>
      <c r="M2" s="2"/>
      <c r="N2" s="2"/>
      <c r="O2" s="2"/>
      <c r="P2" s="2"/>
      <c r="Q2" s="2"/>
      <c r="R2" s="2"/>
    </row>
    <row r="3" spans="1:18" ht="18" x14ac:dyDescent="0.25">
      <c r="A3" s="1" t="s">
        <v>69</v>
      </c>
      <c r="B3" s="2"/>
      <c r="C3" s="2"/>
      <c r="D3" s="2"/>
      <c r="E3" s="2"/>
      <c r="F3" s="2"/>
      <c r="G3" s="2"/>
      <c r="H3" s="2"/>
      <c r="I3" s="2"/>
      <c r="J3" s="2"/>
      <c r="K3" s="192"/>
      <c r="L3" s="192"/>
      <c r="M3" s="2"/>
      <c r="N3" s="2"/>
      <c r="O3" s="2"/>
      <c r="P3" s="2"/>
      <c r="Q3" s="2"/>
      <c r="R3" s="2"/>
    </row>
    <row r="4" spans="1:18" x14ac:dyDescent="0.2">
      <c r="A4" s="277" t="s">
        <v>70</v>
      </c>
      <c r="B4" s="2"/>
      <c r="C4" s="2"/>
      <c r="D4" s="2"/>
      <c r="E4" s="2"/>
      <c r="F4" s="2"/>
      <c r="G4" s="2"/>
      <c r="H4" s="2"/>
      <c r="I4" s="2"/>
      <c r="J4" s="2"/>
      <c r="K4" s="192"/>
      <c r="L4" s="192"/>
      <c r="M4" s="2"/>
      <c r="N4" s="2"/>
      <c r="O4" s="2"/>
      <c r="P4" s="2"/>
      <c r="Q4" s="2"/>
      <c r="R4" s="2"/>
    </row>
    <row r="5" spans="1:18" ht="15.75" thickBot="1" x14ac:dyDescent="0.25">
      <c r="A5" s="2"/>
      <c r="B5" s="2"/>
      <c r="C5" s="2"/>
      <c r="D5" s="2"/>
      <c r="E5" s="2"/>
      <c r="F5" s="2"/>
      <c r="G5" s="2"/>
      <c r="H5" s="2"/>
      <c r="I5" s="5" t="s">
        <v>1</v>
      </c>
      <c r="J5" s="5" t="s">
        <v>1</v>
      </c>
      <c r="K5" s="192"/>
      <c r="L5" s="192"/>
      <c r="M5" s="2"/>
      <c r="N5" s="2"/>
      <c r="O5" s="2"/>
      <c r="P5" s="2"/>
      <c r="Q5" s="2"/>
      <c r="R5" s="2"/>
    </row>
    <row r="6" spans="1:18" ht="16.5" thickTop="1" x14ac:dyDescent="0.25">
      <c r="A6" s="6"/>
      <c r="B6" s="7" t="s">
        <v>2</v>
      </c>
      <c r="C6" s="7" t="s">
        <v>1</v>
      </c>
      <c r="D6" s="7" t="s">
        <v>3</v>
      </c>
      <c r="E6" s="8"/>
      <c r="F6" s="7" t="s">
        <v>1</v>
      </c>
      <c r="G6" s="7" t="s">
        <v>3</v>
      </c>
      <c r="H6" s="8"/>
      <c r="I6" s="7" t="s">
        <v>4</v>
      </c>
      <c r="J6" s="7" t="s">
        <v>4</v>
      </c>
      <c r="K6" s="193" t="s">
        <v>1</v>
      </c>
      <c r="L6" s="193" t="s">
        <v>3</v>
      </c>
      <c r="M6" s="9"/>
      <c r="N6" s="10"/>
      <c r="R6" s="2"/>
    </row>
    <row r="7" spans="1:18" ht="16.5" thickBot="1" x14ac:dyDescent="0.3">
      <c r="A7" s="11" t="s">
        <v>5</v>
      </c>
      <c r="B7" s="12" t="s">
        <v>6</v>
      </c>
      <c r="C7" s="12" t="s">
        <v>7</v>
      </c>
      <c r="D7" s="12" t="s">
        <v>7</v>
      </c>
      <c r="E7" s="13" t="s">
        <v>8</v>
      </c>
      <c r="F7" s="12" t="s">
        <v>9</v>
      </c>
      <c r="G7" s="12" t="s">
        <v>9</v>
      </c>
      <c r="H7" s="13" t="s">
        <v>8</v>
      </c>
      <c r="I7" s="12" t="s">
        <v>10</v>
      </c>
      <c r="J7" s="12" t="s">
        <v>11</v>
      </c>
      <c r="K7" s="194" t="s">
        <v>12</v>
      </c>
      <c r="L7" s="194" t="s">
        <v>12</v>
      </c>
      <c r="M7" s="14" t="s">
        <v>8</v>
      </c>
      <c r="N7" s="10"/>
      <c r="R7" s="2"/>
    </row>
    <row r="8" spans="1:18" ht="15.75" customHeight="1" thickTop="1" x14ac:dyDescent="0.25">
      <c r="A8" s="15"/>
      <c r="B8" s="16"/>
      <c r="C8" s="16"/>
      <c r="D8" s="16"/>
      <c r="E8" s="17"/>
      <c r="F8" s="16"/>
      <c r="G8" s="16"/>
      <c r="H8" s="17"/>
      <c r="I8" s="16"/>
      <c r="J8" s="16"/>
      <c r="K8" s="195"/>
      <c r="L8" s="195"/>
      <c r="M8" s="18"/>
      <c r="N8" s="10"/>
      <c r="R8" s="2"/>
    </row>
    <row r="9" spans="1:18" ht="15.75" x14ac:dyDescent="0.25">
      <c r="A9" s="19" t="s">
        <v>13</v>
      </c>
      <c r="B9" s="20">
        <f>DATE(2019,7,1)</f>
        <v>43647</v>
      </c>
      <c r="C9" s="21">
        <v>273819</v>
      </c>
      <c r="D9" s="22">
        <v>261456</v>
      </c>
      <c r="E9" s="23">
        <f t="shared" ref="E9:E15" si="0">(+C9-D9)/D9</f>
        <v>4.7285202863961817E-2</v>
      </c>
      <c r="F9" s="21">
        <f>+C9-121652</f>
        <v>152167</v>
      </c>
      <c r="G9" s="21">
        <f>+D9-122888</f>
        <v>138568</v>
      </c>
      <c r="H9" s="23">
        <f t="shared" ref="H9:H15" si="1">(+F9-G9)/G9</f>
        <v>9.8139541596905494E-2</v>
      </c>
      <c r="I9" s="24">
        <f t="shared" ref="I9:I15" si="2">K9/C9</f>
        <v>53.293904623126956</v>
      </c>
      <c r="J9" s="24">
        <f t="shared" ref="J9:J15" si="3">K9/F9</f>
        <v>95.9004493089829</v>
      </c>
      <c r="K9" s="21">
        <v>14592883.67</v>
      </c>
      <c r="L9" s="21">
        <v>13375050.09</v>
      </c>
      <c r="M9" s="25">
        <f t="shared" ref="M9:M15" si="4">(+K9-L9)/L9</f>
        <v>9.1052636947545076E-2</v>
      </c>
      <c r="N9" s="10"/>
      <c r="R9" s="2"/>
    </row>
    <row r="10" spans="1:18" ht="15.75" x14ac:dyDescent="0.25">
      <c r="A10" s="19"/>
      <c r="B10" s="20">
        <f>DATE(2019,8,1)</f>
        <v>43678</v>
      </c>
      <c r="C10" s="21">
        <v>276880</v>
      </c>
      <c r="D10" s="22">
        <v>266367</v>
      </c>
      <c r="E10" s="23">
        <f t="shared" si="0"/>
        <v>3.9468102279937078E-2</v>
      </c>
      <c r="F10" s="21">
        <f>+C10-123357</f>
        <v>153523</v>
      </c>
      <c r="G10" s="21">
        <f>+D10-122166</f>
        <v>144201</v>
      </c>
      <c r="H10" s="23">
        <f t="shared" si="1"/>
        <v>6.4645876242189718E-2</v>
      </c>
      <c r="I10" s="24">
        <f t="shared" si="2"/>
        <v>52.376661297312914</v>
      </c>
      <c r="J10" s="24">
        <f t="shared" si="3"/>
        <v>94.461741758563861</v>
      </c>
      <c r="K10" s="21">
        <v>14502049.98</v>
      </c>
      <c r="L10" s="21">
        <v>13957901.84</v>
      </c>
      <c r="M10" s="25">
        <f t="shared" si="4"/>
        <v>3.898495248337415E-2</v>
      </c>
      <c r="N10" s="10"/>
      <c r="R10" s="2"/>
    </row>
    <row r="11" spans="1:18" ht="15.75" x14ac:dyDescent="0.25">
      <c r="A11" s="19"/>
      <c r="B11" s="20">
        <f>DATE(2019,9,1)</f>
        <v>43709</v>
      </c>
      <c r="C11" s="21">
        <v>254028</v>
      </c>
      <c r="D11" s="22">
        <v>263613</v>
      </c>
      <c r="E11" s="23">
        <f t="shared" si="0"/>
        <v>-3.6360118810529071E-2</v>
      </c>
      <c r="F11" s="21">
        <f>+C11-112781</f>
        <v>141247</v>
      </c>
      <c r="G11" s="21">
        <f>+D11-122145</f>
        <v>141468</v>
      </c>
      <c r="H11" s="23">
        <f t="shared" si="1"/>
        <v>-1.56219074278282E-3</v>
      </c>
      <c r="I11" s="24">
        <f t="shared" si="2"/>
        <v>50.285363739430302</v>
      </c>
      <c r="J11" s="24">
        <f t="shared" si="3"/>
        <v>90.43654293542518</v>
      </c>
      <c r="K11" s="21">
        <v>12773890.380000001</v>
      </c>
      <c r="L11" s="21">
        <v>13536102.300000001</v>
      </c>
      <c r="M11" s="25">
        <f t="shared" si="4"/>
        <v>-5.6309556703039977E-2</v>
      </c>
      <c r="N11" s="10"/>
      <c r="R11" s="2"/>
    </row>
    <row r="12" spans="1:18" ht="15.75" x14ac:dyDescent="0.25">
      <c r="A12" s="19"/>
      <c r="B12" s="20">
        <f>DATE(2019,10,1)</f>
        <v>43739</v>
      </c>
      <c r="C12" s="21">
        <v>250952</v>
      </c>
      <c r="D12" s="22">
        <v>264243</v>
      </c>
      <c r="E12" s="23">
        <f t="shared" si="0"/>
        <v>-5.0298399579175229E-2</v>
      </c>
      <c r="F12" s="21">
        <f>+C12-113545</f>
        <v>137407</v>
      </c>
      <c r="G12" s="21">
        <f>+D12-121413</f>
        <v>142830</v>
      </c>
      <c r="H12" s="23">
        <f t="shared" si="1"/>
        <v>-3.7968213960652523E-2</v>
      </c>
      <c r="I12" s="24">
        <f t="shared" si="2"/>
        <v>53.295277224329752</v>
      </c>
      <c r="J12" s="24">
        <f t="shared" si="3"/>
        <v>97.335335244929297</v>
      </c>
      <c r="K12" s="21">
        <v>13374556.41</v>
      </c>
      <c r="L12" s="21">
        <v>13965262.380000001</v>
      </c>
      <c r="M12" s="25">
        <f t="shared" si="4"/>
        <v>-4.2298236433134642E-2</v>
      </c>
      <c r="N12" s="10"/>
      <c r="R12" s="2"/>
    </row>
    <row r="13" spans="1:18" ht="15.75" x14ac:dyDescent="0.25">
      <c r="A13" s="19"/>
      <c r="B13" s="20">
        <f>DATE(2019,11,1)</f>
        <v>43770</v>
      </c>
      <c r="C13" s="21">
        <v>272418</v>
      </c>
      <c r="D13" s="22">
        <v>252868</v>
      </c>
      <c r="E13" s="23">
        <f t="shared" si="0"/>
        <v>7.7313064523783157E-2</v>
      </c>
      <c r="F13" s="21">
        <f>+C13-124199</f>
        <v>148219</v>
      </c>
      <c r="G13" s="21">
        <f>+D13-117772</f>
        <v>135096</v>
      </c>
      <c r="H13" s="23">
        <f t="shared" si="1"/>
        <v>9.713833126073311E-2</v>
      </c>
      <c r="I13" s="24">
        <f t="shared" si="2"/>
        <v>51.274348648033538</v>
      </c>
      <c r="J13" s="24">
        <f t="shared" si="3"/>
        <v>94.239304745005697</v>
      </c>
      <c r="K13" s="21">
        <v>13968055.51</v>
      </c>
      <c r="L13" s="21">
        <v>13690400.939999999</v>
      </c>
      <c r="M13" s="25">
        <f t="shared" si="4"/>
        <v>2.0280967023307669E-2</v>
      </c>
      <c r="N13" s="10"/>
      <c r="R13" s="2"/>
    </row>
    <row r="14" spans="1:18" ht="15.75" x14ac:dyDescent="0.25">
      <c r="A14" s="19"/>
      <c r="B14" s="20">
        <f>DATE(2019,12,1)</f>
        <v>43800</v>
      </c>
      <c r="C14" s="21">
        <v>282345</v>
      </c>
      <c r="D14" s="22">
        <v>287683</v>
      </c>
      <c r="E14" s="23">
        <f t="shared" si="0"/>
        <v>-1.8555145768085011E-2</v>
      </c>
      <c r="F14" s="21">
        <f>+C14-128827</f>
        <v>153518</v>
      </c>
      <c r="G14" s="21">
        <f>+D14-136878</f>
        <v>150805</v>
      </c>
      <c r="H14" s="23">
        <f t="shared" si="1"/>
        <v>1.7990119690991679E-2</v>
      </c>
      <c r="I14" s="24">
        <f t="shared" si="2"/>
        <v>51.87486900777418</v>
      </c>
      <c r="J14" s="24">
        <f t="shared" si="3"/>
        <v>95.406466277570061</v>
      </c>
      <c r="K14" s="21">
        <v>14646609.890000001</v>
      </c>
      <c r="L14" s="21">
        <v>15302336.49</v>
      </c>
      <c r="M14" s="25">
        <f t="shared" si="4"/>
        <v>-4.285140379892402E-2</v>
      </c>
      <c r="N14" s="10"/>
      <c r="R14" s="2"/>
    </row>
    <row r="15" spans="1:18" ht="15.75" x14ac:dyDescent="0.25">
      <c r="A15" s="19"/>
      <c r="B15" s="20">
        <f>DATE(2020,1,1)</f>
        <v>43831</v>
      </c>
      <c r="C15" s="21">
        <v>244941</v>
      </c>
      <c r="D15" s="22">
        <v>239286</v>
      </c>
      <c r="E15" s="23">
        <f t="shared" si="0"/>
        <v>2.3632807602617788E-2</v>
      </c>
      <c r="F15" s="21">
        <f>+C15-113581</f>
        <v>131360</v>
      </c>
      <c r="G15" s="21">
        <f>+D15-112115</f>
        <v>127171</v>
      </c>
      <c r="H15" s="23">
        <f t="shared" si="1"/>
        <v>3.2939899819927503E-2</v>
      </c>
      <c r="I15" s="24">
        <f t="shared" si="2"/>
        <v>51.153704483936949</v>
      </c>
      <c r="J15" s="24">
        <f t="shared" si="3"/>
        <v>95.383979369671124</v>
      </c>
      <c r="K15" s="21">
        <v>12529639.529999999</v>
      </c>
      <c r="L15" s="21">
        <v>12487856.060000001</v>
      </c>
      <c r="M15" s="25">
        <f t="shared" si="4"/>
        <v>3.3459282201238638E-3</v>
      </c>
      <c r="N15" s="10"/>
      <c r="R15" s="2"/>
    </row>
    <row r="16" spans="1:18" ht="15.75" customHeight="1" thickBot="1" x14ac:dyDescent="0.3">
      <c r="A16" s="19"/>
      <c r="B16" s="20"/>
      <c r="C16" s="21"/>
      <c r="D16" s="21"/>
      <c r="E16" s="23"/>
      <c r="F16" s="21"/>
      <c r="G16" s="21"/>
      <c r="H16" s="23"/>
      <c r="I16" s="24"/>
      <c r="J16" s="24"/>
      <c r="K16" s="21"/>
      <c r="L16" s="21"/>
      <c r="M16" s="25"/>
      <c r="N16" s="10"/>
      <c r="R16" s="2"/>
    </row>
    <row r="17" spans="1:18" ht="17.25" thickTop="1" thickBot="1" x14ac:dyDescent="0.3">
      <c r="A17" s="26" t="s">
        <v>14</v>
      </c>
      <c r="B17" s="27"/>
      <c r="C17" s="28">
        <f>SUM(C9:C16)</f>
        <v>1855383</v>
      </c>
      <c r="D17" s="28">
        <f>SUM(D9:D16)</f>
        <v>1835516</v>
      </c>
      <c r="E17" s="278">
        <f>(+C17-D17)/D17</f>
        <v>1.0823659396049939E-2</v>
      </c>
      <c r="F17" s="28">
        <f>SUM(F9:F16)</f>
        <v>1017441</v>
      </c>
      <c r="G17" s="28">
        <f>SUM(G9:G16)</f>
        <v>980139</v>
      </c>
      <c r="H17" s="30">
        <f>(+F17-G17)/G17</f>
        <v>3.8057867302494851E-2</v>
      </c>
      <c r="I17" s="31">
        <f>K17/C17</f>
        <v>51.950290247350551</v>
      </c>
      <c r="J17" s="31">
        <f>K17/F17</f>
        <v>94.73540516845695</v>
      </c>
      <c r="K17" s="28">
        <f>SUM(K9:K16)</f>
        <v>96387685.370000005</v>
      </c>
      <c r="L17" s="28">
        <f>SUM(L9:L16)</f>
        <v>96314910.100000009</v>
      </c>
      <c r="M17" s="32">
        <f>(+K17-L17)/L17</f>
        <v>7.5559713365704344E-4</v>
      </c>
      <c r="N17" s="10"/>
      <c r="R17" s="2"/>
    </row>
    <row r="18" spans="1:18" ht="15.75" customHeight="1" thickTop="1" x14ac:dyDescent="0.25">
      <c r="A18" s="15"/>
      <c r="B18" s="16"/>
      <c r="C18" s="16"/>
      <c r="D18" s="16"/>
      <c r="E18" s="17"/>
      <c r="F18" s="16"/>
      <c r="G18" s="16"/>
      <c r="H18" s="17"/>
      <c r="I18" s="16"/>
      <c r="J18" s="16"/>
      <c r="K18" s="195"/>
      <c r="L18" s="195"/>
      <c r="M18" s="18"/>
      <c r="N18" s="10"/>
      <c r="R18" s="2"/>
    </row>
    <row r="19" spans="1:18" ht="15.75" x14ac:dyDescent="0.25">
      <c r="A19" s="19" t="s">
        <v>15</v>
      </c>
      <c r="B19" s="20">
        <f>DATE(2019,7,1)</f>
        <v>43647</v>
      </c>
      <c r="C19" s="21">
        <v>128877</v>
      </c>
      <c r="D19" s="21">
        <v>142478</v>
      </c>
      <c r="E19" s="23">
        <f t="shared" ref="E19:E25" si="5">(+C19-D19)/D19</f>
        <v>-9.5460351773607149E-2</v>
      </c>
      <c r="F19" s="21">
        <f>+C19-61988</f>
        <v>66889</v>
      </c>
      <c r="G19" s="21">
        <f>+D19-67444</f>
        <v>75034</v>
      </c>
      <c r="H19" s="23">
        <f t="shared" ref="H19:H25" si="6">(+F19-G19)/G19</f>
        <v>-0.10855079030839353</v>
      </c>
      <c r="I19" s="24">
        <f t="shared" ref="I19:I25" si="7">K19/C19</f>
        <v>54.051311172668512</v>
      </c>
      <c r="J19" s="24">
        <f t="shared" ref="J19:J25" si="8">K19/F19</f>
        <v>104.14224805274409</v>
      </c>
      <c r="K19" s="21">
        <v>6965970.8300000001</v>
      </c>
      <c r="L19" s="21">
        <v>7374850.2599999998</v>
      </c>
      <c r="M19" s="25">
        <f t="shared" ref="M19:M25" si="9">(+K19-L19)/L19</f>
        <v>-5.544240433161008E-2</v>
      </c>
      <c r="N19" s="10"/>
      <c r="R19" s="2"/>
    </row>
    <row r="20" spans="1:18" ht="15.75" x14ac:dyDescent="0.25">
      <c r="A20" s="19"/>
      <c r="B20" s="20">
        <f>DATE(2019,8,1)</f>
        <v>43678</v>
      </c>
      <c r="C20" s="21">
        <v>130133</v>
      </c>
      <c r="D20" s="21">
        <v>137794</v>
      </c>
      <c r="E20" s="23">
        <f t="shared" si="5"/>
        <v>-5.5597486102442778E-2</v>
      </c>
      <c r="F20" s="21">
        <f>+C20-62200</f>
        <v>67933</v>
      </c>
      <c r="G20" s="21">
        <f>+D20-65911</f>
        <v>71883</v>
      </c>
      <c r="H20" s="23">
        <f t="shared" si="6"/>
        <v>-5.4950405520081243E-2</v>
      </c>
      <c r="I20" s="24">
        <f t="shared" si="7"/>
        <v>53.532999700306604</v>
      </c>
      <c r="J20" s="24">
        <f t="shared" si="8"/>
        <v>102.54824385791882</v>
      </c>
      <c r="K20" s="21">
        <v>6966409.8499999996</v>
      </c>
      <c r="L20" s="21">
        <v>7098601.2599999998</v>
      </c>
      <c r="M20" s="25">
        <f t="shared" si="9"/>
        <v>-1.862217712451145E-2</v>
      </c>
      <c r="N20" s="10"/>
      <c r="R20" s="2"/>
    </row>
    <row r="21" spans="1:18" ht="15.75" x14ac:dyDescent="0.25">
      <c r="A21" s="19"/>
      <c r="B21" s="20">
        <f>DATE(2019,9,1)</f>
        <v>43709</v>
      </c>
      <c r="C21" s="21">
        <v>118251</v>
      </c>
      <c r="D21" s="21">
        <v>137262</v>
      </c>
      <c r="E21" s="23">
        <f t="shared" si="5"/>
        <v>-0.13850155177689383</v>
      </c>
      <c r="F21" s="21">
        <f>+C21-55723</f>
        <v>62528</v>
      </c>
      <c r="G21" s="21">
        <f>+D21-65092</f>
        <v>72170</v>
      </c>
      <c r="H21" s="23">
        <f t="shared" si="6"/>
        <v>-0.13360121934321739</v>
      </c>
      <c r="I21" s="24">
        <f t="shared" si="7"/>
        <v>54.246988186146417</v>
      </c>
      <c r="J21" s="24">
        <f t="shared" si="8"/>
        <v>102.59020918628454</v>
      </c>
      <c r="K21" s="21">
        <v>6414760.5999999996</v>
      </c>
      <c r="L21" s="21">
        <v>6514977.2199999997</v>
      </c>
      <c r="M21" s="25">
        <f t="shared" si="9"/>
        <v>-1.5382497377327763E-2</v>
      </c>
      <c r="N21" s="10"/>
      <c r="R21" s="2"/>
    </row>
    <row r="22" spans="1:18" ht="15.75" x14ac:dyDescent="0.25">
      <c r="A22" s="19"/>
      <c r="B22" s="20">
        <f>DATE(2019,10,1)</f>
        <v>43739</v>
      </c>
      <c r="C22" s="21">
        <v>113052</v>
      </c>
      <c r="D22" s="21">
        <v>119937</v>
      </c>
      <c r="E22" s="23">
        <f t="shared" si="5"/>
        <v>-5.7405137697291081E-2</v>
      </c>
      <c r="F22" s="21">
        <f>+C22-54189</f>
        <v>58863</v>
      </c>
      <c r="G22" s="21">
        <f>+D22-56627</f>
        <v>63310</v>
      </c>
      <c r="H22" s="23">
        <f t="shared" si="6"/>
        <v>-7.0241667982941083E-2</v>
      </c>
      <c r="I22" s="24">
        <f t="shared" si="7"/>
        <v>53.507365990871456</v>
      </c>
      <c r="J22" s="24">
        <f t="shared" si="8"/>
        <v>102.765994597625</v>
      </c>
      <c r="K22" s="21">
        <v>6049114.7400000002</v>
      </c>
      <c r="L22" s="21">
        <v>6347121.8700000001</v>
      </c>
      <c r="M22" s="25">
        <f t="shared" si="9"/>
        <v>-4.6951537421795225E-2</v>
      </c>
      <c r="N22" s="10"/>
      <c r="R22" s="2"/>
    </row>
    <row r="23" spans="1:18" ht="15.75" x14ac:dyDescent="0.25">
      <c r="A23" s="19"/>
      <c r="B23" s="20">
        <f>DATE(2019,11,1)</f>
        <v>43770</v>
      </c>
      <c r="C23" s="21">
        <v>116655</v>
      </c>
      <c r="D23" s="21">
        <v>113387</v>
      </c>
      <c r="E23" s="23">
        <f t="shared" si="5"/>
        <v>2.882164622046619E-2</v>
      </c>
      <c r="F23" s="21">
        <f>+C23-56252</f>
        <v>60403</v>
      </c>
      <c r="G23" s="21">
        <f>+D23-54700</f>
        <v>58687</v>
      </c>
      <c r="H23" s="23">
        <f t="shared" si="6"/>
        <v>2.9239865728355512E-2</v>
      </c>
      <c r="I23" s="24">
        <f t="shared" si="7"/>
        <v>54.552035232094639</v>
      </c>
      <c r="J23" s="24">
        <f t="shared" si="8"/>
        <v>105.35515901528069</v>
      </c>
      <c r="K23" s="21">
        <v>6363767.6699999999</v>
      </c>
      <c r="L23" s="21">
        <v>5777883.1900000004</v>
      </c>
      <c r="M23" s="25">
        <f t="shared" si="9"/>
        <v>0.10140123306992634</v>
      </c>
      <c r="N23" s="10"/>
      <c r="R23" s="2"/>
    </row>
    <row r="24" spans="1:18" ht="15.75" x14ac:dyDescent="0.25">
      <c r="A24" s="19"/>
      <c r="B24" s="20">
        <f>DATE(2019,12,1)</f>
        <v>43800</v>
      </c>
      <c r="C24" s="21">
        <v>115489</v>
      </c>
      <c r="D24" s="21">
        <v>130957</v>
      </c>
      <c r="E24" s="23">
        <f t="shared" si="5"/>
        <v>-0.11811510648533488</v>
      </c>
      <c r="F24" s="21">
        <f>+C24-56066</f>
        <v>59423</v>
      </c>
      <c r="G24" s="21">
        <f>+D24-63848</f>
        <v>67109</v>
      </c>
      <c r="H24" s="23">
        <f t="shared" si="6"/>
        <v>-0.11453009283404611</v>
      </c>
      <c r="I24" s="24">
        <f t="shared" si="7"/>
        <v>54.336793893790755</v>
      </c>
      <c r="J24" s="24">
        <f t="shared" si="8"/>
        <v>105.60392423808963</v>
      </c>
      <c r="K24" s="21">
        <v>6275301.9900000002</v>
      </c>
      <c r="L24" s="21">
        <v>6736075.9199999999</v>
      </c>
      <c r="M24" s="25">
        <f t="shared" si="9"/>
        <v>-6.8403909853795075E-2</v>
      </c>
      <c r="N24" s="10"/>
      <c r="R24" s="2"/>
    </row>
    <row r="25" spans="1:18" ht="15.75" x14ac:dyDescent="0.25">
      <c r="A25" s="19"/>
      <c r="B25" s="20">
        <f>DATE(2020,1,1)</f>
        <v>43831</v>
      </c>
      <c r="C25" s="21">
        <v>104167</v>
      </c>
      <c r="D25" s="21">
        <v>105704</v>
      </c>
      <c r="E25" s="23">
        <f t="shared" si="5"/>
        <v>-1.4540603950654658E-2</v>
      </c>
      <c r="F25" s="21">
        <f>+C25-50647</f>
        <v>53520</v>
      </c>
      <c r="G25" s="21">
        <f>+D25-51270</f>
        <v>54434</v>
      </c>
      <c r="H25" s="23">
        <f t="shared" si="6"/>
        <v>-1.6790976228092735E-2</v>
      </c>
      <c r="I25" s="24">
        <f t="shared" si="7"/>
        <v>54.091592346904491</v>
      </c>
      <c r="J25" s="24">
        <f t="shared" si="8"/>
        <v>105.27950112107624</v>
      </c>
      <c r="K25" s="21">
        <v>5634558.9000000004</v>
      </c>
      <c r="L25" s="21">
        <v>5202479.57</v>
      </c>
      <c r="M25" s="25">
        <f t="shared" si="9"/>
        <v>8.3052576023859334E-2</v>
      </c>
      <c r="N25" s="10"/>
      <c r="R25" s="2"/>
    </row>
    <row r="26" spans="1:18" ht="15.75" customHeight="1" thickBot="1" x14ac:dyDescent="0.3">
      <c r="A26" s="19"/>
      <c r="B26" s="20"/>
      <c r="C26" s="21"/>
      <c r="D26" s="21"/>
      <c r="E26" s="23"/>
      <c r="F26" s="21"/>
      <c r="G26" s="21"/>
      <c r="H26" s="23"/>
      <c r="I26" s="24"/>
      <c r="J26" s="24"/>
      <c r="K26" s="21"/>
      <c r="L26" s="21"/>
      <c r="M26" s="25"/>
      <c r="N26" s="10"/>
      <c r="R26" s="2"/>
    </row>
    <row r="27" spans="1:18" ht="17.25" customHeight="1" thickTop="1" thickBot="1" x14ac:dyDescent="0.3">
      <c r="A27" s="26" t="s">
        <v>14</v>
      </c>
      <c r="B27" s="27"/>
      <c r="C27" s="28">
        <f>SUM(C19:C26)</f>
        <v>826624</v>
      </c>
      <c r="D27" s="28">
        <f>SUM(D19:D26)</f>
        <v>887519</v>
      </c>
      <c r="E27" s="278">
        <f>(+C27-D27)/D27</f>
        <v>-6.861261561724312E-2</v>
      </c>
      <c r="F27" s="28">
        <f>SUM(F19:F26)</f>
        <v>429559</v>
      </c>
      <c r="G27" s="28">
        <f>SUM(G19:G26)</f>
        <v>462627</v>
      </c>
      <c r="H27" s="30">
        <f>(+F27-G27)/G27</f>
        <v>-7.147875069980783E-2</v>
      </c>
      <c r="I27" s="31">
        <f>K27/C27</f>
        <v>54.038939808183656</v>
      </c>
      <c r="J27" s="31">
        <f>K27/F27</f>
        <v>103.99010282638707</v>
      </c>
      <c r="K27" s="28">
        <f>SUM(K19:K26)</f>
        <v>44669884.580000006</v>
      </c>
      <c r="L27" s="28">
        <f>SUM(L19:L26)</f>
        <v>45051989.289999999</v>
      </c>
      <c r="M27" s="32">
        <f>(+K27-L27)/L27</f>
        <v>-8.4814170477663601E-3</v>
      </c>
      <c r="N27" s="10"/>
      <c r="R27" s="2"/>
    </row>
    <row r="28" spans="1:18" ht="15.75" customHeight="1" thickTop="1" x14ac:dyDescent="0.25">
      <c r="A28" s="33"/>
      <c r="B28" s="34"/>
      <c r="C28" s="35"/>
      <c r="D28" s="35"/>
      <c r="E28" s="29"/>
      <c r="F28" s="35"/>
      <c r="G28" s="35"/>
      <c r="H28" s="29"/>
      <c r="I28" s="36"/>
      <c r="J28" s="36"/>
      <c r="K28" s="35"/>
      <c r="L28" s="35"/>
      <c r="M28" s="37"/>
      <c r="N28" s="10"/>
      <c r="R28" s="2"/>
    </row>
    <row r="29" spans="1:18" ht="15.75" customHeight="1" x14ac:dyDescent="0.25">
      <c r="A29" s="19" t="s">
        <v>56</v>
      </c>
      <c r="B29" s="20">
        <f>DATE(2019,7,1)</f>
        <v>43647</v>
      </c>
      <c r="C29" s="21">
        <v>66822</v>
      </c>
      <c r="D29" s="21">
        <v>72910</v>
      </c>
      <c r="E29" s="23">
        <f t="shared" ref="E29:E35" si="10">(+C29-D29)/D29</f>
        <v>-8.3500205733095592E-2</v>
      </c>
      <c r="F29" s="21">
        <f>+C29-35692</f>
        <v>31130</v>
      </c>
      <c r="G29" s="21">
        <f>+D29-39365</f>
        <v>33545</v>
      </c>
      <c r="H29" s="23">
        <f t="shared" ref="H29:H35" si="11">(+F29-G29)/G29</f>
        <v>-7.1992845431509911E-2</v>
      </c>
      <c r="I29" s="24">
        <f t="shared" ref="I29:I35" si="12">K29/C29</f>
        <v>48.793103618568736</v>
      </c>
      <c r="J29" s="24">
        <f t="shared" ref="J29:J35" si="13">K29/F29</f>
        <v>104.73667748152907</v>
      </c>
      <c r="K29" s="21">
        <v>3260452.77</v>
      </c>
      <c r="L29" s="21">
        <v>3264963.85</v>
      </c>
      <c r="M29" s="25">
        <f t="shared" ref="M29:M35" si="14">(+K29-L29)/L29</f>
        <v>-1.3816630772190859E-3</v>
      </c>
      <c r="N29" s="10"/>
      <c r="R29" s="2"/>
    </row>
    <row r="30" spans="1:18" ht="15.75" customHeight="1" x14ac:dyDescent="0.25">
      <c r="A30" s="19"/>
      <c r="B30" s="20">
        <f>DATE(2019,8,1)</f>
        <v>43678</v>
      </c>
      <c r="C30" s="21">
        <v>69025</v>
      </c>
      <c r="D30" s="21">
        <v>70574</v>
      </c>
      <c r="E30" s="23">
        <f t="shared" si="10"/>
        <v>-2.1948592966248192E-2</v>
      </c>
      <c r="F30" s="21">
        <f>+C30-37871</f>
        <v>31154</v>
      </c>
      <c r="G30" s="21">
        <f>+D30-38367</f>
        <v>32207</v>
      </c>
      <c r="H30" s="23">
        <f t="shared" si="11"/>
        <v>-3.2694755798428912E-2</v>
      </c>
      <c r="I30" s="24">
        <f t="shared" si="12"/>
        <v>46.687241434262944</v>
      </c>
      <c r="J30" s="24">
        <f t="shared" si="13"/>
        <v>103.4405482442062</v>
      </c>
      <c r="K30" s="21">
        <v>3222586.84</v>
      </c>
      <c r="L30" s="21">
        <v>3124652.26</v>
      </c>
      <c r="M30" s="25">
        <f t="shared" si="14"/>
        <v>3.1342553299034973E-2</v>
      </c>
      <c r="N30" s="10"/>
      <c r="R30" s="2"/>
    </row>
    <row r="31" spans="1:18" ht="15.75" customHeight="1" x14ac:dyDescent="0.25">
      <c r="A31" s="19"/>
      <c r="B31" s="20">
        <f>DATE(2019,9,1)</f>
        <v>43709</v>
      </c>
      <c r="C31" s="21">
        <v>65573</v>
      </c>
      <c r="D31" s="21">
        <v>68201</v>
      </c>
      <c r="E31" s="23">
        <f t="shared" si="10"/>
        <v>-3.8533159337839622E-2</v>
      </c>
      <c r="F31" s="21">
        <f>+C31-35939</f>
        <v>29634</v>
      </c>
      <c r="G31" s="21">
        <f>+D31-36459</f>
        <v>31742</v>
      </c>
      <c r="H31" s="23">
        <f t="shared" si="11"/>
        <v>-6.6410434125133894E-2</v>
      </c>
      <c r="I31" s="24">
        <f t="shared" si="12"/>
        <v>47.458679486983975</v>
      </c>
      <c r="J31" s="24">
        <f t="shared" si="13"/>
        <v>105.01477998245259</v>
      </c>
      <c r="K31" s="21">
        <v>3112007.99</v>
      </c>
      <c r="L31" s="21">
        <v>3126829.64</v>
      </c>
      <c r="M31" s="25">
        <f t="shared" si="14"/>
        <v>-4.7401527126370423E-3</v>
      </c>
      <c r="N31" s="10"/>
      <c r="R31" s="2"/>
    </row>
    <row r="32" spans="1:18" ht="15.75" customHeight="1" x14ac:dyDescent="0.25">
      <c r="A32" s="19"/>
      <c r="B32" s="20">
        <f>DATE(2019,10,1)</f>
        <v>43739</v>
      </c>
      <c r="C32" s="21">
        <v>63039</v>
      </c>
      <c r="D32" s="21">
        <v>62804</v>
      </c>
      <c r="E32" s="23">
        <f t="shared" si="10"/>
        <v>3.7417998853576206E-3</v>
      </c>
      <c r="F32" s="21">
        <f>+C32-34568</f>
        <v>28471</v>
      </c>
      <c r="G32" s="21">
        <f>+D32-33338</f>
        <v>29466</v>
      </c>
      <c r="H32" s="23">
        <f t="shared" si="11"/>
        <v>-3.3767732301635781E-2</v>
      </c>
      <c r="I32" s="24">
        <f t="shared" si="12"/>
        <v>49.582150573454527</v>
      </c>
      <c r="J32" s="24">
        <f t="shared" si="13"/>
        <v>109.78220610445716</v>
      </c>
      <c r="K32" s="21">
        <v>3125609.19</v>
      </c>
      <c r="L32" s="21">
        <v>2846929.77</v>
      </c>
      <c r="M32" s="25">
        <f t="shared" si="14"/>
        <v>9.7887704479622598E-2</v>
      </c>
      <c r="N32" s="10"/>
      <c r="R32" s="2"/>
    </row>
    <row r="33" spans="1:18" ht="15.75" customHeight="1" x14ac:dyDescent="0.25">
      <c r="A33" s="19"/>
      <c r="B33" s="20">
        <f>DATE(2019,11,1)</f>
        <v>43770</v>
      </c>
      <c r="C33" s="21">
        <v>64312</v>
      </c>
      <c r="D33" s="21">
        <v>61960</v>
      </c>
      <c r="E33" s="23">
        <f t="shared" si="10"/>
        <v>3.7959974176888317E-2</v>
      </c>
      <c r="F33" s="21">
        <f>+C33-35218</f>
        <v>29094</v>
      </c>
      <c r="G33" s="21">
        <f>+D33-34125</f>
        <v>27835</v>
      </c>
      <c r="H33" s="23">
        <f t="shared" si="11"/>
        <v>4.5230824501526858E-2</v>
      </c>
      <c r="I33" s="24">
        <f t="shared" si="12"/>
        <v>49.905382354770495</v>
      </c>
      <c r="J33" s="24">
        <f t="shared" si="13"/>
        <v>110.31535539973878</v>
      </c>
      <c r="K33" s="21">
        <v>3209514.95</v>
      </c>
      <c r="L33" s="21">
        <v>2852375.01</v>
      </c>
      <c r="M33" s="25">
        <f t="shared" si="14"/>
        <v>0.12520791927706604</v>
      </c>
      <c r="N33" s="10"/>
      <c r="R33" s="2"/>
    </row>
    <row r="34" spans="1:18" ht="15.75" customHeight="1" x14ac:dyDescent="0.25">
      <c r="A34" s="19"/>
      <c r="B34" s="20">
        <f>DATE(2019,12,1)</f>
        <v>43800</v>
      </c>
      <c r="C34" s="21">
        <v>68470</v>
      </c>
      <c r="D34" s="21">
        <v>67802</v>
      </c>
      <c r="E34" s="23">
        <f t="shared" si="10"/>
        <v>9.852216748768473E-3</v>
      </c>
      <c r="F34" s="21">
        <f>+C34-38903</f>
        <v>29567</v>
      </c>
      <c r="G34" s="21">
        <f>+D34-38252</f>
        <v>29550</v>
      </c>
      <c r="H34" s="23">
        <f t="shared" si="11"/>
        <v>5.7529610829103216E-4</v>
      </c>
      <c r="I34" s="24">
        <f t="shared" si="12"/>
        <v>49.979146925660871</v>
      </c>
      <c r="J34" s="24">
        <f t="shared" si="13"/>
        <v>115.73958095173673</v>
      </c>
      <c r="K34" s="21">
        <v>3422072.19</v>
      </c>
      <c r="L34" s="21">
        <v>3248132.45</v>
      </c>
      <c r="M34" s="25">
        <f t="shared" si="14"/>
        <v>5.3550691875265045E-2</v>
      </c>
      <c r="N34" s="10"/>
      <c r="R34" s="2"/>
    </row>
    <row r="35" spans="1:18" ht="15.75" customHeight="1" x14ac:dyDescent="0.25">
      <c r="A35" s="19"/>
      <c r="B35" s="20">
        <f>DATE(2020,1,1)</f>
        <v>43831</v>
      </c>
      <c r="C35" s="21">
        <v>64187</v>
      </c>
      <c r="D35" s="21">
        <v>58743</v>
      </c>
      <c r="E35" s="23">
        <f t="shared" si="10"/>
        <v>9.2674871899630598E-2</v>
      </c>
      <c r="F35" s="21">
        <f>+C35-35543</f>
        <v>28644</v>
      </c>
      <c r="G35" s="21">
        <f>+D35-31774</f>
        <v>26969</v>
      </c>
      <c r="H35" s="23">
        <f t="shared" si="11"/>
        <v>6.2108346620193558E-2</v>
      </c>
      <c r="I35" s="24">
        <f t="shared" si="12"/>
        <v>50.324496860735039</v>
      </c>
      <c r="J35" s="24">
        <f t="shared" si="13"/>
        <v>112.76981147884374</v>
      </c>
      <c r="K35" s="21">
        <v>3230178.48</v>
      </c>
      <c r="L35" s="21">
        <v>2770218.85</v>
      </c>
      <c r="M35" s="25">
        <f t="shared" si="14"/>
        <v>0.16603728979751903</v>
      </c>
      <c r="N35" s="10"/>
      <c r="R35" s="2"/>
    </row>
    <row r="36" spans="1:18" ht="15.75" customHeight="1" thickBot="1" x14ac:dyDescent="0.25">
      <c r="A36" s="38"/>
      <c r="B36" s="20"/>
      <c r="C36" s="21"/>
      <c r="D36" s="21"/>
      <c r="E36" s="23"/>
      <c r="F36" s="21"/>
      <c r="G36" s="21"/>
      <c r="H36" s="23"/>
      <c r="I36" s="24"/>
      <c r="J36" s="24"/>
      <c r="K36" s="21"/>
      <c r="L36" s="21"/>
      <c r="M36" s="25"/>
      <c r="N36" s="10"/>
      <c r="R36" s="2"/>
    </row>
    <row r="37" spans="1:18" ht="17.25" customHeight="1" thickTop="1" thickBot="1" x14ac:dyDescent="0.3">
      <c r="A37" s="39" t="s">
        <v>14</v>
      </c>
      <c r="B37" s="40"/>
      <c r="C37" s="41">
        <f>SUM(C29:C36)</f>
        <v>461428</v>
      </c>
      <c r="D37" s="41">
        <f>SUM(D29:D36)</f>
        <v>462994</v>
      </c>
      <c r="E37" s="279">
        <f>(+C37-D37)/D37</f>
        <v>-3.3823332483790287E-3</v>
      </c>
      <c r="F37" s="41">
        <f>SUM(F29:F36)</f>
        <v>207694</v>
      </c>
      <c r="G37" s="41">
        <f>SUM(G29:G36)</f>
        <v>211314</v>
      </c>
      <c r="H37" s="42">
        <f>(+F37-G37)/G37</f>
        <v>-1.7130904719990157E-2</v>
      </c>
      <c r="I37" s="43">
        <f>K37/C37</f>
        <v>48.940294932253785</v>
      </c>
      <c r="J37" s="43">
        <f>K37/F37</f>
        <v>108.72929603166196</v>
      </c>
      <c r="K37" s="41">
        <f>SUM(K29:K36)</f>
        <v>22582422.41</v>
      </c>
      <c r="L37" s="41">
        <f>SUM(L29:L36)</f>
        <v>21234101.830000002</v>
      </c>
      <c r="M37" s="44">
        <f>(+K37-L37)/L37</f>
        <v>6.3497886126507197E-2</v>
      </c>
      <c r="N37" s="10"/>
      <c r="R37" s="2"/>
    </row>
    <row r="38" spans="1:18" ht="15.75" customHeight="1" thickTop="1" x14ac:dyDescent="0.2">
      <c r="A38" s="38"/>
      <c r="B38" s="45"/>
      <c r="C38" s="21"/>
      <c r="D38" s="21"/>
      <c r="E38" s="23"/>
      <c r="F38" s="21"/>
      <c r="G38" s="21"/>
      <c r="H38" s="23"/>
      <c r="I38" s="24"/>
      <c r="J38" s="24"/>
      <c r="K38" s="21"/>
      <c r="L38" s="21"/>
      <c r="M38" s="25"/>
      <c r="N38" s="10"/>
      <c r="R38" s="2"/>
    </row>
    <row r="39" spans="1:18" ht="15.75" customHeight="1" x14ac:dyDescent="0.25">
      <c r="A39" s="177" t="s">
        <v>65</v>
      </c>
      <c r="B39" s="20">
        <f>DATE(2019,7,1)</f>
        <v>43647</v>
      </c>
      <c r="C39" s="21">
        <v>438217</v>
      </c>
      <c r="D39" s="21">
        <v>465892</v>
      </c>
      <c r="E39" s="23">
        <f t="shared" ref="E39:E45" si="15">(+C39-D39)/D39</f>
        <v>-5.9402179045787436E-2</v>
      </c>
      <c r="F39" s="21">
        <f>+C39-221917</f>
        <v>216300</v>
      </c>
      <c r="G39" s="21">
        <f>+D39-233751</f>
        <v>232141</v>
      </c>
      <c r="H39" s="23">
        <f t="shared" ref="H39:H45" si="16">(+F39-G39)/G39</f>
        <v>-6.8238699755751892E-2</v>
      </c>
      <c r="I39" s="24">
        <f t="shared" ref="I39:I45" si="17">K39/C39</f>
        <v>46.659625824648522</v>
      </c>
      <c r="J39" s="24">
        <f t="shared" ref="J39:J45" si="18">K39/F39</f>
        <v>94.530935043920479</v>
      </c>
      <c r="K39" s="21">
        <v>20447041.25</v>
      </c>
      <c r="L39" s="21">
        <v>20180093.420000002</v>
      </c>
      <c r="M39" s="25">
        <f t="shared" ref="M39:M45" si="19">(+K39-L39)/L39</f>
        <v>1.3228275233623681E-2</v>
      </c>
      <c r="N39" s="10"/>
      <c r="R39" s="2"/>
    </row>
    <row r="40" spans="1:18" ht="15.75" customHeight="1" x14ac:dyDescent="0.25">
      <c r="A40" s="177"/>
      <c r="B40" s="20">
        <f>DATE(2019,8,1)</f>
        <v>43678</v>
      </c>
      <c r="C40" s="21">
        <v>437029</v>
      </c>
      <c r="D40" s="21">
        <v>454572</v>
      </c>
      <c r="E40" s="23">
        <f t="shared" si="15"/>
        <v>-3.8592346206981515E-2</v>
      </c>
      <c r="F40" s="21">
        <f>+C40-215022</f>
        <v>222007</v>
      </c>
      <c r="G40" s="21">
        <f>+D40-227733</f>
        <v>226839</v>
      </c>
      <c r="H40" s="23">
        <f t="shared" si="16"/>
        <v>-2.1301451690405971E-2</v>
      </c>
      <c r="I40" s="24">
        <f t="shared" si="17"/>
        <v>48.822521114159471</v>
      </c>
      <c r="J40" s="24">
        <f t="shared" si="18"/>
        <v>96.108940618989479</v>
      </c>
      <c r="K40" s="21">
        <v>21336857.579999998</v>
      </c>
      <c r="L40" s="21">
        <v>20410400.739999998</v>
      </c>
      <c r="M40" s="25">
        <f t="shared" si="19"/>
        <v>4.5391408615723237E-2</v>
      </c>
      <c r="N40" s="10"/>
      <c r="R40" s="2"/>
    </row>
    <row r="41" spans="1:18" ht="15.75" customHeight="1" x14ac:dyDescent="0.25">
      <c r="A41" s="177"/>
      <c r="B41" s="20">
        <f>DATE(2019,9,1)</f>
        <v>43709</v>
      </c>
      <c r="C41" s="21">
        <v>403849</v>
      </c>
      <c r="D41" s="21">
        <v>400695</v>
      </c>
      <c r="E41" s="23">
        <f t="shared" si="15"/>
        <v>7.8713235752879366E-3</v>
      </c>
      <c r="F41" s="21">
        <f>+C41-198275</f>
        <v>205574</v>
      </c>
      <c r="G41" s="21">
        <f>+D41-202275</f>
        <v>198420</v>
      </c>
      <c r="H41" s="23">
        <f t="shared" si="16"/>
        <v>3.6054833182138896E-2</v>
      </c>
      <c r="I41" s="24">
        <f t="shared" si="17"/>
        <v>46.879226914019846</v>
      </c>
      <c r="J41" s="24">
        <f t="shared" si="18"/>
        <v>92.093985182951158</v>
      </c>
      <c r="K41" s="21">
        <v>18932128.91</v>
      </c>
      <c r="L41" s="21">
        <v>19424363</v>
      </c>
      <c r="M41" s="25">
        <f t="shared" si="19"/>
        <v>-2.5341067297805331E-2</v>
      </c>
      <c r="N41" s="10"/>
      <c r="R41" s="2"/>
    </row>
    <row r="42" spans="1:18" ht="15.75" customHeight="1" x14ac:dyDescent="0.25">
      <c r="A42" s="177"/>
      <c r="B42" s="20">
        <f>DATE(2019,10,1)</f>
        <v>43739</v>
      </c>
      <c r="C42" s="21">
        <v>396586</v>
      </c>
      <c r="D42" s="21">
        <v>385385</v>
      </c>
      <c r="E42" s="23">
        <f t="shared" si="15"/>
        <v>2.9064442051455038E-2</v>
      </c>
      <c r="F42" s="21">
        <f>+C42-195500</f>
        <v>201086</v>
      </c>
      <c r="G42" s="21">
        <f>+D42-195549</f>
        <v>189836</v>
      </c>
      <c r="H42" s="23">
        <f t="shared" si="16"/>
        <v>5.926167850144335E-2</v>
      </c>
      <c r="I42" s="24">
        <f t="shared" si="17"/>
        <v>47.992456995456223</v>
      </c>
      <c r="J42" s="24">
        <f t="shared" si="18"/>
        <v>94.6517238892812</v>
      </c>
      <c r="K42" s="21">
        <v>19033136.550000001</v>
      </c>
      <c r="L42" s="21">
        <v>18152971.32</v>
      </c>
      <c r="M42" s="25">
        <f t="shared" si="19"/>
        <v>4.8486014464765893E-2</v>
      </c>
      <c r="N42" s="10"/>
      <c r="R42" s="2"/>
    </row>
    <row r="43" spans="1:18" ht="15.75" customHeight="1" x14ac:dyDescent="0.25">
      <c r="A43" s="177"/>
      <c r="B43" s="20">
        <f>DATE(2019,11,1)</f>
        <v>43770</v>
      </c>
      <c r="C43" s="21">
        <v>419787</v>
      </c>
      <c r="D43" s="21">
        <v>374346</v>
      </c>
      <c r="E43" s="23">
        <f t="shared" si="15"/>
        <v>0.12138770014905996</v>
      </c>
      <c r="F43" s="21">
        <f>+C43-213343</f>
        <v>206444</v>
      </c>
      <c r="G43" s="21">
        <f>+D43-191013</f>
        <v>183333</v>
      </c>
      <c r="H43" s="23">
        <f t="shared" si="16"/>
        <v>0.12606022920041673</v>
      </c>
      <c r="I43" s="24">
        <f t="shared" si="17"/>
        <v>48.215090343436074</v>
      </c>
      <c r="J43" s="24">
        <f t="shared" si="18"/>
        <v>98.041445282982309</v>
      </c>
      <c r="K43" s="21">
        <v>20240068.129999999</v>
      </c>
      <c r="L43" s="21">
        <v>17751787.379999999</v>
      </c>
      <c r="M43" s="25">
        <f t="shared" si="19"/>
        <v>0.14017071615016155</v>
      </c>
      <c r="N43" s="10"/>
      <c r="R43" s="2"/>
    </row>
    <row r="44" spans="1:18" ht="15.75" customHeight="1" x14ac:dyDescent="0.25">
      <c r="A44" s="177"/>
      <c r="B44" s="20">
        <f>DATE(2019,12,1)</f>
        <v>43800</v>
      </c>
      <c r="C44" s="21">
        <v>398020</v>
      </c>
      <c r="D44" s="21">
        <v>412048</v>
      </c>
      <c r="E44" s="23">
        <f t="shared" si="15"/>
        <v>-3.4044577330796411E-2</v>
      </c>
      <c r="F44" s="21">
        <f>+C44-203674</f>
        <v>194346</v>
      </c>
      <c r="G44" s="21">
        <f>+D44-211961</f>
        <v>200087</v>
      </c>
      <c r="H44" s="23">
        <f t="shared" si="16"/>
        <v>-2.869251875434186E-2</v>
      </c>
      <c r="I44" s="24">
        <f t="shared" si="17"/>
        <v>49.24968504095272</v>
      </c>
      <c r="J44" s="24">
        <f t="shared" si="18"/>
        <v>100.86320088913587</v>
      </c>
      <c r="K44" s="21">
        <v>19602359.640000001</v>
      </c>
      <c r="L44" s="21">
        <v>19331083.989999998</v>
      </c>
      <c r="M44" s="25">
        <f t="shared" si="19"/>
        <v>1.4033131827492632E-2</v>
      </c>
      <c r="N44" s="10"/>
      <c r="R44" s="2"/>
    </row>
    <row r="45" spans="1:18" ht="15.75" customHeight="1" x14ac:dyDescent="0.25">
      <c r="A45" s="177"/>
      <c r="B45" s="20">
        <f>DATE(2020,1,1)</f>
        <v>43831</v>
      </c>
      <c r="C45" s="21">
        <v>392807</v>
      </c>
      <c r="D45" s="21">
        <v>344029</v>
      </c>
      <c r="E45" s="23">
        <f t="shared" si="15"/>
        <v>0.14178455885986355</v>
      </c>
      <c r="F45" s="21">
        <f>+C45-203293</f>
        <v>189514</v>
      </c>
      <c r="G45" s="21">
        <f>+D45-177399</f>
        <v>166630</v>
      </c>
      <c r="H45" s="23">
        <f t="shared" si="16"/>
        <v>0.13733421352697595</v>
      </c>
      <c r="I45" s="24">
        <f t="shared" si="17"/>
        <v>48.6937611091452</v>
      </c>
      <c r="J45" s="24">
        <f t="shared" si="18"/>
        <v>100.92790094663191</v>
      </c>
      <c r="K45" s="21">
        <v>19127250.219999999</v>
      </c>
      <c r="L45" s="21">
        <v>16412573.119999999</v>
      </c>
      <c r="M45" s="25">
        <f t="shared" si="19"/>
        <v>0.16540228519633854</v>
      </c>
      <c r="N45" s="10"/>
      <c r="R45" s="2"/>
    </row>
    <row r="46" spans="1:18" ht="15.75" thickBot="1" x14ac:dyDescent="0.25">
      <c r="A46" s="38"/>
      <c r="B46" s="45"/>
      <c r="C46" s="21"/>
      <c r="D46" s="21"/>
      <c r="E46" s="23"/>
      <c r="F46" s="21"/>
      <c r="G46" s="21"/>
      <c r="H46" s="23"/>
      <c r="I46" s="24"/>
      <c r="J46" s="24"/>
      <c r="K46" s="21"/>
      <c r="L46" s="21"/>
      <c r="M46" s="25"/>
      <c r="N46" s="10"/>
      <c r="R46" s="2"/>
    </row>
    <row r="47" spans="1:18" ht="17.25" thickTop="1" thickBot="1" x14ac:dyDescent="0.3">
      <c r="A47" s="39" t="s">
        <v>14</v>
      </c>
      <c r="B47" s="40"/>
      <c r="C47" s="41">
        <f>SUM(C39:C46)</f>
        <v>2886295</v>
      </c>
      <c r="D47" s="41">
        <f>SUM(D39:D46)</f>
        <v>2836967</v>
      </c>
      <c r="E47" s="279">
        <f>(+C47-D47)/D47</f>
        <v>1.7387583288772834E-2</v>
      </c>
      <c r="F47" s="41">
        <f>SUM(F39:F46)</f>
        <v>1435271</v>
      </c>
      <c r="G47" s="41">
        <f>SUM(G39:G46)</f>
        <v>1397286</v>
      </c>
      <c r="H47" s="42">
        <f>(+F47-G47)/G47</f>
        <v>2.7184842616329082E-2</v>
      </c>
      <c r="I47" s="43">
        <f>K47/C47</f>
        <v>48.061214214070276</v>
      </c>
      <c r="J47" s="43">
        <f>K47/F47</f>
        <v>96.649930417321869</v>
      </c>
      <c r="K47" s="41">
        <f>SUM(K39:K46)</f>
        <v>138718842.27999997</v>
      </c>
      <c r="L47" s="41">
        <f>SUM(L39:L46)</f>
        <v>131663272.96999998</v>
      </c>
      <c r="M47" s="44">
        <f>(+K47-L47)/L47</f>
        <v>5.358798357995876E-2</v>
      </c>
      <c r="N47" s="10"/>
      <c r="R47" s="2"/>
    </row>
    <row r="48" spans="1:18" ht="15.75" thickTop="1" x14ac:dyDescent="0.2">
      <c r="A48" s="38"/>
      <c r="B48" s="45"/>
      <c r="C48" s="21"/>
      <c r="D48" s="21"/>
      <c r="E48" s="23"/>
      <c r="F48" s="21"/>
      <c r="G48" s="21"/>
      <c r="H48" s="23"/>
      <c r="I48" s="24"/>
      <c r="J48" s="24"/>
      <c r="K48" s="21"/>
      <c r="L48" s="21"/>
      <c r="M48" s="25"/>
      <c r="N48" s="10"/>
      <c r="R48" s="2"/>
    </row>
    <row r="49" spans="1:18" ht="15.75" x14ac:dyDescent="0.25">
      <c r="A49" s="19" t="s">
        <v>16</v>
      </c>
      <c r="B49" s="20">
        <f>DATE(2019,7,1)</f>
        <v>43647</v>
      </c>
      <c r="C49" s="21">
        <v>288759</v>
      </c>
      <c r="D49" s="21">
        <v>289167</v>
      </c>
      <c r="E49" s="23">
        <f t="shared" ref="E49:E55" si="20">(+C49-D49)/D49</f>
        <v>-1.410949382190914E-3</v>
      </c>
      <c r="F49" s="21">
        <f>+C49-131177</f>
        <v>157582</v>
      </c>
      <c r="G49" s="21">
        <f>+D49-134357</f>
        <v>154810</v>
      </c>
      <c r="H49" s="23">
        <f t="shared" ref="H49:H55" si="21">(+F49-G49)/G49</f>
        <v>1.790582003746528E-2</v>
      </c>
      <c r="I49" s="24">
        <f t="shared" ref="I49:I55" si="22">K49/C49</f>
        <v>48.751639741098977</v>
      </c>
      <c r="J49" s="24">
        <f t="shared" ref="J49:J55" si="23">K49/F49</f>
        <v>89.334281453465493</v>
      </c>
      <c r="K49" s="21">
        <v>14077474.74</v>
      </c>
      <c r="L49" s="21">
        <v>14895059.23</v>
      </c>
      <c r="M49" s="25">
        <f t="shared" ref="M49:M55" si="24">(+K49-L49)/L49</f>
        <v>-5.4889643429769715E-2</v>
      </c>
      <c r="N49" s="10"/>
      <c r="R49" s="2"/>
    </row>
    <row r="50" spans="1:18" ht="15.75" x14ac:dyDescent="0.25">
      <c r="A50" s="19"/>
      <c r="B50" s="20">
        <f>DATE(2019,8,1)</f>
        <v>43678</v>
      </c>
      <c r="C50" s="21">
        <v>292957</v>
      </c>
      <c r="D50" s="21">
        <v>292132</v>
      </c>
      <c r="E50" s="23">
        <f t="shared" si="20"/>
        <v>2.8240658332534608E-3</v>
      </c>
      <c r="F50" s="21">
        <f>+C50-131852</f>
        <v>161105</v>
      </c>
      <c r="G50" s="21">
        <f>+D50-136807</f>
        <v>155325</v>
      </c>
      <c r="H50" s="23">
        <f t="shared" si="21"/>
        <v>3.7212296797038469E-2</v>
      </c>
      <c r="I50" s="24">
        <f t="shared" si="22"/>
        <v>53.183119911795927</v>
      </c>
      <c r="J50" s="24">
        <f t="shared" si="23"/>
        <v>96.709396108128232</v>
      </c>
      <c r="K50" s="21">
        <v>15580367.26</v>
      </c>
      <c r="L50" s="21">
        <v>14589427.75</v>
      </c>
      <c r="M50" s="25">
        <f t="shared" si="24"/>
        <v>6.7921753133874621E-2</v>
      </c>
      <c r="N50" s="10"/>
      <c r="R50" s="2"/>
    </row>
    <row r="51" spans="1:18" ht="15.75" x14ac:dyDescent="0.25">
      <c r="A51" s="19"/>
      <c r="B51" s="20">
        <f>DATE(2019,9,1)</f>
        <v>43709</v>
      </c>
      <c r="C51" s="21">
        <v>276713</v>
      </c>
      <c r="D51" s="21">
        <v>292955</v>
      </c>
      <c r="E51" s="23">
        <f t="shared" si="20"/>
        <v>-5.5441962076086773E-2</v>
      </c>
      <c r="F51" s="21">
        <f>+C51-125818</f>
        <v>150895</v>
      </c>
      <c r="G51" s="21">
        <f>+D51-135433</f>
        <v>157522</v>
      </c>
      <c r="H51" s="23">
        <f t="shared" si="21"/>
        <v>-4.2070313987887409E-2</v>
      </c>
      <c r="I51" s="24">
        <f t="shared" si="22"/>
        <v>52.918303368472031</v>
      </c>
      <c r="J51" s="24">
        <f t="shared" si="23"/>
        <v>97.042198084760926</v>
      </c>
      <c r="K51" s="21">
        <v>14643182.48</v>
      </c>
      <c r="L51" s="21">
        <v>15232551.26</v>
      </c>
      <c r="M51" s="25">
        <f t="shared" si="24"/>
        <v>-3.8691403031589029E-2</v>
      </c>
      <c r="N51" s="10"/>
      <c r="R51" s="2"/>
    </row>
    <row r="52" spans="1:18" ht="15.75" x14ac:dyDescent="0.25">
      <c r="A52" s="19"/>
      <c r="B52" s="20">
        <f>DATE(2019,10,1)</f>
        <v>43739</v>
      </c>
      <c r="C52" s="21">
        <v>265282</v>
      </c>
      <c r="D52" s="21">
        <v>283107</v>
      </c>
      <c r="E52" s="23">
        <f t="shared" si="20"/>
        <v>-6.2962060281095134E-2</v>
      </c>
      <c r="F52" s="21">
        <f>+C52-120858</f>
        <v>144424</v>
      </c>
      <c r="G52" s="21">
        <f>+D52-129714</f>
        <v>153393</v>
      </c>
      <c r="H52" s="23">
        <f t="shared" si="21"/>
        <v>-5.8470725522025126E-2</v>
      </c>
      <c r="I52" s="24">
        <f t="shared" si="22"/>
        <v>55.320004071139394</v>
      </c>
      <c r="J52" s="24">
        <f t="shared" si="23"/>
        <v>101.61331440757769</v>
      </c>
      <c r="K52" s="21">
        <v>14675401.32</v>
      </c>
      <c r="L52" s="21">
        <v>14681050.109999999</v>
      </c>
      <c r="M52" s="25">
        <f t="shared" si="24"/>
        <v>-3.8476743541331776E-4</v>
      </c>
      <c r="N52" s="10"/>
      <c r="R52" s="2"/>
    </row>
    <row r="53" spans="1:18" ht="15.75" x14ac:dyDescent="0.25">
      <c r="A53" s="19"/>
      <c r="B53" s="20">
        <f>DATE(2019,11,1)</f>
        <v>43770</v>
      </c>
      <c r="C53" s="21">
        <v>288764</v>
      </c>
      <c r="D53" s="21">
        <v>270987</v>
      </c>
      <c r="E53" s="23">
        <f t="shared" si="20"/>
        <v>6.5600932886079405E-2</v>
      </c>
      <c r="F53" s="21">
        <f>+C53-130395</f>
        <v>158369</v>
      </c>
      <c r="G53" s="21">
        <f>+D53-127087</f>
        <v>143900</v>
      </c>
      <c r="H53" s="23">
        <f t="shared" si="21"/>
        <v>0.10054899235580264</v>
      </c>
      <c r="I53" s="24">
        <f t="shared" si="22"/>
        <v>50.373510860079513</v>
      </c>
      <c r="J53" s="24">
        <f t="shared" si="23"/>
        <v>91.849140235778464</v>
      </c>
      <c r="K53" s="21">
        <v>14546056.49</v>
      </c>
      <c r="L53" s="21">
        <v>13799099.199999999</v>
      </c>
      <c r="M53" s="25">
        <f t="shared" si="24"/>
        <v>5.4130873267437707E-2</v>
      </c>
      <c r="N53" s="10"/>
      <c r="R53" s="2"/>
    </row>
    <row r="54" spans="1:18" ht="15.75" x14ac:dyDescent="0.25">
      <c r="A54" s="19"/>
      <c r="B54" s="20">
        <f>DATE(2019,12,1)</f>
        <v>43800</v>
      </c>
      <c r="C54" s="21">
        <v>302309</v>
      </c>
      <c r="D54" s="21">
        <v>307184</v>
      </c>
      <c r="E54" s="23">
        <f t="shared" si="20"/>
        <v>-1.5869967185790926E-2</v>
      </c>
      <c r="F54" s="21">
        <f>+C54-138214</f>
        <v>164095</v>
      </c>
      <c r="G54" s="21">
        <f>+D54-142869</f>
        <v>164315</v>
      </c>
      <c r="H54" s="23">
        <f t="shared" si="21"/>
        <v>-1.3388917627727231E-3</v>
      </c>
      <c r="I54" s="24">
        <f t="shared" si="22"/>
        <v>49.246940812215314</v>
      </c>
      <c r="J54" s="24">
        <f t="shared" si="23"/>
        <v>90.726673146652857</v>
      </c>
      <c r="K54" s="21">
        <v>14887793.43</v>
      </c>
      <c r="L54" s="21">
        <v>15587002.33</v>
      </c>
      <c r="M54" s="25">
        <f t="shared" si="24"/>
        <v>-4.4858458682221831E-2</v>
      </c>
      <c r="N54" s="10"/>
      <c r="R54" s="2"/>
    </row>
    <row r="55" spans="1:18" ht="15.75" x14ac:dyDescent="0.25">
      <c r="A55" s="19"/>
      <c r="B55" s="20">
        <f>DATE(2020,1,1)</f>
        <v>43831</v>
      </c>
      <c r="C55" s="21">
        <v>268296</v>
      </c>
      <c r="D55" s="21">
        <v>270469</v>
      </c>
      <c r="E55" s="23">
        <f t="shared" si="20"/>
        <v>-8.0341924582854225E-3</v>
      </c>
      <c r="F55" s="21">
        <f>+C55-120186</f>
        <v>148110</v>
      </c>
      <c r="G55" s="21">
        <f>+D55-125284</f>
        <v>145185</v>
      </c>
      <c r="H55" s="23">
        <f t="shared" si="21"/>
        <v>2.0146709370802769E-2</v>
      </c>
      <c r="I55" s="24">
        <f t="shared" si="22"/>
        <v>53.784007700450253</v>
      </c>
      <c r="J55" s="24">
        <f t="shared" si="23"/>
        <v>97.427818040645477</v>
      </c>
      <c r="K55" s="21">
        <v>14430034.130000001</v>
      </c>
      <c r="L55" s="21">
        <v>12515035.970000001</v>
      </c>
      <c r="M55" s="25">
        <f t="shared" si="24"/>
        <v>0.15301579352951714</v>
      </c>
      <c r="N55" s="10"/>
      <c r="R55" s="2"/>
    </row>
    <row r="56" spans="1:18" ht="15.75" thickBot="1" x14ac:dyDescent="0.25">
      <c r="A56" s="38"/>
      <c r="B56" s="20"/>
      <c r="C56" s="21"/>
      <c r="D56" s="21"/>
      <c r="E56" s="23"/>
      <c r="F56" s="21"/>
      <c r="G56" s="21"/>
      <c r="H56" s="23"/>
      <c r="I56" s="24"/>
      <c r="J56" s="24"/>
      <c r="K56" s="21"/>
      <c r="L56" s="21"/>
      <c r="M56" s="25"/>
      <c r="N56" s="10"/>
      <c r="R56" s="2"/>
    </row>
    <row r="57" spans="1:18" ht="17.25" thickTop="1" thickBot="1" x14ac:dyDescent="0.3">
      <c r="A57" s="39" t="s">
        <v>14</v>
      </c>
      <c r="B57" s="40"/>
      <c r="C57" s="41">
        <f>SUM(C49:C56)</f>
        <v>1983080</v>
      </c>
      <c r="D57" s="41">
        <f>SUM(D49:D56)</f>
        <v>2006001</v>
      </c>
      <c r="E57" s="280">
        <f>(+C57-D57)/D57</f>
        <v>-1.1426215639972263E-2</v>
      </c>
      <c r="F57" s="47">
        <f>SUM(F49:F56)</f>
        <v>1084580</v>
      </c>
      <c r="G57" s="48">
        <f>SUM(G49:G56)</f>
        <v>1074450</v>
      </c>
      <c r="H57" s="49">
        <f>(+F57-G57)/G57</f>
        <v>9.4280794825259435E-3</v>
      </c>
      <c r="I57" s="50">
        <f>K57/C57</f>
        <v>51.858881058757085</v>
      </c>
      <c r="J57" s="51">
        <f>K57/F57</f>
        <v>94.820400385402635</v>
      </c>
      <c r="K57" s="48">
        <f>SUM(K49:K56)</f>
        <v>102840309.84999999</v>
      </c>
      <c r="L57" s="47">
        <f>SUM(L49:L56)</f>
        <v>101299225.84999999</v>
      </c>
      <c r="M57" s="44">
        <f>(+K57-L57)/L57</f>
        <v>1.5213186350327869E-2</v>
      </c>
      <c r="N57" s="10"/>
      <c r="R57" s="2"/>
    </row>
    <row r="58" spans="1:18" ht="15.75" customHeight="1" thickTop="1" x14ac:dyDescent="0.25">
      <c r="A58" s="273"/>
      <c r="B58" s="45"/>
      <c r="C58" s="21"/>
      <c r="D58" s="21"/>
      <c r="E58" s="23"/>
      <c r="F58" s="21"/>
      <c r="G58" s="21"/>
      <c r="H58" s="23"/>
      <c r="I58" s="24"/>
      <c r="J58" s="24"/>
      <c r="K58" s="21"/>
      <c r="L58" s="21"/>
      <c r="M58" s="25"/>
      <c r="N58" s="10"/>
      <c r="R58" s="2"/>
    </row>
    <row r="59" spans="1:18" ht="15.75" x14ac:dyDescent="0.25">
      <c r="A59" s="274" t="s">
        <v>66</v>
      </c>
      <c r="B59" s="20">
        <f>DATE(2019,7,1)</f>
        <v>43647</v>
      </c>
      <c r="C59" s="21">
        <v>110928</v>
      </c>
      <c r="D59" s="21">
        <v>129160</v>
      </c>
      <c r="E59" s="23">
        <f t="shared" ref="E59:E65" si="25">(+C59-D59)/D59</f>
        <v>-0.14115825332920409</v>
      </c>
      <c r="F59" s="21">
        <f>+C59-54910</f>
        <v>56018</v>
      </c>
      <c r="G59" s="21">
        <f>+D59-62596</f>
        <v>66564</v>
      </c>
      <c r="H59" s="23">
        <f t="shared" ref="H59:H65" si="26">(+F59-G59)/G59</f>
        <v>-0.15843398834204675</v>
      </c>
      <c r="I59" s="24">
        <f t="shared" ref="I59:I65" si="27">K59/C59</f>
        <v>40.178847450598589</v>
      </c>
      <c r="J59" s="24">
        <f t="shared" ref="J59:J65" si="28">K59/F59</f>
        <v>79.562983148273773</v>
      </c>
      <c r="K59" s="21">
        <v>4456959.1900000004</v>
      </c>
      <c r="L59" s="21">
        <v>5218892.55</v>
      </c>
      <c r="M59" s="25">
        <f t="shared" ref="M59:M65" si="29">(+K59-L59)/L59</f>
        <v>-0.14599521885155489</v>
      </c>
      <c r="N59" s="10"/>
      <c r="R59" s="2"/>
    </row>
    <row r="60" spans="1:18" ht="15.75" x14ac:dyDescent="0.25">
      <c r="A60" s="274"/>
      <c r="B60" s="20">
        <f>DATE(2019,8,1)</f>
        <v>43678</v>
      </c>
      <c r="C60" s="21">
        <v>114308</v>
      </c>
      <c r="D60" s="21">
        <v>120860</v>
      </c>
      <c r="E60" s="23">
        <f t="shared" si="25"/>
        <v>-5.4211484362071821E-2</v>
      </c>
      <c r="F60" s="21">
        <f>+C60-54234</f>
        <v>60074</v>
      </c>
      <c r="G60" s="21">
        <f>+D60-58336</f>
        <v>62524</v>
      </c>
      <c r="H60" s="23">
        <f t="shared" si="26"/>
        <v>-3.918495297805643E-2</v>
      </c>
      <c r="I60" s="24">
        <f t="shared" si="27"/>
        <v>45.628914424187286</v>
      </c>
      <c r="J60" s="24">
        <f t="shared" si="28"/>
        <v>86.822085261510807</v>
      </c>
      <c r="K60" s="21">
        <v>5215749.95</v>
      </c>
      <c r="L60" s="21">
        <v>5263252.67</v>
      </c>
      <c r="M60" s="25">
        <f t="shared" si="29"/>
        <v>-9.025354277737865E-3</v>
      </c>
      <c r="N60" s="10"/>
      <c r="R60" s="2"/>
    </row>
    <row r="61" spans="1:18" ht="15.75" x14ac:dyDescent="0.25">
      <c r="A61" s="274"/>
      <c r="B61" s="20">
        <f>DATE(2019,9,1)</f>
        <v>43709</v>
      </c>
      <c r="C61" s="21">
        <v>108669</v>
      </c>
      <c r="D61" s="21">
        <v>129571</v>
      </c>
      <c r="E61" s="23">
        <f t="shared" si="25"/>
        <v>-0.16131696135709381</v>
      </c>
      <c r="F61" s="21">
        <f>+C61-53294</f>
        <v>55375</v>
      </c>
      <c r="G61" s="21">
        <f>+D61-62477</f>
        <v>67094</v>
      </c>
      <c r="H61" s="23">
        <f t="shared" si="26"/>
        <v>-0.17466539481920887</v>
      </c>
      <c r="I61" s="24">
        <f t="shared" si="27"/>
        <v>46.652023300113186</v>
      </c>
      <c r="J61" s="24">
        <f t="shared" si="28"/>
        <v>91.550857246049659</v>
      </c>
      <c r="K61" s="21">
        <v>5069628.72</v>
      </c>
      <c r="L61" s="21">
        <v>5057302.72</v>
      </c>
      <c r="M61" s="25">
        <f t="shared" si="29"/>
        <v>2.4372675875728475E-3</v>
      </c>
      <c r="N61" s="10"/>
      <c r="R61" s="2"/>
    </row>
    <row r="62" spans="1:18" ht="15.75" x14ac:dyDescent="0.25">
      <c r="A62" s="274"/>
      <c r="B62" s="20">
        <f>DATE(2019,10,1)</f>
        <v>43739</v>
      </c>
      <c r="C62" s="21">
        <v>108635</v>
      </c>
      <c r="D62" s="21">
        <v>116235</v>
      </c>
      <c r="E62" s="23">
        <f t="shared" si="25"/>
        <v>-6.5384780831935302E-2</v>
      </c>
      <c r="F62" s="21">
        <f>+C62-52866</f>
        <v>55769</v>
      </c>
      <c r="G62" s="21">
        <f>+D62-55536</f>
        <v>60699</v>
      </c>
      <c r="H62" s="23">
        <f t="shared" si="26"/>
        <v>-8.1220448442313714E-2</v>
      </c>
      <c r="I62" s="24">
        <f t="shared" si="27"/>
        <v>46.977865881161691</v>
      </c>
      <c r="J62" s="24">
        <f t="shared" si="28"/>
        <v>91.510345532464271</v>
      </c>
      <c r="K62" s="21">
        <v>5103440.46</v>
      </c>
      <c r="L62" s="21">
        <v>4939589.4400000004</v>
      </c>
      <c r="M62" s="25">
        <f t="shared" si="29"/>
        <v>3.3170979489339815E-2</v>
      </c>
      <c r="N62" s="10"/>
      <c r="R62" s="2"/>
    </row>
    <row r="63" spans="1:18" ht="15.75" x14ac:dyDescent="0.25">
      <c r="A63" s="274"/>
      <c r="B63" s="20">
        <f>DATE(2019,11,1)</f>
        <v>43770</v>
      </c>
      <c r="C63" s="21">
        <v>108978</v>
      </c>
      <c r="D63" s="21">
        <v>117294</v>
      </c>
      <c r="E63" s="23">
        <f t="shared" si="25"/>
        <v>-7.0898767200368307E-2</v>
      </c>
      <c r="F63" s="21">
        <f>+C63-53627</f>
        <v>55351</v>
      </c>
      <c r="G63" s="21">
        <f>+D63-56187</f>
        <v>61107</v>
      </c>
      <c r="H63" s="23">
        <f t="shared" si="26"/>
        <v>-9.4195427692408393E-2</v>
      </c>
      <c r="I63" s="24">
        <f t="shared" si="27"/>
        <v>46.878065572867918</v>
      </c>
      <c r="J63" s="24">
        <f t="shared" si="28"/>
        <v>92.296034940651481</v>
      </c>
      <c r="K63" s="21">
        <v>5108677.83</v>
      </c>
      <c r="L63" s="21">
        <v>4901524.07</v>
      </c>
      <c r="M63" s="25">
        <f t="shared" si="29"/>
        <v>4.2263132250618479E-2</v>
      </c>
      <c r="N63" s="10"/>
      <c r="R63" s="2"/>
    </row>
    <row r="64" spans="1:18" ht="15.75" x14ac:dyDescent="0.25">
      <c r="A64" s="274"/>
      <c r="B64" s="20">
        <f>DATE(2019,12,1)</f>
        <v>43800</v>
      </c>
      <c r="C64" s="21">
        <v>115854</v>
      </c>
      <c r="D64" s="21">
        <v>141406</v>
      </c>
      <c r="E64" s="23">
        <f t="shared" si="25"/>
        <v>-0.18069954598814761</v>
      </c>
      <c r="F64" s="21">
        <f>+C64-57077</f>
        <v>58777</v>
      </c>
      <c r="G64" s="21">
        <f>+D64-68500</f>
        <v>72906</v>
      </c>
      <c r="H64" s="23">
        <f t="shared" si="26"/>
        <v>-0.19379749266178367</v>
      </c>
      <c r="I64" s="24">
        <f t="shared" si="27"/>
        <v>46.351699639201058</v>
      </c>
      <c r="J64" s="24">
        <f t="shared" si="28"/>
        <v>91.362774724807309</v>
      </c>
      <c r="K64" s="21">
        <v>5370029.8099999996</v>
      </c>
      <c r="L64" s="21">
        <v>5509337.6900000004</v>
      </c>
      <c r="M64" s="25">
        <f t="shared" si="29"/>
        <v>-2.5285776229120711E-2</v>
      </c>
      <c r="N64" s="10"/>
      <c r="R64" s="2"/>
    </row>
    <row r="65" spans="1:18" ht="15.75" x14ac:dyDescent="0.25">
      <c r="A65" s="274"/>
      <c r="B65" s="20">
        <f>DATE(2020,1,1)</f>
        <v>43831</v>
      </c>
      <c r="C65" s="21">
        <v>109044</v>
      </c>
      <c r="D65" s="21">
        <v>109334</v>
      </c>
      <c r="E65" s="23">
        <f t="shared" si="25"/>
        <v>-2.6524228510801762E-3</v>
      </c>
      <c r="F65" s="21">
        <f>+C65-54982</f>
        <v>54062</v>
      </c>
      <c r="G65" s="21">
        <f>+D65-54908</f>
        <v>54426</v>
      </c>
      <c r="H65" s="23">
        <f t="shared" si="26"/>
        <v>-6.6879800095542572E-3</v>
      </c>
      <c r="I65" s="24">
        <f t="shared" si="27"/>
        <v>46.548495194600349</v>
      </c>
      <c r="J65" s="24">
        <f t="shared" si="28"/>
        <v>93.889129332988063</v>
      </c>
      <c r="K65" s="21">
        <v>5075834.1100000003</v>
      </c>
      <c r="L65" s="21">
        <v>4773513.88</v>
      </c>
      <c r="M65" s="25">
        <f t="shared" si="29"/>
        <v>6.3332848212017859E-2</v>
      </c>
      <c r="N65" s="10"/>
      <c r="R65" s="2"/>
    </row>
    <row r="66" spans="1:18" ht="15.75" customHeight="1" thickBot="1" x14ac:dyDescent="0.3">
      <c r="A66" s="19"/>
      <c r="B66" s="20"/>
      <c r="C66" s="21"/>
      <c r="D66" s="21"/>
      <c r="E66" s="23"/>
      <c r="F66" s="21"/>
      <c r="G66" s="21"/>
      <c r="H66" s="23"/>
      <c r="I66" s="24"/>
      <c r="J66" s="24"/>
      <c r="K66" s="21"/>
      <c r="L66" s="21"/>
      <c r="M66" s="25"/>
      <c r="N66" s="10"/>
      <c r="R66" s="2"/>
    </row>
    <row r="67" spans="1:18" ht="17.45" customHeight="1" thickTop="1" thickBot="1" x14ac:dyDescent="0.3">
      <c r="A67" s="39" t="s">
        <v>14</v>
      </c>
      <c r="B67" s="52"/>
      <c r="C67" s="47">
        <f>SUM(C59:C66)</f>
        <v>776416</v>
      </c>
      <c r="D67" s="48">
        <f>SUM(D59:D66)</f>
        <v>863860</v>
      </c>
      <c r="E67" s="280">
        <f>(+C67-D67)/D67</f>
        <v>-0.10122473548954691</v>
      </c>
      <c r="F67" s="48">
        <f>SUM(F59:F66)</f>
        <v>395426</v>
      </c>
      <c r="G67" s="47">
        <f>SUM(G59:G66)</f>
        <v>445320</v>
      </c>
      <c r="H67" s="46">
        <f>(+F67-G67)/G67</f>
        <v>-0.1120407796640618</v>
      </c>
      <c r="I67" s="51">
        <f>K67/C67</f>
        <v>45.594526735667479</v>
      </c>
      <c r="J67" s="50">
        <f>K67/F67</f>
        <v>89.524512980937018</v>
      </c>
      <c r="K67" s="47">
        <f>SUM(K59:K66)</f>
        <v>35400320.07</v>
      </c>
      <c r="L67" s="48">
        <f>SUM(L59:L66)</f>
        <v>35663413.020000003</v>
      </c>
      <c r="M67" s="44">
        <f>(+K67-L67)/L67</f>
        <v>-7.3771108180941836E-3</v>
      </c>
      <c r="N67" s="10"/>
      <c r="R67" s="2"/>
    </row>
    <row r="68" spans="1:18" ht="15.75" customHeight="1" thickTop="1" x14ac:dyDescent="0.25">
      <c r="A68" s="19"/>
      <c r="B68" s="45"/>
      <c r="C68" s="21"/>
      <c r="D68" s="21"/>
      <c r="E68" s="23"/>
      <c r="F68" s="21"/>
      <c r="G68" s="21"/>
      <c r="H68" s="23"/>
      <c r="I68" s="24"/>
      <c r="J68" s="24"/>
      <c r="K68" s="21"/>
      <c r="L68" s="21"/>
      <c r="M68" s="25"/>
      <c r="N68" s="10"/>
      <c r="R68" s="2"/>
    </row>
    <row r="69" spans="1:18" ht="15.75" x14ac:dyDescent="0.25">
      <c r="A69" s="19" t="s">
        <v>17</v>
      </c>
      <c r="B69" s="20">
        <f>DATE(2019,7,1)</f>
        <v>43647</v>
      </c>
      <c r="C69" s="21">
        <v>151411</v>
      </c>
      <c r="D69" s="21">
        <v>164240</v>
      </c>
      <c r="E69" s="23">
        <f t="shared" ref="E69:E75" si="30">(+C69-D69)/D69</f>
        <v>-7.8111300535801273E-2</v>
      </c>
      <c r="F69" s="21">
        <f>+C69-71749</f>
        <v>79662</v>
      </c>
      <c r="G69" s="21">
        <f>+D69-78084</f>
        <v>86156</v>
      </c>
      <c r="H69" s="23">
        <f t="shared" ref="H69:H75" si="31">(+F69-G69)/G69</f>
        <v>-7.5374901341752176E-2</v>
      </c>
      <c r="I69" s="24">
        <f t="shared" ref="I69:I75" si="32">K69/C69</f>
        <v>34.630094246785241</v>
      </c>
      <c r="J69" s="24">
        <f t="shared" ref="J69:J75" si="33">K69/F69</f>
        <v>65.82030579197108</v>
      </c>
      <c r="K69" s="21">
        <v>5243377.2</v>
      </c>
      <c r="L69" s="21">
        <v>5776329.8099999996</v>
      </c>
      <c r="M69" s="25">
        <f t="shared" ref="M69:M75" si="34">(+K69-L69)/L69</f>
        <v>-9.2264920378568108E-2</v>
      </c>
      <c r="N69" s="10"/>
      <c r="R69" s="2"/>
    </row>
    <row r="70" spans="1:18" ht="15.75" x14ac:dyDescent="0.25">
      <c r="A70" s="19"/>
      <c r="B70" s="20">
        <f>DATE(2019,8,1)</f>
        <v>43678</v>
      </c>
      <c r="C70" s="21">
        <v>153444</v>
      </c>
      <c r="D70" s="21">
        <v>161125</v>
      </c>
      <c r="E70" s="23">
        <f t="shared" si="30"/>
        <v>-4.7671062839410396E-2</v>
      </c>
      <c r="F70" s="21">
        <f>+C70-72860</f>
        <v>80584</v>
      </c>
      <c r="G70" s="21">
        <f>+D70-76425</f>
        <v>84700</v>
      </c>
      <c r="H70" s="23">
        <f t="shared" si="31"/>
        <v>-4.8595041322314049E-2</v>
      </c>
      <c r="I70" s="24">
        <f t="shared" si="32"/>
        <v>36.91110437684106</v>
      </c>
      <c r="J70" s="24">
        <f t="shared" si="33"/>
        <v>70.284268589298122</v>
      </c>
      <c r="K70" s="21">
        <v>5663787.5</v>
      </c>
      <c r="L70" s="21">
        <v>5562742.8200000003</v>
      </c>
      <c r="M70" s="25">
        <f t="shared" si="34"/>
        <v>1.8164542792938197E-2</v>
      </c>
      <c r="N70" s="10"/>
      <c r="R70" s="2"/>
    </row>
    <row r="71" spans="1:18" ht="15.75" x14ac:dyDescent="0.25">
      <c r="A71" s="19"/>
      <c r="B71" s="20">
        <f>DATE(2019,9,1)</f>
        <v>43709</v>
      </c>
      <c r="C71" s="21">
        <v>143049</v>
      </c>
      <c r="D71" s="21">
        <v>154193</v>
      </c>
      <c r="E71" s="23">
        <f t="shared" si="30"/>
        <v>-7.2273060385361201E-2</v>
      </c>
      <c r="F71" s="21">
        <f>+C71-67371</f>
        <v>75678</v>
      </c>
      <c r="G71" s="21">
        <f>+D71-72768</f>
        <v>81425</v>
      </c>
      <c r="H71" s="23">
        <f t="shared" si="31"/>
        <v>-7.0580288609149527E-2</v>
      </c>
      <c r="I71" s="24">
        <f t="shared" si="32"/>
        <v>35.52142797223329</v>
      </c>
      <c r="J71" s="24">
        <f t="shared" si="33"/>
        <v>67.143750495520493</v>
      </c>
      <c r="K71" s="21">
        <v>5081304.75</v>
      </c>
      <c r="L71" s="21">
        <v>5375376.2999999998</v>
      </c>
      <c r="M71" s="25">
        <f t="shared" si="34"/>
        <v>-5.4707156036685252E-2</v>
      </c>
      <c r="N71" s="10"/>
      <c r="R71" s="2"/>
    </row>
    <row r="72" spans="1:18" ht="15.75" x14ac:dyDescent="0.25">
      <c r="A72" s="19"/>
      <c r="B72" s="20">
        <f>DATE(2019,10,1)</f>
        <v>43739</v>
      </c>
      <c r="C72" s="21">
        <v>147133</v>
      </c>
      <c r="D72" s="21">
        <v>153175</v>
      </c>
      <c r="E72" s="23">
        <f t="shared" si="30"/>
        <v>-3.9445079157826017E-2</v>
      </c>
      <c r="F72" s="21">
        <f>+C72-70441</f>
        <v>76692</v>
      </c>
      <c r="G72" s="21">
        <f>+D72-73639</f>
        <v>79536</v>
      </c>
      <c r="H72" s="23">
        <f t="shared" si="31"/>
        <v>-3.5757392878696441E-2</v>
      </c>
      <c r="I72" s="24">
        <f t="shared" si="32"/>
        <v>36.719846737305701</v>
      </c>
      <c r="J72" s="24">
        <f t="shared" si="33"/>
        <v>70.446737730141351</v>
      </c>
      <c r="K72" s="21">
        <v>5402701.21</v>
      </c>
      <c r="L72" s="21">
        <v>5256338.8</v>
      </c>
      <c r="M72" s="25">
        <f t="shared" si="34"/>
        <v>2.7844934576896022E-2</v>
      </c>
      <c r="N72" s="10"/>
      <c r="R72" s="2"/>
    </row>
    <row r="73" spans="1:18" ht="15.75" x14ac:dyDescent="0.25">
      <c r="A73" s="19"/>
      <c r="B73" s="20">
        <f>DATE(2019,11,1)</f>
        <v>43770</v>
      </c>
      <c r="C73" s="21">
        <v>147609</v>
      </c>
      <c r="D73" s="21">
        <v>139109</v>
      </c>
      <c r="E73" s="23">
        <f t="shared" si="30"/>
        <v>6.1103163706158481E-2</v>
      </c>
      <c r="F73" s="21">
        <f>+C73-72727</f>
        <v>74882</v>
      </c>
      <c r="G73" s="21">
        <f>+D73-66707</f>
        <v>72402</v>
      </c>
      <c r="H73" s="23">
        <f t="shared" si="31"/>
        <v>3.4253197425485486E-2</v>
      </c>
      <c r="I73" s="24">
        <f t="shared" si="32"/>
        <v>36.772296133704586</v>
      </c>
      <c r="J73" s="24">
        <f t="shared" si="33"/>
        <v>72.486336636307797</v>
      </c>
      <c r="K73" s="21">
        <v>5427921.8600000003</v>
      </c>
      <c r="L73" s="21">
        <v>5071701.4800000004</v>
      </c>
      <c r="M73" s="25">
        <f t="shared" si="34"/>
        <v>7.0236858656751985E-2</v>
      </c>
      <c r="N73" s="10"/>
      <c r="R73" s="2"/>
    </row>
    <row r="74" spans="1:18" ht="15.75" x14ac:dyDescent="0.25">
      <c r="A74" s="19"/>
      <c r="B74" s="20">
        <f>DATE(2019,12,1)</f>
        <v>43800</v>
      </c>
      <c r="C74" s="21">
        <v>148824</v>
      </c>
      <c r="D74" s="21">
        <v>159746</v>
      </c>
      <c r="E74" s="23">
        <f t="shared" si="30"/>
        <v>-6.8371039024451311E-2</v>
      </c>
      <c r="F74" s="21">
        <f>+C74-74088</f>
        <v>74736</v>
      </c>
      <c r="G74" s="21">
        <f>+D74-79467</f>
        <v>80279</v>
      </c>
      <c r="H74" s="23">
        <f t="shared" si="31"/>
        <v>-6.9046699635022857E-2</v>
      </c>
      <c r="I74" s="24">
        <f t="shared" si="32"/>
        <v>36.325450397785303</v>
      </c>
      <c r="J74" s="24">
        <f t="shared" si="33"/>
        <v>72.335940242988656</v>
      </c>
      <c r="K74" s="21">
        <v>5406098.8300000001</v>
      </c>
      <c r="L74" s="21">
        <v>5582453.1200000001</v>
      </c>
      <c r="M74" s="25">
        <f t="shared" si="34"/>
        <v>-3.1590823283080258E-2</v>
      </c>
      <c r="N74" s="10"/>
      <c r="R74" s="2"/>
    </row>
    <row r="75" spans="1:18" ht="15.75" x14ac:dyDescent="0.25">
      <c r="A75" s="19"/>
      <c r="B75" s="20">
        <f>DATE(2020,1,1)</f>
        <v>43831</v>
      </c>
      <c r="C75" s="21">
        <v>138036</v>
      </c>
      <c r="D75" s="21">
        <v>139301</v>
      </c>
      <c r="E75" s="23">
        <f t="shared" si="30"/>
        <v>-9.081054694510449E-3</v>
      </c>
      <c r="F75" s="21">
        <f>+C75-67428</f>
        <v>70608</v>
      </c>
      <c r="G75" s="21">
        <f>+D75-68038</f>
        <v>71263</v>
      </c>
      <c r="H75" s="23">
        <f t="shared" si="31"/>
        <v>-9.1913054460238831E-3</v>
      </c>
      <c r="I75" s="24">
        <f t="shared" si="32"/>
        <v>37.599209843808865</v>
      </c>
      <c r="J75" s="24">
        <f t="shared" si="33"/>
        <v>73.505049427826876</v>
      </c>
      <c r="K75" s="21">
        <v>5190044.53</v>
      </c>
      <c r="L75" s="21">
        <v>4785445.8099999996</v>
      </c>
      <c r="M75" s="25">
        <f t="shared" si="34"/>
        <v>8.4547759198217873E-2</v>
      </c>
      <c r="N75" s="10"/>
      <c r="R75" s="2"/>
    </row>
    <row r="76" spans="1:18" ht="15.75" customHeight="1" thickBot="1" x14ac:dyDescent="0.3">
      <c r="A76" s="19"/>
      <c r="B76" s="45"/>
      <c r="C76" s="21"/>
      <c r="D76" s="21"/>
      <c r="E76" s="23"/>
      <c r="F76" s="21"/>
      <c r="G76" s="21"/>
      <c r="H76" s="23"/>
      <c r="I76" s="24"/>
      <c r="J76" s="24"/>
      <c r="K76" s="21"/>
      <c r="L76" s="21"/>
      <c r="M76" s="25"/>
      <c r="N76" s="10"/>
      <c r="R76" s="2"/>
    </row>
    <row r="77" spans="1:18" ht="17.45" customHeight="1" thickTop="1" thickBot="1" x14ac:dyDescent="0.3">
      <c r="A77" s="39" t="s">
        <v>14</v>
      </c>
      <c r="B77" s="52"/>
      <c r="C77" s="47">
        <f>SUM(C69:C76)</f>
        <v>1029506</v>
      </c>
      <c r="D77" s="48">
        <f>SUM(D69:D76)</f>
        <v>1070889</v>
      </c>
      <c r="E77" s="280">
        <f>(+C77-D77)/D77</f>
        <v>-3.8643594247396322E-2</v>
      </c>
      <c r="F77" s="48">
        <f>SUM(F69:F76)</f>
        <v>532842</v>
      </c>
      <c r="G77" s="47">
        <f>SUM(G69:G76)</f>
        <v>555761</v>
      </c>
      <c r="H77" s="53">
        <f>(+F77-G77)/G77</f>
        <v>-4.1238949836350521E-2</v>
      </c>
      <c r="I77" s="51">
        <f>K77/C77</f>
        <v>36.342902207466494</v>
      </c>
      <c r="J77" s="50">
        <f>K77/F77</f>
        <v>70.21825584319555</v>
      </c>
      <c r="K77" s="47">
        <f>SUM(K69:K76)</f>
        <v>37415235.880000003</v>
      </c>
      <c r="L77" s="48">
        <f>SUM(L69:L76)</f>
        <v>37410388.140000001</v>
      </c>
      <c r="M77" s="44">
        <f>(+K77-L77)/L77</f>
        <v>1.2958272397122704E-4</v>
      </c>
      <c r="N77" s="10"/>
      <c r="R77" s="2"/>
    </row>
    <row r="78" spans="1:18" ht="15.75" customHeight="1" thickTop="1" x14ac:dyDescent="0.25">
      <c r="A78" s="19"/>
      <c r="B78" s="45"/>
      <c r="C78" s="21"/>
      <c r="D78" s="21"/>
      <c r="E78" s="23"/>
      <c r="F78" s="21"/>
      <c r="G78" s="21"/>
      <c r="H78" s="23"/>
      <c r="I78" s="24"/>
      <c r="J78" s="24"/>
      <c r="K78" s="21"/>
      <c r="L78" s="21"/>
      <c r="M78" s="25"/>
      <c r="N78" s="10"/>
      <c r="R78" s="2"/>
    </row>
    <row r="79" spans="1:18" ht="15.75" customHeight="1" x14ac:dyDescent="0.25">
      <c r="A79" s="19" t="s">
        <v>67</v>
      </c>
      <c r="B79" s="20">
        <f>DATE(2019,7,1)</f>
        <v>43647</v>
      </c>
      <c r="C79" s="21">
        <v>323721</v>
      </c>
      <c r="D79" s="21">
        <v>388346</v>
      </c>
      <c r="E79" s="23">
        <f t="shared" ref="E79:E85" si="35">(+C79-D79)/D79</f>
        <v>-0.16641088101847321</v>
      </c>
      <c r="F79" s="21">
        <f>+C79-139052</f>
        <v>184669</v>
      </c>
      <c r="G79" s="21">
        <f>+D79-165497</f>
        <v>222849</v>
      </c>
      <c r="H79" s="23">
        <f t="shared" ref="H79:H85" si="36">(+F79-G79)/G79</f>
        <v>-0.17132677283721265</v>
      </c>
      <c r="I79" s="24">
        <f t="shared" ref="I79:I85" si="37">K79/C79</f>
        <v>38.806533280201158</v>
      </c>
      <c r="J79" s="24">
        <f t="shared" ref="J79:J85" si="38">K79/F79</f>
        <v>68.0270633403549</v>
      </c>
      <c r="K79" s="21">
        <v>12562489.76</v>
      </c>
      <c r="L79" s="21">
        <v>13426296.74</v>
      </c>
      <c r="M79" s="25">
        <f t="shared" ref="M79:M85" si="39">(+K79-L79)/L79</f>
        <v>-6.4336949847572072E-2</v>
      </c>
      <c r="N79" s="10"/>
      <c r="R79" s="2"/>
    </row>
    <row r="80" spans="1:18" ht="15.75" customHeight="1" x14ac:dyDescent="0.25">
      <c r="A80" s="19"/>
      <c r="B80" s="20">
        <f>DATE(2019,8,1)</f>
        <v>43678</v>
      </c>
      <c r="C80" s="21">
        <v>324702</v>
      </c>
      <c r="D80" s="21">
        <v>374981</v>
      </c>
      <c r="E80" s="23">
        <f t="shared" si="35"/>
        <v>-0.13408412692909774</v>
      </c>
      <c r="F80" s="21">
        <f>+C80-140464</f>
        <v>184238</v>
      </c>
      <c r="G80" s="21">
        <f>+D80-161656</f>
        <v>213325</v>
      </c>
      <c r="H80" s="23">
        <f t="shared" si="36"/>
        <v>-0.13635063869682409</v>
      </c>
      <c r="I80" s="24">
        <f t="shared" si="37"/>
        <v>39.773520366366697</v>
      </c>
      <c r="J80" s="24">
        <f t="shared" si="38"/>
        <v>70.097057121766412</v>
      </c>
      <c r="K80" s="21">
        <v>12914541.609999999</v>
      </c>
      <c r="L80" s="21">
        <v>14006614.060000001</v>
      </c>
      <c r="M80" s="25">
        <f t="shared" si="39"/>
        <v>-7.7968340194275412E-2</v>
      </c>
      <c r="N80" s="10"/>
      <c r="R80" s="2"/>
    </row>
    <row r="81" spans="1:18" ht="15.75" customHeight="1" x14ac:dyDescent="0.25">
      <c r="A81" s="19"/>
      <c r="B81" s="20">
        <f>DATE(2019,9,1)</f>
        <v>43709</v>
      </c>
      <c r="C81" s="21">
        <v>300781</v>
      </c>
      <c r="D81" s="21">
        <v>360336</v>
      </c>
      <c r="E81" s="23">
        <f t="shared" si="35"/>
        <v>-0.16527629767772301</v>
      </c>
      <c r="F81" s="21">
        <f>+C81-129541</f>
        <v>171240</v>
      </c>
      <c r="G81" s="21">
        <f>+D81-155587</f>
        <v>204749</v>
      </c>
      <c r="H81" s="23">
        <f t="shared" si="36"/>
        <v>-0.16365891896907922</v>
      </c>
      <c r="I81" s="24">
        <f t="shared" si="37"/>
        <v>40.861201671648139</v>
      </c>
      <c r="J81" s="24">
        <f t="shared" si="38"/>
        <v>71.772209180098102</v>
      </c>
      <c r="K81" s="21">
        <v>12290273.1</v>
      </c>
      <c r="L81" s="21">
        <v>13292569.289999999</v>
      </c>
      <c r="M81" s="25">
        <f t="shared" si="39"/>
        <v>-7.5402743302156572E-2</v>
      </c>
      <c r="N81" s="10"/>
      <c r="R81" s="2"/>
    </row>
    <row r="82" spans="1:18" ht="15.75" customHeight="1" x14ac:dyDescent="0.25">
      <c r="A82" s="19"/>
      <c r="B82" s="20">
        <f>DATE(2019,10,1)</f>
        <v>43739</v>
      </c>
      <c r="C82" s="21">
        <v>283543</v>
      </c>
      <c r="D82" s="21">
        <v>333769</v>
      </c>
      <c r="E82" s="23">
        <f t="shared" si="35"/>
        <v>-0.15048132091356597</v>
      </c>
      <c r="F82" s="21">
        <f>+C82-124663</f>
        <v>158880</v>
      </c>
      <c r="G82" s="21">
        <f>+D82-146853</f>
        <v>186916</v>
      </c>
      <c r="H82" s="23">
        <f t="shared" si="36"/>
        <v>-0.14999251000449398</v>
      </c>
      <c r="I82" s="24">
        <f t="shared" si="37"/>
        <v>41.993366297175385</v>
      </c>
      <c r="J82" s="24">
        <f t="shared" si="38"/>
        <v>74.942881797583084</v>
      </c>
      <c r="K82" s="21">
        <v>11906925.060000001</v>
      </c>
      <c r="L82" s="21">
        <v>13297492.66</v>
      </c>
      <c r="M82" s="25">
        <f t="shared" si="39"/>
        <v>-0.10457366930405958</v>
      </c>
      <c r="N82" s="10"/>
      <c r="R82" s="2"/>
    </row>
    <row r="83" spans="1:18" ht="15.75" customHeight="1" x14ac:dyDescent="0.25">
      <c r="A83" s="19"/>
      <c r="B83" s="20">
        <f>DATE(2019,11,1)</f>
        <v>43770</v>
      </c>
      <c r="C83" s="21">
        <v>291549</v>
      </c>
      <c r="D83" s="21">
        <v>328783</v>
      </c>
      <c r="E83" s="23">
        <f t="shared" si="35"/>
        <v>-0.11324794773452398</v>
      </c>
      <c r="F83" s="21">
        <f>+C83-134082</f>
        <v>157467</v>
      </c>
      <c r="G83" s="21">
        <f>+D83-148021</f>
        <v>180762</v>
      </c>
      <c r="H83" s="23">
        <f t="shared" si="36"/>
        <v>-0.12887111229130016</v>
      </c>
      <c r="I83" s="24">
        <f t="shared" si="37"/>
        <v>41.532510658585693</v>
      </c>
      <c r="J83" s="24">
        <f t="shared" si="38"/>
        <v>76.897140035690015</v>
      </c>
      <c r="K83" s="21">
        <v>12108761.949999999</v>
      </c>
      <c r="L83" s="21">
        <v>12818002.74</v>
      </c>
      <c r="M83" s="25">
        <f t="shared" si="39"/>
        <v>-5.5331614791026405E-2</v>
      </c>
      <c r="N83" s="10"/>
      <c r="R83" s="2"/>
    </row>
    <row r="84" spans="1:18" ht="15.75" customHeight="1" x14ac:dyDescent="0.25">
      <c r="A84" s="19"/>
      <c r="B84" s="20">
        <f>DATE(2019,12,1)</f>
        <v>43800</v>
      </c>
      <c r="C84" s="21">
        <v>314814</v>
      </c>
      <c r="D84" s="21">
        <v>359368</v>
      </c>
      <c r="E84" s="23">
        <f t="shared" si="35"/>
        <v>-0.12397876271676944</v>
      </c>
      <c r="F84" s="21">
        <f>+C84-147218</f>
        <v>167596</v>
      </c>
      <c r="G84" s="21">
        <f>+D84-161628</f>
        <v>197740</v>
      </c>
      <c r="H84" s="23">
        <f t="shared" si="36"/>
        <v>-0.15244260139577223</v>
      </c>
      <c r="I84" s="24">
        <f t="shared" si="37"/>
        <v>40.43947861276817</v>
      </c>
      <c r="J84" s="24">
        <f t="shared" si="38"/>
        <v>75.961920451562094</v>
      </c>
      <c r="K84" s="21">
        <v>12730914.02</v>
      </c>
      <c r="L84" s="21">
        <v>13957615.710000001</v>
      </c>
      <c r="M84" s="25">
        <f t="shared" si="39"/>
        <v>-8.7887624612069309E-2</v>
      </c>
      <c r="N84" s="10"/>
      <c r="R84" s="2"/>
    </row>
    <row r="85" spans="1:18" ht="15.75" customHeight="1" x14ac:dyDescent="0.25">
      <c r="A85" s="19"/>
      <c r="B85" s="20">
        <f>DATE(2020,1,1)</f>
        <v>43831</v>
      </c>
      <c r="C85" s="21">
        <v>285267</v>
      </c>
      <c r="D85" s="21">
        <v>297648</v>
      </c>
      <c r="E85" s="23">
        <f t="shared" si="35"/>
        <v>-4.1596113530075793E-2</v>
      </c>
      <c r="F85" s="21">
        <f>+C85-129272</f>
        <v>155995</v>
      </c>
      <c r="G85" s="21">
        <f>+D85-131302</f>
        <v>166346</v>
      </c>
      <c r="H85" s="23">
        <f t="shared" si="36"/>
        <v>-6.2225722289685356E-2</v>
      </c>
      <c r="I85" s="24">
        <f t="shared" si="37"/>
        <v>43.931008143248256</v>
      </c>
      <c r="J85" s="24">
        <f t="shared" si="38"/>
        <v>80.33633706208532</v>
      </c>
      <c r="K85" s="21">
        <v>12532066.9</v>
      </c>
      <c r="L85" s="21">
        <v>12493875.960000001</v>
      </c>
      <c r="M85" s="25">
        <f t="shared" si="39"/>
        <v>3.0567727839039211E-3</v>
      </c>
      <c r="N85" s="10"/>
      <c r="R85" s="2"/>
    </row>
    <row r="86" spans="1:18" ht="15.75" customHeight="1" thickBot="1" x14ac:dyDescent="0.3">
      <c r="A86" s="19"/>
      <c r="B86" s="45"/>
      <c r="C86" s="21"/>
      <c r="D86" s="21"/>
      <c r="E86" s="23"/>
      <c r="F86" s="21"/>
      <c r="G86" s="21"/>
      <c r="H86" s="23"/>
      <c r="I86" s="24"/>
      <c r="J86" s="24"/>
      <c r="K86" s="21"/>
      <c r="L86" s="21"/>
      <c r="M86" s="25"/>
      <c r="N86" s="10"/>
      <c r="R86" s="2"/>
    </row>
    <row r="87" spans="1:18" ht="17.25" thickTop="1" thickBot="1" x14ac:dyDescent="0.3">
      <c r="A87" s="39" t="s">
        <v>14</v>
      </c>
      <c r="B87" s="40"/>
      <c r="C87" s="41">
        <f>SUM(C79:C86)</f>
        <v>2124377</v>
      </c>
      <c r="D87" s="41">
        <f>SUM(D79:D86)</f>
        <v>2443231</v>
      </c>
      <c r="E87" s="279">
        <f>(+C87-D87)/D87</f>
        <v>-0.13050505662379039</v>
      </c>
      <c r="F87" s="41">
        <f>SUM(F79:F86)</f>
        <v>1180085</v>
      </c>
      <c r="G87" s="41">
        <f>SUM(G79:G86)</f>
        <v>1372687</v>
      </c>
      <c r="H87" s="42">
        <f>(+F87-G87)/G87</f>
        <v>-0.14031020910083652</v>
      </c>
      <c r="I87" s="43">
        <f>K87/C87</f>
        <v>40.974823395282478</v>
      </c>
      <c r="J87" s="43">
        <f>K87/F87</f>
        <v>73.762459822809376</v>
      </c>
      <c r="K87" s="41">
        <f>SUM(K79:K86)</f>
        <v>87045972.400000006</v>
      </c>
      <c r="L87" s="41">
        <f>SUM(L79:L86)</f>
        <v>93292467.159999996</v>
      </c>
      <c r="M87" s="44">
        <f>(+K87-L87)/L87</f>
        <v>-6.6956046400691957E-2</v>
      </c>
      <c r="N87" s="10"/>
      <c r="R87" s="2"/>
    </row>
    <row r="88" spans="1:18" ht="15.75" customHeight="1" thickTop="1" x14ac:dyDescent="0.2">
      <c r="A88" s="54"/>
      <c r="B88" s="55"/>
      <c r="C88" s="55"/>
      <c r="D88" s="55"/>
      <c r="E88" s="56"/>
      <c r="F88" s="55"/>
      <c r="G88" s="55"/>
      <c r="H88" s="56"/>
      <c r="I88" s="55"/>
      <c r="J88" s="55"/>
      <c r="K88" s="196"/>
      <c r="L88" s="196"/>
      <c r="M88" s="57"/>
      <c r="N88" s="10"/>
      <c r="R88" s="2"/>
    </row>
    <row r="89" spans="1:18" ht="15.75" customHeight="1" x14ac:dyDescent="0.25">
      <c r="A89" s="19" t="s">
        <v>18</v>
      </c>
      <c r="B89" s="20">
        <f>DATE(2019,7,1)</f>
        <v>43647</v>
      </c>
      <c r="C89" s="21">
        <v>366609</v>
      </c>
      <c r="D89" s="21">
        <v>413730</v>
      </c>
      <c r="E89" s="23">
        <f t="shared" ref="E89:E95" si="40">(+C89-D89)/D89</f>
        <v>-0.11389311870060184</v>
      </c>
      <c r="F89" s="21">
        <f>+C89-178251</f>
        <v>188358</v>
      </c>
      <c r="G89" s="21">
        <f>+D89-202461</f>
        <v>211269</v>
      </c>
      <c r="H89" s="23">
        <f t="shared" ref="H89:H95" si="41">(+F89-G89)/G89</f>
        <v>-0.10844468426508386</v>
      </c>
      <c r="I89" s="24">
        <f t="shared" ref="I89:I95" si="42">K89/C89</f>
        <v>42.795962537744572</v>
      </c>
      <c r="J89" s="24">
        <f t="shared" ref="J89:J95" si="43">K89/F89</f>
        <v>83.295559678909314</v>
      </c>
      <c r="K89" s="21">
        <v>15689385.029999999</v>
      </c>
      <c r="L89" s="21">
        <v>17628524.710000001</v>
      </c>
      <c r="M89" s="25">
        <f t="shared" ref="M89:M95" si="44">(+K89-L89)/L89</f>
        <v>-0.11000011129121885</v>
      </c>
      <c r="N89" s="10"/>
      <c r="R89" s="2"/>
    </row>
    <row r="90" spans="1:18" ht="15.75" customHeight="1" x14ac:dyDescent="0.25">
      <c r="A90" s="19"/>
      <c r="B90" s="20">
        <f>DATE(2019,8,1)</f>
        <v>43678</v>
      </c>
      <c r="C90" s="21">
        <v>384946</v>
      </c>
      <c r="D90" s="21">
        <v>405657</v>
      </c>
      <c r="E90" s="23">
        <f t="shared" si="40"/>
        <v>-5.1055448322104638E-2</v>
      </c>
      <c r="F90" s="21">
        <f>+C90-186236</f>
        <v>198710</v>
      </c>
      <c r="G90" s="21">
        <f>+D90-195459</f>
        <v>210198</v>
      </c>
      <c r="H90" s="23">
        <f t="shared" si="41"/>
        <v>-5.4653231714859321E-2</v>
      </c>
      <c r="I90" s="24">
        <f t="shared" si="42"/>
        <v>43.116520966577127</v>
      </c>
      <c r="J90" s="24">
        <f t="shared" si="43"/>
        <v>83.52640672336571</v>
      </c>
      <c r="K90" s="21">
        <v>16597532.279999999</v>
      </c>
      <c r="L90" s="21">
        <v>17799458.530000001</v>
      </c>
      <c r="M90" s="25">
        <f t="shared" si="44"/>
        <v>-6.7526000747394746E-2</v>
      </c>
      <c r="N90" s="10"/>
      <c r="R90" s="2"/>
    </row>
    <row r="91" spans="1:18" ht="15.75" customHeight="1" x14ac:dyDescent="0.25">
      <c r="A91" s="19"/>
      <c r="B91" s="20">
        <f>DATE(2019,9,1)</f>
        <v>43709</v>
      </c>
      <c r="C91" s="21">
        <v>348168</v>
      </c>
      <c r="D91" s="21">
        <v>386512</v>
      </c>
      <c r="E91" s="23">
        <f t="shared" si="40"/>
        <v>-9.9205199321107759E-2</v>
      </c>
      <c r="F91" s="21">
        <f>+C91-163347</f>
        <v>184821</v>
      </c>
      <c r="G91" s="21">
        <f>+D91-188889</f>
        <v>197623</v>
      </c>
      <c r="H91" s="23">
        <f t="shared" si="41"/>
        <v>-6.4779909221092682E-2</v>
      </c>
      <c r="I91" s="24">
        <f t="shared" si="42"/>
        <v>44.422015894625581</v>
      </c>
      <c r="J91" s="24">
        <f t="shared" si="43"/>
        <v>83.68272236380065</v>
      </c>
      <c r="K91" s="21">
        <v>15466324.43</v>
      </c>
      <c r="L91" s="21">
        <v>16599689.699999999</v>
      </c>
      <c r="M91" s="25">
        <f t="shared" si="44"/>
        <v>-6.8276292538167124E-2</v>
      </c>
      <c r="N91" s="10"/>
      <c r="R91" s="2"/>
    </row>
    <row r="92" spans="1:18" ht="15.75" customHeight="1" x14ac:dyDescent="0.25">
      <c r="A92" s="19"/>
      <c r="B92" s="20">
        <f>DATE(2019,10,1)</f>
        <v>43739</v>
      </c>
      <c r="C92" s="21">
        <v>347400</v>
      </c>
      <c r="D92" s="21">
        <v>353857</v>
      </c>
      <c r="E92" s="23">
        <f t="shared" si="40"/>
        <v>-1.8247484153203129E-2</v>
      </c>
      <c r="F92" s="21">
        <f>+C92-164019</f>
        <v>183381</v>
      </c>
      <c r="G92" s="21">
        <f>+D92-169336</f>
        <v>184521</v>
      </c>
      <c r="H92" s="23">
        <f t="shared" si="41"/>
        <v>-6.178158583575853E-3</v>
      </c>
      <c r="I92" s="24">
        <f t="shared" si="42"/>
        <v>47.036089982728846</v>
      </c>
      <c r="J92" s="24">
        <f t="shared" si="43"/>
        <v>89.105946962880566</v>
      </c>
      <c r="K92" s="21">
        <v>16340337.66</v>
      </c>
      <c r="L92" s="21">
        <v>15074320.550000001</v>
      </c>
      <c r="M92" s="25">
        <f t="shared" si="44"/>
        <v>8.398501980906857E-2</v>
      </c>
      <c r="N92" s="10"/>
      <c r="R92" s="2"/>
    </row>
    <row r="93" spans="1:18" ht="15.75" customHeight="1" x14ac:dyDescent="0.25">
      <c r="A93" s="19"/>
      <c r="B93" s="20">
        <f>DATE(2019,11,1)</f>
        <v>43770</v>
      </c>
      <c r="C93" s="21">
        <v>367906</v>
      </c>
      <c r="D93" s="21">
        <v>343012</v>
      </c>
      <c r="E93" s="23">
        <f t="shared" si="40"/>
        <v>7.2574720417944563E-2</v>
      </c>
      <c r="F93" s="21">
        <f>+C93-173004</f>
        <v>194902</v>
      </c>
      <c r="G93" s="21">
        <f>+D93-162356</f>
        <v>180656</v>
      </c>
      <c r="H93" s="23">
        <f t="shared" si="41"/>
        <v>7.8857054291028253E-2</v>
      </c>
      <c r="I93" s="24">
        <f t="shared" si="42"/>
        <v>45.065145172951787</v>
      </c>
      <c r="J93" s="24">
        <f t="shared" si="43"/>
        <v>85.06704548952807</v>
      </c>
      <c r="K93" s="21">
        <v>16579737.300000001</v>
      </c>
      <c r="L93" s="21">
        <v>14816733.57</v>
      </c>
      <c r="M93" s="25">
        <f t="shared" si="44"/>
        <v>0.118987341013516</v>
      </c>
      <c r="N93" s="10"/>
      <c r="R93" s="2"/>
    </row>
    <row r="94" spans="1:18" ht="15.75" customHeight="1" x14ac:dyDescent="0.25">
      <c r="A94" s="19"/>
      <c r="B94" s="20">
        <f>DATE(2019,12,1)</f>
        <v>43800</v>
      </c>
      <c r="C94" s="21">
        <v>375783</v>
      </c>
      <c r="D94" s="21">
        <v>404087</v>
      </c>
      <c r="E94" s="23">
        <f t="shared" si="40"/>
        <v>-7.0044322138549373E-2</v>
      </c>
      <c r="F94" s="21">
        <f>+C94-181369</f>
        <v>194414</v>
      </c>
      <c r="G94" s="21">
        <f>+D94-195394</f>
        <v>208693</v>
      </c>
      <c r="H94" s="23">
        <f t="shared" si="41"/>
        <v>-6.8421077851197692E-2</v>
      </c>
      <c r="I94" s="24">
        <f t="shared" si="42"/>
        <v>41.740260070306533</v>
      </c>
      <c r="J94" s="24">
        <f t="shared" si="43"/>
        <v>80.679787206682647</v>
      </c>
      <c r="K94" s="21">
        <v>15685280.15</v>
      </c>
      <c r="L94" s="21">
        <v>16895167.059999999</v>
      </c>
      <c r="M94" s="25">
        <f t="shared" si="44"/>
        <v>-7.1611420337148082E-2</v>
      </c>
      <c r="N94" s="10"/>
      <c r="R94" s="2"/>
    </row>
    <row r="95" spans="1:18" ht="15.75" customHeight="1" x14ac:dyDescent="0.25">
      <c r="A95" s="19"/>
      <c r="B95" s="20">
        <f>DATE(2020,1,1)</f>
        <v>43831</v>
      </c>
      <c r="C95" s="21">
        <v>330613</v>
      </c>
      <c r="D95" s="21">
        <v>340841</v>
      </c>
      <c r="E95" s="23">
        <f t="shared" si="40"/>
        <v>-3.0008126956557458E-2</v>
      </c>
      <c r="F95" s="21">
        <f>+C95-158076</f>
        <v>172537</v>
      </c>
      <c r="G95" s="21">
        <f>+D95-167445</f>
        <v>173396</v>
      </c>
      <c r="H95" s="23">
        <f t="shared" si="41"/>
        <v>-4.9539781771205799E-3</v>
      </c>
      <c r="I95" s="24">
        <f t="shared" si="42"/>
        <v>45.56168205726938</v>
      </c>
      <c r="J95" s="24">
        <f t="shared" si="43"/>
        <v>87.304661550855755</v>
      </c>
      <c r="K95" s="21">
        <v>15063284.390000001</v>
      </c>
      <c r="L95" s="21">
        <v>14098180.859999999</v>
      </c>
      <c r="M95" s="25">
        <f t="shared" si="44"/>
        <v>6.8455890840373373E-2</v>
      </c>
      <c r="N95" s="10"/>
      <c r="R95" s="2"/>
    </row>
    <row r="96" spans="1:18" ht="15.75" customHeight="1" thickBot="1" x14ac:dyDescent="0.3">
      <c r="A96" s="19"/>
      <c r="B96" s="45"/>
      <c r="C96" s="21"/>
      <c r="D96" s="21"/>
      <c r="E96" s="23"/>
      <c r="F96" s="21"/>
      <c r="G96" s="21"/>
      <c r="H96" s="23"/>
      <c r="I96" s="24"/>
      <c r="J96" s="24"/>
      <c r="K96" s="21"/>
      <c r="L96" s="21"/>
      <c r="M96" s="25"/>
      <c r="N96" s="10"/>
      <c r="R96" s="2"/>
    </row>
    <row r="97" spans="1:18" ht="17.25" thickTop="1" thickBot="1" x14ac:dyDescent="0.3">
      <c r="A97" s="39" t="s">
        <v>14</v>
      </c>
      <c r="B97" s="40"/>
      <c r="C97" s="41">
        <f>SUM(C89:C96)</f>
        <v>2521425</v>
      </c>
      <c r="D97" s="41">
        <f>SUM(D89:D96)</f>
        <v>2647696</v>
      </c>
      <c r="E97" s="279">
        <f>(+C97-D97)/D97</f>
        <v>-4.7690898048718587E-2</v>
      </c>
      <c r="F97" s="41">
        <f>SUM(F89:F96)</f>
        <v>1317123</v>
      </c>
      <c r="G97" s="41">
        <f>SUM(G89:G96)</f>
        <v>1366356</v>
      </c>
      <c r="H97" s="42">
        <f>(+F97-G97)/G97</f>
        <v>-3.6032337106874049E-2</v>
      </c>
      <c r="I97" s="43">
        <f>K97/C97</f>
        <v>44.190043820458669</v>
      </c>
      <c r="J97" s="43">
        <f>K97/F97</f>
        <v>84.59489450871331</v>
      </c>
      <c r="K97" s="41">
        <f>SUM(K89:K96)</f>
        <v>111421881.23999999</v>
      </c>
      <c r="L97" s="41">
        <f>SUM(L89:L96)</f>
        <v>112912074.98</v>
      </c>
      <c r="M97" s="44">
        <f>(+K97-L97)/L97</f>
        <v>-1.3197824415714316E-2</v>
      </c>
      <c r="N97" s="10"/>
      <c r="R97" s="2"/>
    </row>
    <row r="98" spans="1:18" ht="15.75" customHeight="1" thickTop="1" x14ac:dyDescent="0.2">
      <c r="A98" s="54"/>
      <c r="B98" s="55"/>
      <c r="C98" s="55"/>
      <c r="D98" s="55"/>
      <c r="E98" s="56"/>
      <c r="F98" s="55"/>
      <c r="G98" s="55"/>
      <c r="H98" s="56"/>
      <c r="I98" s="55"/>
      <c r="J98" s="55"/>
      <c r="K98" s="196"/>
      <c r="L98" s="196"/>
      <c r="M98" s="57"/>
      <c r="N98" s="10"/>
      <c r="R98" s="2"/>
    </row>
    <row r="99" spans="1:18" ht="15.75" customHeight="1" x14ac:dyDescent="0.25">
      <c r="A99" s="19" t="s">
        <v>58</v>
      </c>
      <c r="B99" s="20">
        <f>DATE(2019,7,1)</f>
        <v>43647</v>
      </c>
      <c r="C99" s="21">
        <v>420442</v>
      </c>
      <c r="D99" s="21">
        <v>437171</v>
      </c>
      <c r="E99" s="23">
        <f t="shared" ref="E99:E105" si="45">(+C99-D99)/D99</f>
        <v>-3.8266490686710695E-2</v>
      </c>
      <c r="F99" s="21">
        <f>+C99-190554</f>
        <v>229888</v>
      </c>
      <c r="G99" s="21">
        <f>+D99-202695</f>
        <v>234476</v>
      </c>
      <c r="H99" s="23">
        <f t="shared" ref="H99:H105" si="46">(+F99-G99)/G99</f>
        <v>-1.9567034579231989E-2</v>
      </c>
      <c r="I99" s="24">
        <f t="shared" ref="I99:I105" si="47">K99/C99</f>
        <v>43.352571341588138</v>
      </c>
      <c r="J99" s="24">
        <f t="shared" ref="J99:J105" si="48">K99/F99</f>
        <v>79.287486950167036</v>
      </c>
      <c r="K99" s="21">
        <v>18227241.800000001</v>
      </c>
      <c r="L99" s="21">
        <v>19587162.530000001</v>
      </c>
      <c r="M99" s="25">
        <f t="shared" ref="M99:M105" si="49">(+K99-L99)/L99</f>
        <v>-6.9429184953008122E-2</v>
      </c>
      <c r="N99" s="10"/>
      <c r="R99" s="2"/>
    </row>
    <row r="100" spans="1:18" ht="15.75" customHeight="1" x14ac:dyDescent="0.25">
      <c r="A100" s="19"/>
      <c r="B100" s="20">
        <f>DATE(2019,8,1)</f>
        <v>43678</v>
      </c>
      <c r="C100" s="21">
        <v>440157</v>
      </c>
      <c r="D100" s="21">
        <v>428435</v>
      </c>
      <c r="E100" s="23">
        <f t="shared" si="45"/>
        <v>2.7360042947004795E-2</v>
      </c>
      <c r="F100" s="21">
        <f>+C100-199137</f>
        <v>241020</v>
      </c>
      <c r="G100" s="21">
        <f>+D100-198491</f>
        <v>229944</v>
      </c>
      <c r="H100" s="23">
        <f t="shared" si="46"/>
        <v>4.8168249660786977E-2</v>
      </c>
      <c r="I100" s="24">
        <f t="shared" si="47"/>
        <v>44.349903102756521</v>
      </c>
      <c r="J100" s="24">
        <f t="shared" si="48"/>
        <v>80.992947888142069</v>
      </c>
      <c r="K100" s="21">
        <v>19520920.300000001</v>
      </c>
      <c r="L100" s="21">
        <v>19072987.460000001</v>
      </c>
      <c r="M100" s="25">
        <f t="shared" si="49"/>
        <v>2.3485195538423525E-2</v>
      </c>
      <c r="N100" s="10"/>
      <c r="R100" s="2"/>
    </row>
    <row r="101" spans="1:18" ht="15.75" customHeight="1" x14ac:dyDescent="0.25">
      <c r="A101" s="19"/>
      <c r="B101" s="20">
        <f>DATE(2019,9,1)</f>
        <v>43709</v>
      </c>
      <c r="C101" s="21">
        <v>423584</v>
      </c>
      <c r="D101" s="21">
        <v>430488</v>
      </c>
      <c r="E101" s="23">
        <f t="shared" si="45"/>
        <v>-1.6037613127427477E-2</v>
      </c>
      <c r="F101" s="21">
        <f>+C101-190859</f>
        <v>232725</v>
      </c>
      <c r="G101" s="21">
        <f>+D101-198602</f>
        <v>231886</v>
      </c>
      <c r="H101" s="23">
        <f t="shared" si="46"/>
        <v>3.6181571979334672E-3</v>
      </c>
      <c r="I101" s="24">
        <f t="shared" si="47"/>
        <v>43.580134117435975</v>
      </c>
      <c r="J101" s="24">
        <f t="shared" si="48"/>
        <v>79.320431969062199</v>
      </c>
      <c r="K101" s="21">
        <v>18459847.530000001</v>
      </c>
      <c r="L101" s="21">
        <v>18193233.449999999</v>
      </c>
      <c r="M101" s="25">
        <f t="shared" si="49"/>
        <v>1.4654573676126931E-2</v>
      </c>
      <c r="N101" s="10"/>
      <c r="R101" s="2"/>
    </row>
    <row r="102" spans="1:18" ht="15.75" customHeight="1" x14ac:dyDescent="0.25">
      <c r="A102" s="19"/>
      <c r="B102" s="20">
        <f>DATE(2019,10,1)</f>
        <v>43739</v>
      </c>
      <c r="C102" s="21">
        <v>422269</v>
      </c>
      <c r="D102" s="21">
        <v>407351</v>
      </c>
      <c r="E102" s="23">
        <f t="shared" si="45"/>
        <v>3.6621979570444163E-2</v>
      </c>
      <c r="F102" s="21">
        <f>+C102-185907</f>
        <v>236362</v>
      </c>
      <c r="G102" s="21">
        <f>+D102-184649</f>
        <v>222702</v>
      </c>
      <c r="H102" s="23">
        <f t="shared" si="46"/>
        <v>6.1337572181659798E-2</v>
      </c>
      <c r="I102" s="24">
        <f t="shared" si="47"/>
        <v>44.099241218275552</v>
      </c>
      <c r="J102" s="24">
        <f t="shared" si="48"/>
        <v>78.784840583511723</v>
      </c>
      <c r="K102" s="21">
        <v>18621742.489999998</v>
      </c>
      <c r="L102" s="21">
        <v>16758743.75</v>
      </c>
      <c r="M102" s="25">
        <f t="shared" si="49"/>
        <v>0.11116577517929996</v>
      </c>
      <c r="N102" s="10"/>
      <c r="R102" s="2"/>
    </row>
    <row r="103" spans="1:18" ht="15.75" customHeight="1" x14ac:dyDescent="0.25">
      <c r="A103" s="19"/>
      <c r="B103" s="20">
        <f>DATE(2019,11,1)</f>
        <v>43770</v>
      </c>
      <c r="C103" s="21">
        <v>434843</v>
      </c>
      <c r="D103" s="21">
        <v>411941</v>
      </c>
      <c r="E103" s="23">
        <f t="shared" si="45"/>
        <v>5.5595340109384599E-2</v>
      </c>
      <c r="F103" s="21">
        <f>+C103-195427</f>
        <v>239416</v>
      </c>
      <c r="G103" s="21">
        <f>+D103-188303</f>
        <v>223638</v>
      </c>
      <c r="H103" s="23">
        <f t="shared" si="46"/>
        <v>7.0551516289718202E-2</v>
      </c>
      <c r="I103" s="24">
        <f t="shared" si="47"/>
        <v>45.420087594833078</v>
      </c>
      <c r="J103" s="24">
        <f t="shared" si="48"/>
        <v>82.494934131386373</v>
      </c>
      <c r="K103" s="21">
        <v>19750607.149999999</v>
      </c>
      <c r="L103" s="21">
        <v>19508179.460000001</v>
      </c>
      <c r="M103" s="25">
        <f t="shared" si="49"/>
        <v>1.2426976617529928E-2</v>
      </c>
      <c r="N103" s="10"/>
      <c r="R103" s="2"/>
    </row>
    <row r="104" spans="1:18" ht="15.75" customHeight="1" x14ac:dyDescent="0.25">
      <c r="A104" s="19"/>
      <c r="B104" s="20">
        <f>DATE(2019,12,1)</f>
        <v>43800</v>
      </c>
      <c r="C104" s="21">
        <v>424920</v>
      </c>
      <c r="D104" s="21">
        <v>472920</v>
      </c>
      <c r="E104" s="23">
        <f t="shared" si="45"/>
        <v>-0.10149708195889368</v>
      </c>
      <c r="F104" s="21">
        <f>+C104-195550</f>
        <v>229370</v>
      </c>
      <c r="G104" s="21">
        <f>+D104-218118</f>
        <v>254802</v>
      </c>
      <c r="H104" s="23">
        <f t="shared" si="46"/>
        <v>-9.9810833509941049E-2</v>
      </c>
      <c r="I104" s="24">
        <f t="shared" si="47"/>
        <v>46.924102066271296</v>
      </c>
      <c r="J104" s="24">
        <f t="shared" si="48"/>
        <v>86.929369359550066</v>
      </c>
      <c r="K104" s="21">
        <v>19938989.449999999</v>
      </c>
      <c r="L104" s="21">
        <v>20559094.579999998</v>
      </c>
      <c r="M104" s="25">
        <f t="shared" si="49"/>
        <v>-3.0162083626155439E-2</v>
      </c>
      <c r="N104" s="10"/>
      <c r="R104" s="2"/>
    </row>
    <row r="105" spans="1:18" ht="15.75" customHeight="1" x14ac:dyDescent="0.25">
      <c r="A105" s="19"/>
      <c r="B105" s="20">
        <f>DATE(2020,1,1)</f>
        <v>43831</v>
      </c>
      <c r="C105" s="21">
        <v>412724</v>
      </c>
      <c r="D105" s="21">
        <v>350517</v>
      </c>
      <c r="E105" s="23">
        <f t="shared" si="45"/>
        <v>0.17747213401917739</v>
      </c>
      <c r="F105" s="21">
        <f>+C105-198460</f>
        <v>214264</v>
      </c>
      <c r="G105" s="21">
        <f>+D105-164493</f>
        <v>186024</v>
      </c>
      <c r="H105" s="23">
        <f t="shared" si="46"/>
        <v>0.15180836881262633</v>
      </c>
      <c r="I105" s="24">
        <f t="shared" si="47"/>
        <v>45.893010922553572</v>
      </c>
      <c r="J105" s="24">
        <f t="shared" si="48"/>
        <v>88.400977485718542</v>
      </c>
      <c r="K105" s="21">
        <v>18941147.039999999</v>
      </c>
      <c r="L105" s="21">
        <v>16080175.630000001</v>
      </c>
      <c r="M105" s="25">
        <f t="shared" si="49"/>
        <v>0.177919164307038</v>
      </c>
      <c r="N105" s="10"/>
      <c r="R105" s="2"/>
    </row>
    <row r="106" spans="1:18" ht="15.75" customHeight="1" thickBot="1" x14ac:dyDescent="0.3">
      <c r="A106" s="19"/>
      <c r="B106" s="45"/>
      <c r="C106" s="21"/>
      <c r="D106" s="21"/>
      <c r="E106" s="23"/>
      <c r="F106" s="21"/>
      <c r="G106" s="21"/>
      <c r="H106" s="23"/>
      <c r="I106" s="24"/>
      <c r="J106" s="24"/>
      <c r="K106" s="21"/>
      <c r="L106" s="21"/>
      <c r="M106" s="25"/>
      <c r="N106" s="10"/>
      <c r="R106" s="2"/>
    </row>
    <row r="107" spans="1:18" ht="17.25" thickTop="1" thickBot="1" x14ac:dyDescent="0.3">
      <c r="A107" s="39" t="s">
        <v>14</v>
      </c>
      <c r="B107" s="40"/>
      <c r="C107" s="41">
        <f>SUM(C99:C106)</f>
        <v>2978939</v>
      </c>
      <c r="D107" s="41">
        <f>SUM(D99:D106)</f>
        <v>2938823</v>
      </c>
      <c r="E107" s="279">
        <f>(+C107-D107)/D107</f>
        <v>1.3650362747263105E-2</v>
      </c>
      <c r="F107" s="41">
        <f>SUM(F99:F106)</f>
        <v>1623045</v>
      </c>
      <c r="G107" s="41">
        <f>SUM(G99:G106)</f>
        <v>1583472</v>
      </c>
      <c r="H107" s="42">
        <f>(+F107-G107)/G107</f>
        <v>2.499128497377914E-2</v>
      </c>
      <c r="I107" s="43">
        <f>K107/C107</f>
        <v>44.801352347261904</v>
      </c>
      <c r="J107" s="43">
        <f>K107/F107</f>
        <v>82.228463018585444</v>
      </c>
      <c r="K107" s="41">
        <f>SUM(K99:K106)</f>
        <v>133460495.76000002</v>
      </c>
      <c r="L107" s="41">
        <f>SUM(L99:L106)</f>
        <v>129759576.86</v>
      </c>
      <c r="M107" s="44">
        <f>(+K107-L107)/L107</f>
        <v>2.852135456632238E-2</v>
      </c>
      <c r="N107" s="10"/>
      <c r="R107" s="2"/>
    </row>
    <row r="108" spans="1:18" ht="15.75" customHeight="1" thickTop="1" x14ac:dyDescent="0.2">
      <c r="A108" s="58"/>
      <c r="B108" s="59"/>
      <c r="C108" s="59"/>
      <c r="D108" s="59"/>
      <c r="E108" s="60"/>
      <c r="F108" s="59"/>
      <c r="G108" s="59"/>
      <c r="H108" s="60"/>
      <c r="I108" s="59"/>
      <c r="J108" s="59"/>
      <c r="K108" s="197"/>
      <c r="L108" s="197"/>
      <c r="M108" s="61"/>
      <c r="N108" s="10"/>
      <c r="R108" s="2"/>
    </row>
    <row r="109" spans="1:18" ht="15" customHeight="1" x14ac:dyDescent="0.25">
      <c r="A109" s="19" t="s">
        <v>59</v>
      </c>
      <c r="B109" s="20">
        <f>DATE(2019,7,1)</f>
        <v>43647</v>
      </c>
      <c r="C109" s="21">
        <v>61327</v>
      </c>
      <c r="D109" s="21">
        <v>63934</v>
      </c>
      <c r="E109" s="23">
        <f t="shared" ref="E109:E115" si="50">(+C109-D109)/D109</f>
        <v>-4.0776425688991771E-2</v>
      </c>
      <c r="F109" s="21">
        <f>+C109-29380</f>
        <v>31947</v>
      </c>
      <c r="G109" s="21">
        <f>+D109-30110</f>
        <v>33824</v>
      </c>
      <c r="H109" s="23">
        <f t="shared" ref="H109:H115" si="51">(+F109-G109)/G109</f>
        <v>-5.5493140964995268E-2</v>
      </c>
      <c r="I109" s="24">
        <f t="shared" ref="I109:I115" si="52">K109/C109</f>
        <v>44.824024328599151</v>
      </c>
      <c r="J109" s="24">
        <f t="shared" ref="J109:J115" si="53">K109/F109</f>
        <v>86.046356152377371</v>
      </c>
      <c r="K109" s="21">
        <v>2748922.94</v>
      </c>
      <c r="L109" s="21">
        <v>2819787.79</v>
      </c>
      <c r="M109" s="25">
        <f t="shared" ref="M109:M115" si="54">(+K109-L109)/L109</f>
        <v>-2.5131270605296185E-2</v>
      </c>
      <c r="N109" s="10"/>
      <c r="R109" s="2"/>
    </row>
    <row r="110" spans="1:18" ht="15" customHeight="1" x14ac:dyDescent="0.25">
      <c r="A110" s="19"/>
      <c r="B110" s="20">
        <f>DATE(2019,8,1)</f>
        <v>43678</v>
      </c>
      <c r="C110" s="21">
        <v>62887</v>
      </c>
      <c r="D110" s="21">
        <v>61004</v>
      </c>
      <c r="E110" s="23">
        <f t="shared" si="50"/>
        <v>3.0866828404694773E-2</v>
      </c>
      <c r="F110" s="21">
        <f>+C110-30695</f>
        <v>32192</v>
      </c>
      <c r="G110" s="21">
        <f>+D110-29259</f>
        <v>31745</v>
      </c>
      <c r="H110" s="23">
        <f t="shared" si="51"/>
        <v>1.4080957631123011E-2</v>
      </c>
      <c r="I110" s="24">
        <f t="shared" si="52"/>
        <v>47.076432649037166</v>
      </c>
      <c r="J110" s="24">
        <f t="shared" si="53"/>
        <v>91.963705889662037</v>
      </c>
      <c r="K110" s="21">
        <v>2960495.62</v>
      </c>
      <c r="L110" s="21">
        <v>2779592.61</v>
      </c>
      <c r="M110" s="25">
        <f t="shared" si="54"/>
        <v>6.5082562584594092E-2</v>
      </c>
      <c r="N110" s="10"/>
      <c r="R110" s="2"/>
    </row>
    <row r="111" spans="1:18" ht="15" customHeight="1" x14ac:dyDescent="0.25">
      <c r="A111" s="19"/>
      <c r="B111" s="20">
        <f>DATE(2019,9,1)</f>
        <v>43709</v>
      </c>
      <c r="C111" s="21">
        <v>59108</v>
      </c>
      <c r="D111" s="21">
        <v>57391</v>
      </c>
      <c r="E111" s="23">
        <f t="shared" si="50"/>
        <v>2.9917582896272936E-2</v>
      </c>
      <c r="F111" s="21">
        <f>+C111-28508</f>
        <v>30600</v>
      </c>
      <c r="G111" s="21">
        <f>+D111-27760</f>
        <v>29631</v>
      </c>
      <c r="H111" s="23">
        <f t="shared" si="51"/>
        <v>3.2702237521514632E-2</v>
      </c>
      <c r="I111" s="24">
        <f t="shared" si="52"/>
        <v>45.641732422007173</v>
      </c>
      <c r="J111" s="24">
        <f t="shared" si="53"/>
        <v>88.163121568627446</v>
      </c>
      <c r="K111" s="21">
        <v>2697791.52</v>
      </c>
      <c r="L111" s="21">
        <v>2617109.27</v>
      </c>
      <c r="M111" s="25">
        <f t="shared" si="54"/>
        <v>3.082876627463094E-2</v>
      </c>
      <c r="N111" s="10"/>
      <c r="R111" s="2"/>
    </row>
    <row r="112" spans="1:18" ht="15" customHeight="1" x14ac:dyDescent="0.25">
      <c r="A112" s="19"/>
      <c r="B112" s="20">
        <f>DATE(2019,10,1)</f>
        <v>43739</v>
      </c>
      <c r="C112" s="21">
        <v>56197</v>
      </c>
      <c r="D112" s="21">
        <v>54970</v>
      </c>
      <c r="E112" s="23">
        <f t="shared" si="50"/>
        <v>2.2321266145170094E-2</v>
      </c>
      <c r="F112" s="21">
        <f>+C112-27661</f>
        <v>28536</v>
      </c>
      <c r="G112" s="21">
        <f>+D112-26236</f>
        <v>28734</v>
      </c>
      <c r="H112" s="23">
        <f t="shared" si="51"/>
        <v>-6.8907913969513471E-3</v>
      </c>
      <c r="I112" s="24">
        <f t="shared" si="52"/>
        <v>50.092445860099296</v>
      </c>
      <c r="J112" s="24">
        <f t="shared" si="53"/>
        <v>98.648905943369783</v>
      </c>
      <c r="K112" s="21">
        <v>2815045.18</v>
      </c>
      <c r="L112" s="21">
        <v>2535463.88</v>
      </c>
      <c r="M112" s="25">
        <f t="shared" si="54"/>
        <v>0.11026830325029134</v>
      </c>
      <c r="N112" s="10"/>
      <c r="R112" s="2"/>
    </row>
    <row r="113" spans="1:18" ht="15" customHeight="1" x14ac:dyDescent="0.25">
      <c r="A113" s="19"/>
      <c r="B113" s="20">
        <f>DATE(2019,11,1)</f>
        <v>43770</v>
      </c>
      <c r="C113" s="21">
        <v>56040</v>
      </c>
      <c r="D113" s="21">
        <v>49028</v>
      </c>
      <c r="E113" s="23">
        <f t="shared" si="50"/>
        <v>0.14302031492208533</v>
      </c>
      <c r="F113" s="21">
        <f>+C113-27978</f>
        <v>28062</v>
      </c>
      <c r="G113" s="21">
        <f>+D113-24232</f>
        <v>24796</v>
      </c>
      <c r="H113" s="23">
        <f t="shared" si="51"/>
        <v>0.13171479270850137</v>
      </c>
      <c r="I113" s="24">
        <f t="shared" si="52"/>
        <v>52.130084939329052</v>
      </c>
      <c r="J113" s="24">
        <f t="shared" si="53"/>
        <v>104.10412515145036</v>
      </c>
      <c r="K113" s="21">
        <v>2921369.96</v>
      </c>
      <c r="L113" s="21">
        <v>2404704.69</v>
      </c>
      <c r="M113" s="25">
        <f t="shared" si="54"/>
        <v>0.21485601627033882</v>
      </c>
      <c r="N113" s="10"/>
      <c r="R113" s="2"/>
    </row>
    <row r="114" spans="1:18" ht="15" customHeight="1" x14ac:dyDescent="0.25">
      <c r="A114" s="19"/>
      <c r="B114" s="20">
        <f>DATE(2019,12,1)</f>
        <v>43800</v>
      </c>
      <c r="C114" s="21">
        <v>57797</v>
      </c>
      <c r="D114" s="21">
        <v>58147</v>
      </c>
      <c r="E114" s="23">
        <f t="shared" si="50"/>
        <v>-6.0192271312363493E-3</v>
      </c>
      <c r="F114" s="21">
        <f>+C114-28840</f>
        <v>28957</v>
      </c>
      <c r="G114" s="21">
        <f>+D114-29074</f>
        <v>29073</v>
      </c>
      <c r="H114" s="23">
        <f t="shared" si="51"/>
        <v>-3.9899563168575656E-3</v>
      </c>
      <c r="I114" s="24">
        <f t="shared" si="52"/>
        <v>48.264124781563062</v>
      </c>
      <c r="J114" s="24">
        <f t="shared" si="53"/>
        <v>96.333239631177264</v>
      </c>
      <c r="K114" s="21">
        <v>2789521.62</v>
      </c>
      <c r="L114" s="21">
        <v>2611923.73</v>
      </c>
      <c r="M114" s="25">
        <f t="shared" si="54"/>
        <v>6.7995052060727715E-2</v>
      </c>
      <c r="N114" s="10"/>
      <c r="R114" s="2"/>
    </row>
    <row r="115" spans="1:18" ht="15" customHeight="1" x14ac:dyDescent="0.25">
      <c r="A115" s="19"/>
      <c r="B115" s="20">
        <f>DATE(2020,1,1)</f>
        <v>43831</v>
      </c>
      <c r="C115" s="21">
        <v>48934</v>
      </c>
      <c r="D115" s="21">
        <v>41757</v>
      </c>
      <c r="E115" s="23">
        <f t="shared" si="50"/>
        <v>0.17187537418875878</v>
      </c>
      <c r="F115" s="21">
        <f>+C115-24962</f>
        <v>23972</v>
      </c>
      <c r="G115" s="21">
        <f>+D115-21350</f>
        <v>20407</v>
      </c>
      <c r="H115" s="23">
        <f t="shared" si="51"/>
        <v>0.17469495761258391</v>
      </c>
      <c r="I115" s="24">
        <f t="shared" si="52"/>
        <v>52.257414067928224</v>
      </c>
      <c r="J115" s="24">
        <f t="shared" si="53"/>
        <v>106.67296429167361</v>
      </c>
      <c r="K115" s="21">
        <v>2557164.2999999998</v>
      </c>
      <c r="L115" s="21">
        <v>2055487.97</v>
      </c>
      <c r="M115" s="25">
        <f t="shared" si="54"/>
        <v>0.2440667799189308</v>
      </c>
      <c r="N115" s="10"/>
      <c r="R115" s="2"/>
    </row>
    <row r="116" spans="1:18" ht="15.75" thickBot="1" x14ac:dyDescent="0.25">
      <c r="A116" s="38"/>
      <c r="B116" s="20"/>
      <c r="C116" s="21"/>
      <c r="D116" s="21"/>
      <c r="E116" s="23"/>
      <c r="F116" s="21"/>
      <c r="G116" s="21"/>
      <c r="H116" s="23"/>
      <c r="I116" s="24"/>
      <c r="J116" s="24"/>
      <c r="K116" s="21"/>
      <c r="L116" s="21"/>
      <c r="M116" s="25"/>
      <c r="N116" s="10"/>
      <c r="R116" s="2"/>
    </row>
    <row r="117" spans="1:18" ht="17.25" thickTop="1" thickBot="1" x14ac:dyDescent="0.3">
      <c r="A117" s="62" t="s">
        <v>14</v>
      </c>
      <c r="B117" s="52"/>
      <c r="C117" s="48">
        <f>SUM(C109:C116)</f>
        <v>402290</v>
      </c>
      <c r="D117" s="48">
        <f>SUM(D109:D116)</f>
        <v>386231</v>
      </c>
      <c r="E117" s="279">
        <f>(+C117-D117)/D117</f>
        <v>4.1578744326581762E-2</v>
      </c>
      <c r="F117" s="48">
        <f>SUM(F109:F116)</f>
        <v>204266</v>
      </c>
      <c r="G117" s="48">
        <f>SUM(G109:G116)</f>
        <v>198210</v>
      </c>
      <c r="H117" s="42">
        <f>(+F117-G117)/G117</f>
        <v>3.0553453408001613E-2</v>
      </c>
      <c r="I117" s="50">
        <f>K117/C117</f>
        <v>48.448410698749662</v>
      </c>
      <c r="J117" s="50">
        <f>K117/F117</f>
        <v>95.416325477563575</v>
      </c>
      <c r="K117" s="48">
        <f>SUM(K109:K116)</f>
        <v>19490311.140000001</v>
      </c>
      <c r="L117" s="48">
        <f>SUM(L109:L116)</f>
        <v>17824069.940000001</v>
      </c>
      <c r="M117" s="44">
        <f>(+K117-L117)/L117</f>
        <v>9.3482644850977237E-2</v>
      </c>
      <c r="N117" s="10"/>
      <c r="R117" s="2"/>
    </row>
    <row r="118" spans="1:18" ht="15.75" customHeight="1" thickTop="1" x14ac:dyDescent="0.25">
      <c r="A118" s="19"/>
      <c r="B118" s="45"/>
      <c r="C118" s="21"/>
      <c r="D118" s="21"/>
      <c r="E118" s="23"/>
      <c r="F118" s="21"/>
      <c r="G118" s="21"/>
      <c r="H118" s="23"/>
      <c r="I118" s="24"/>
      <c r="J118" s="24"/>
      <c r="K118" s="21"/>
      <c r="L118" s="21"/>
      <c r="M118" s="25"/>
      <c r="N118" s="10"/>
      <c r="R118" s="2"/>
    </row>
    <row r="119" spans="1:18" ht="15.75" x14ac:dyDescent="0.25">
      <c r="A119" s="19" t="s">
        <v>19</v>
      </c>
      <c r="B119" s="20">
        <f>DATE(2019,7,1)</f>
        <v>43647</v>
      </c>
      <c r="C119" s="21">
        <v>447474</v>
      </c>
      <c r="D119" s="21">
        <v>470294</v>
      </c>
      <c r="E119" s="23">
        <f t="shared" ref="E119:E125" si="55">(+C119-D119)/D119</f>
        <v>-4.8522838905025366E-2</v>
      </c>
      <c r="F119" s="21">
        <f>+C119-208413</f>
        <v>239061</v>
      </c>
      <c r="G119" s="21">
        <f>+D119-224781</f>
        <v>245513</v>
      </c>
      <c r="H119" s="23">
        <f t="shared" ref="H119:H125" si="56">(+F119-G119)/G119</f>
        <v>-2.627966747178357E-2</v>
      </c>
      <c r="I119" s="24">
        <f t="shared" ref="I119:I125" si="57">K119/C119</f>
        <v>50.948363234511952</v>
      </c>
      <c r="J119" s="24">
        <f t="shared" ref="J119:J125" si="58">K119/F119</f>
        <v>95.365065359887225</v>
      </c>
      <c r="K119" s="21">
        <v>22798067.890000001</v>
      </c>
      <c r="L119" s="21">
        <v>23419555.780000001</v>
      </c>
      <c r="M119" s="25">
        <f t="shared" ref="M119:M125" si="59">(+K119-L119)/L119</f>
        <v>-2.6537134001949909E-2</v>
      </c>
      <c r="N119" s="10"/>
      <c r="R119" s="2"/>
    </row>
    <row r="120" spans="1:18" ht="15.75" x14ac:dyDescent="0.25">
      <c r="A120" s="19"/>
      <c r="B120" s="20">
        <f>DATE(2019,8,1)</f>
        <v>43678</v>
      </c>
      <c r="C120" s="21">
        <v>463395</v>
      </c>
      <c r="D120" s="21">
        <v>474770</v>
      </c>
      <c r="E120" s="23">
        <f t="shared" si="55"/>
        <v>-2.39589696063357E-2</v>
      </c>
      <c r="F120" s="21">
        <f>+C120-219743</f>
        <v>243652</v>
      </c>
      <c r="G120" s="21">
        <f>+D120-232249</f>
        <v>242521</v>
      </c>
      <c r="H120" s="23">
        <f t="shared" si="56"/>
        <v>4.663513675104424E-3</v>
      </c>
      <c r="I120" s="24">
        <f t="shared" si="57"/>
        <v>50.067066649402783</v>
      </c>
      <c r="J120" s="24">
        <f t="shared" si="58"/>
        <v>95.22116933166977</v>
      </c>
      <c r="K120" s="21">
        <v>23200828.350000001</v>
      </c>
      <c r="L120" s="21">
        <v>23787231.309999999</v>
      </c>
      <c r="M120" s="25">
        <f t="shared" si="59"/>
        <v>-2.4652005622591192E-2</v>
      </c>
      <c r="N120" s="10"/>
      <c r="R120" s="2"/>
    </row>
    <row r="121" spans="1:18" ht="15.75" x14ac:dyDescent="0.25">
      <c r="A121" s="19"/>
      <c r="B121" s="20">
        <f>DATE(2019,9,1)</f>
        <v>43709</v>
      </c>
      <c r="C121" s="21">
        <v>425892</v>
      </c>
      <c r="D121" s="21">
        <v>439040</v>
      </c>
      <c r="E121" s="23">
        <f t="shared" si="55"/>
        <v>-2.9947157434402332E-2</v>
      </c>
      <c r="F121" s="21">
        <f>+C121-202215</f>
        <v>223677</v>
      </c>
      <c r="G121" s="21">
        <f>+D121-213778</f>
        <v>225262</v>
      </c>
      <c r="H121" s="23">
        <f t="shared" si="56"/>
        <v>-7.0362511209169764E-3</v>
      </c>
      <c r="I121" s="24">
        <f t="shared" si="57"/>
        <v>50.554840593389876</v>
      </c>
      <c r="J121" s="24">
        <f t="shared" si="58"/>
        <v>96.258900870451598</v>
      </c>
      <c r="K121" s="21">
        <v>21530902.170000002</v>
      </c>
      <c r="L121" s="21">
        <v>21674295.539999999</v>
      </c>
      <c r="M121" s="25">
        <f t="shared" si="59"/>
        <v>-6.6158260938799273E-3</v>
      </c>
      <c r="N121" s="10"/>
      <c r="R121" s="2"/>
    </row>
    <row r="122" spans="1:18" ht="15.75" x14ac:dyDescent="0.25">
      <c r="A122" s="19"/>
      <c r="B122" s="20">
        <f>DATE(2019,10,1)</f>
        <v>43739</v>
      </c>
      <c r="C122" s="21">
        <v>405696</v>
      </c>
      <c r="D122" s="21">
        <v>422287</v>
      </c>
      <c r="E122" s="23">
        <f t="shared" si="55"/>
        <v>-3.9288446009467494E-2</v>
      </c>
      <c r="F122" s="21">
        <f>+C122-186355</f>
        <v>219341</v>
      </c>
      <c r="G122" s="21">
        <f>+D122-199383</f>
        <v>222904</v>
      </c>
      <c r="H122" s="23">
        <f t="shared" si="56"/>
        <v>-1.5984459677708788E-2</v>
      </c>
      <c r="I122" s="24">
        <f t="shared" si="57"/>
        <v>53.730310848517121</v>
      </c>
      <c r="J122" s="24">
        <f t="shared" si="58"/>
        <v>99.380290005060615</v>
      </c>
      <c r="K122" s="21">
        <v>21798172.190000001</v>
      </c>
      <c r="L122" s="21">
        <v>20754214.07</v>
      </c>
      <c r="M122" s="25">
        <f t="shared" si="59"/>
        <v>5.0301019179956885E-2</v>
      </c>
      <c r="N122" s="10"/>
      <c r="R122" s="2"/>
    </row>
    <row r="123" spans="1:18" ht="15.75" x14ac:dyDescent="0.25">
      <c r="A123" s="19"/>
      <c r="B123" s="20">
        <f>DATE(2019,11,1)</f>
        <v>43770</v>
      </c>
      <c r="C123" s="21">
        <v>410734</v>
      </c>
      <c r="D123" s="21">
        <v>425527</v>
      </c>
      <c r="E123" s="23">
        <f t="shared" si="55"/>
        <v>-3.4763951523640098E-2</v>
      </c>
      <c r="F123" s="21">
        <f>+C123-191355</f>
        <v>219379</v>
      </c>
      <c r="G123" s="21">
        <f>+D123-204971</f>
        <v>220556</v>
      </c>
      <c r="H123" s="23">
        <f t="shared" si="56"/>
        <v>-5.3365131757920894E-3</v>
      </c>
      <c r="I123" s="24">
        <f t="shared" si="57"/>
        <v>50.703642673847305</v>
      </c>
      <c r="J123" s="24">
        <f t="shared" si="58"/>
        <v>94.930280336768789</v>
      </c>
      <c r="K123" s="21">
        <v>20825709.969999999</v>
      </c>
      <c r="L123" s="21">
        <v>21387450.190000001</v>
      </c>
      <c r="M123" s="25">
        <f t="shared" si="59"/>
        <v>-2.626494579810416E-2</v>
      </c>
      <c r="N123" s="10"/>
      <c r="R123" s="2"/>
    </row>
    <row r="124" spans="1:18" ht="15.75" x14ac:dyDescent="0.25">
      <c r="A124" s="19"/>
      <c r="B124" s="20">
        <f>DATE(2019,12,1)</f>
        <v>43800</v>
      </c>
      <c r="C124" s="21">
        <v>436988</v>
      </c>
      <c r="D124" s="21">
        <v>480889</v>
      </c>
      <c r="E124" s="23">
        <f t="shared" si="55"/>
        <v>-9.1291337502001496E-2</v>
      </c>
      <c r="F124" s="21">
        <f>+C124-202156</f>
        <v>234832</v>
      </c>
      <c r="G124" s="21">
        <f>+D124-230072</f>
        <v>250817</v>
      </c>
      <c r="H124" s="23">
        <f t="shared" si="56"/>
        <v>-6.3731724723603264E-2</v>
      </c>
      <c r="I124" s="24">
        <f t="shared" si="57"/>
        <v>50.367651239850979</v>
      </c>
      <c r="J124" s="24">
        <f t="shared" si="58"/>
        <v>93.726831011105816</v>
      </c>
      <c r="K124" s="21">
        <v>22010059.18</v>
      </c>
      <c r="L124" s="21">
        <v>23039096.699999999</v>
      </c>
      <c r="M124" s="25">
        <f t="shared" si="59"/>
        <v>-4.4664837923094426E-2</v>
      </c>
      <c r="N124" s="10"/>
      <c r="R124" s="2"/>
    </row>
    <row r="125" spans="1:18" ht="15.75" x14ac:dyDescent="0.25">
      <c r="A125" s="19"/>
      <c r="B125" s="20">
        <f>DATE(2020,1,1)</f>
        <v>43831</v>
      </c>
      <c r="C125" s="21">
        <v>413826</v>
      </c>
      <c r="D125" s="21">
        <v>389075</v>
      </c>
      <c r="E125" s="23">
        <f t="shared" si="55"/>
        <v>6.3614984257533896E-2</v>
      </c>
      <c r="F125" s="21">
        <f>+C125-196242</f>
        <v>217584</v>
      </c>
      <c r="G125" s="21">
        <f>+D125-191824</f>
        <v>197251</v>
      </c>
      <c r="H125" s="23">
        <f t="shared" si="56"/>
        <v>0.10308186016800928</v>
      </c>
      <c r="I125" s="24">
        <f t="shared" si="57"/>
        <v>51.159861463513643</v>
      </c>
      <c r="J125" s="24">
        <f t="shared" si="58"/>
        <v>97.301643641076538</v>
      </c>
      <c r="K125" s="21">
        <v>21171280.829999998</v>
      </c>
      <c r="L125" s="21">
        <v>19054517.329999998</v>
      </c>
      <c r="M125" s="25">
        <f t="shared" si="59"/>
        <v>0.11108985146883278</v>
      </c>
      <c r="N125" s="10"/>
      <c r="R125" s="2"/>
    </row>
    <row r="126" spans="1:18" ht="15.75" thickBot="1" x14ac:dyDescent="0.25">
      <c r="A126" s="38"/>
      <c r="B126" s="45"/>
      <c r="C126" s="21"/>
      <c r="D126" s="21"/>
      <c r="E126" s="23"/>
      <c r="F126" s="21"/>
      <c r="G126" s="21"/>
      <c r="H126" s="23"/>
      <c r="I126" s="24"/>
      <c r="J126" s="24"/>
      <c r="K126" s="21"/>
      <c r="L126" s="21"/>
      <c r="M126" s="25"/>
      <c r="N126" s="10"/>
      <c r="R126" s="2"/>
    </row>
    <row r="127" spans="1:18" ht="17.25" thickTop="1" thickBot="1" x14ac:dyDescent="0.3">
      <c r="A127" s="39" t="s">
        <v>14</v>
      </c>
      <c r="B127" s="40"/>
      <c r="C127" s="41">
        <f>SUM(C119:C126)</f>
        <v>3004005</v>
      </c>
      <c r="D127" s="41">
        <f>SUM(D119:D126)</f>
        <v>3101882</v>
      </c>
      <c r="E127" s="279">
        <f>(+C127-D127)/D127</f>
        <v>-3.1554069432686349E-2</v>
      </c>
      <c r="F127" s="41">
        <f>SUM(F119:F126)</f>
        <v>1597526</v>
      </c>
      <c r="G127" s="41">
        <f>SUM(G119:G126)</f>
        <v>1604824</v>
      </c>
      <c r="H127" s="42">
        <f>(+F127-G127)/G127</f>
        <v>-4.5475391694042465E-3</v>
      </c>
      <c r="I127" s="43">
        <f>K127/C127</f>
        <v>51.043530413564554</v>
      </c>
      <c r="J127" s="43">
        <f>K127/F127</f>
        <v>95.98280126896212</v>
      </c>
      <c r="K127" s="41">
        <f>SUM(K119:K126)</f>
        <v>153335020.57999998</v>
      </c>
      <c r="L127" s="41">
        <f>SUM(L119:L126)</f>
        <v>153116360.91999999</v>
      </c>
      <c r="M127" s="44">
        <f>(+K127-L127)/L127</f>
        <v>1.4280620221521682E-3</v>
      </c>
      <c r="N127" s="10"/>
      <c r="R127" s="2"/>
    </row>
    <row r="128" spans="1:18" ht="15.75" customHeight="1" thickTop="1" x14ac:dyDescent="0.25">
      <c r="A128" s="19"/>
      <c r="B128" s="45"/>
      <c r="C128" s="21"/>
      <c r="D128" s="21"/>
      <c r="E128" s="23"/>
      <c r="F128" s="21"/>
      <c r="G128" s="21"/>
      <c r="H128" s="23"/>
      <c r="I128" s="24"/>
      <c r="J128" s="24"/>
      <c r="K128" s="21"/>
      <c r="L128" s="21"/>
      <c r="M128" s="25"/>
      <c r="N128" s="10"/>
      <c r="R128" s="2"/>
    </row>
    <row r="129" spans="1:18" ht="15.75" x14ac:dyDescent="0.25">
      <c r="A129" s="19" t="s">
        <v>63</v>
      </c>
      <c r="B129" s="20">
        <f>DATE(2019,7,1)</f>
        <v>43647</v>
      </c>
      <c r="C129" s="21">
        <v>77431</v>
      </c>
      <c r="D129" s="21">
        <v>83462</v>
      </c>
      <c r="E129" s="23">
        <f t="shared" ref="E129:E135" si="60">(+C129-D129)/D129</f>
        <v>-7.2260429896240208E-2</v>
      </c>
      <c r="F129" s="21">
        <f>+C129-35761</f>
        <v>41670</v>
      </c>
      <c r="G129" s="21">
        <f>+D129-37670</f>
        <v>45792</v>
      </c>
      <c r="H129" s="23">
        <f t="shared" ref="H129:H135" si="61">(+F129-G129)/G129</f>
        <v>-9.0015723270440245E-2</v>
      </c>
      <c r="I129" s="24">
        <f t="shared" ref="I129:I135" si="62">K129/C129</f>
        <v>43.866899303896368</v>
      </c>
      <c r="J129" s="24">
        <f t="shared" ref="J129:J135" si="63">K129/F129</f>
        <v>81.513268058555312</v>
      </c>
      <c r="K129" s="21">
        <v>3396657.88</v>
      </c>
      <c r="L129" s="21">
        <v>3596592.5</v>
      </c>
      <c r="M129" s="25">
        <f t="shared" ref="M129:M135" si="64">(+K129-L129)/L129</f>
        <v>-5.5590011934907861E-2</v>
      </c>
      <c r="N129" s="10"/>
      <c r="R129" s="2"/>
    </row>
    <row r="130" spans="1:18" ht="15.75" x14ac:dyDescent="0.25">
      <c r="A130" s="19"/>
      <c r="B130" s="20">
        <f>DATE(2019,8,1)</f>
        <v>43678</v>
      </c>
      <c r="C130" s="21">
        <v>83032</v>
      </c>
      <c r="D130" s="21">
        <v>82775</v>
      </c>
      <c r="E130" s="23">
        <f t="shared" si="60"/>
        <v>3.1048021745696164E-3</v>
      </c>
      <c r="F130" s="21">
        <f>+C130-37844</f>
        <v>45188</v>
      </c>
      <c r="G130" s="21">
        <f>+D130-37255</f>
        <v>45520</v>
      </c>
      <c r="H130" s="23">
        <f t="shared" si="61"/>
        <v>-7.2934973637961333E-3</v>
      </c>
      <c r="I130" s="24">
        <f t="shared" si="62"/>
        <v>42.053671957799402</v>
      </c>
      <c r="J130" s="24">
        <f t="shared" si="63"/>
        <v>77.272738116314073</v>
      </c>
      <c r="K130" s="21">
        <v>3491800.49</v>
      </c>
      <c r="L130" s="21">
        <v>3639194.09</v>
      </c>
      <c r="M130" s="25">
        <f t="shared" si="64"/>
        <v>-4.0501714488110643E-2</v>
      </c>
      <c r="N130" s="10"/>
      <c r="R130" s="2"/>
    </row>
    <row r="131" spans="1:18" ht="15.75" x14ac:dyDescent="0.25">
      <c r="A131" s="19"/>
      <c r="B131" s="20">
        <f>DATE(2019,9,1)</f>
        <v>43709</v>
      </c>
      <c r="C131" s="21">
        <v>70924</v>
      </c>
      <c r="D131" s="21">
        <v>77092</v>
      </c>
      <c r="E131" s="23">
        <f t="shared" si="60"/>
        <v>-8.0008301769314588E-2</v>
      </c>
      <c r="F131" s="21">
        <f>+C131-32729</f>
        <v>38195</v>
      </c>
      <c r="G131" s="21">
        <f>+D131-35421</f>
        <v>41671</v>
      </c>
      <c r="H131" s="23">
        <f t="shared" si="61"/>
        <v>-8.3415324806220159E-2</v>
      </c>
      <c r="I131" s="24">
        <f t="shared" si="62"/>
        <v>47.535936354407532</v>
      </c>
      <c r="J131" s="24">
        <f t="shared" si="63"/>
        <v>88.269112449273464</v>
      </c>
      <c r="K131" s="21">
        <v>3371438.75</v>
      </c>
      <c r="L131" s="21">
        <v>3422069</v>
      </c>
      <c r="M131" s="25">
        <f t="shared" si="64"/>
        <v>-1.4795215993599195E-2</v>
      </c>
      <c r="N131" s="10"/>
      <c r="R131" s="2"/>
    </row>
    <row r="132" spans="1:18" ht="15.75" x14ac:dyDescent="0.25">
      <c r="A132" s="19"/>
      <c r="B132" s="20">
        <f>DATE(2019,10,1)</f>
        <v>43739</v>
      </c>
      <c r="C132" s="21">
        <v>70482</v>
      </c>
      <c r="D132" s="21">
        <v>82223</v>
      </c>
      <c r="E132" s="23">
        <f t="shared" si="60"/>
        <v>-0.14279459518626175</v>
      </c>
      <c r="F132" s="21">
        <f>+C132-33635</f>
        <v>36847</v>
      </c>
      <c r="G132" s="21">
        <f>+D132-37480</f>
        <v>44743</v>
      </c>
      <c r="H132" s="23">
        <f t="shared" si="61"/>
        <v>-0.17647453232907942</v>
      </c>
      <c r="I132" s="24">
        <f t="shared" si="62"/>
        <v>46.451715189693822</v>
      </c>
      <c r="J132" s="24">
        <f t="shared" si="63"/>
        <v>88.854175102450682</v>
      </c>
      <c r="K132" s="21">
        <v>3274009.79</v>
      </c>
      <c r="L132" s="21">
        <v>3392612.93</v>
      </c>
      <c r="M132" s="25">
        <f t="shared" si="64"/>
        <v>-3.4959231261315782E-2</v>
      </c>
      <c r="N132" s="10"/>
      <c r="R132" s="2"/>
    </row>
    <row r="133" spans="1:18" ht="15.75" x14ac:dyDescent="0.25">
      <c r="A133" s="19"/>
      <c r="B133" s="20">
        <f>DATE(2019,11,1)</f>
        <v>43770</v>
      </c>
      <c r="C133" s="21">
        <v>73056</v>
      </c>
      <c r="D133" s="21">
        <v>76303</v>
      </c>
      <c r="E133" s="23">
        <f t="shared" si="60"/>
        <v>-4.2554028019868156E-2</v>
      </c>
      <c r="F133" s="21">
        <f>+C133-35437</f>
        <v>37619</v>
      </c>
      <c r="G133" s="21">
        <f>+D133-35181</f>
        <v>41122</v>
      </c>
      <c r="H133" s="23">
        <f t="shared" si="61"/>
        <v>-8.5185545450124023E-2</v>
      </c>
      <c r="I133" s="24">
        <f t="shared" si="62"/>
        <v>46.231660643889619</v>
      </c>
      <c r="J133" s="24">
        <f t="shared" si="63"/>
        <v>89.781764533879155</v>
      </c>
      <c r="K133" s="21">
        <v>3377500.2</v>
      </c>
      <c r="L133" s="21">
        <v>3366475.85</v>
      </c>
      <c r="M133" s="25">
        <f t="shared" si="64"/>
        <v>3.2747450126517593E-3</v>
      </c>
      <c r="N133" s="10"/>
      <c r="R133" s="2"/>
    </row>
    <row r="134" spans="1:18" ht="15.75" x14ac:dyDescent="0.25">
      <c r="A134" s="19"/>
      <c r="B134" s="20">
        <f>DATE(2019,12,1)</f>
        <v>43800</v>
      </c>
      <c r="C134" s="21">
        <v>74995</v>
      </c>
      <c r="D134" s="21">
        <v>85578</v>
      </c>
      <c r="E134" s="23">
        <f t="shared" si="60"/>
        <v>-0.12366496062072029</v>
      </c>
      <c r="F134" s="21">
        <f>+C134-35471</f>
        <v>39524</v>
      </c>
      <c r="G134" s="21">
        <f>+D134-40324</f>
        <v>45254</v>
      </c>
      <c r="H134" s="23">
        <f t="shared" si="61"/>
        <v>-0.12661864144606003</v>
      </c>
      <c r="I134" s="24">
        <f t="shared" si="62"/>
        <v>47.131188612574178</v>
      </c>
      <c r="J134" s="24">
        <f t="shared" si="63"/>
        <v>89.429295870863285</v>
      </c>
      <c r="K134" s="21">
        <v>3534603.49</v>
      </c>
      <c r="L134" s="21">
        <v>3763977.96</v>
      </c>
      <c r="M134" s="25">
        <f t="shared" si="64"/>
        <v>-6.0939376488803813E-2</v>
      </c>
      <c r="N134" s="10"/>
      <c r="R134" s="2"/>
    </row>
    <row r="135" spans="1:18" ht="15.75" x14ac:dyDescent="0.25">
      <c r="A135" s="19"/>
      <c r="B135" s="20">
        <f>DATE(2020,1,1)</f>
        <v>43831</v>
      </c>
      <c r="C135" s="21">
        <v>73278</v>
      </c>
      <c r="D135" s="21">
        <v>73768</v>
      </c>
      <c r="E135" s="23">
        <f t="shared" si="60"/>
        <v>-6.642446589307017E-3</v>
      </c>
      <c r="F135" s="21">
        <f>+C135-33277</f>
        <v>40001</v>
      </c>
      <c r="G135" s="21">
        <f>+D135-34302</f>
        <v>39466</v>
      </c>
      <c r="H135" s="23">
        <f t="shared" si="61"/>
        <v>1.3555972229260629E-2</v>
      </c>
      <c r="I135" s="24">
        <f t="shared" si="62"/>
        <v>46.581612762357054</v>
      </c>
      <c r="J135" s="24">
        <f t="shared" si="63"/>
        <v>85.333052173695663</v>
      </c>
      <c r="K135" s="21">
        <v>3413407.42</v>
      </c>
      <c r="L135" s="21">
        <v>3334980.73</v>
      </c>
      <c r="M135" s="25">
        <f t="shared" si="64"/>
        <v>2.3516384755842334E-2</v>
      </c>
      <c r="N135" s="10"/>
      <c r="R135" s="2"/>
    </row>
    <row r="136" spans="1:18" ht="15.75" thickBot="1" x14ac:dyDescent="0.25">
      <c r="A136" s="38"/>
      <c r="B136" s="45"/>
      <c r="C136" s="21"/>
      <c r="D136" s="21"/>
      <c r="E136" s="23"/>
      <c r="F136" s="21"/>
      <c r="G136" s="21"/>
      <c r="H136" s="23"/>
      <c r="I136" s="24"/>
      <c r="J136" s="24"/>
      <c r="K136" s="21"/>
      <c r="L136" s="21"/>
      <c r="M136" s="25"/>
      <c r="N136" s="10"/>
      <c r="R136" s="2"/>
    </row>
    <row r="137" spans="1:18" ht="17.25" thickTop="1" thickBot="1" x14ac:dyDescent="0.3">
      <c r="A137" s="26" t="s">
        <v>14</v>
      </c>
      <c r="B137" s="27"/>
      <c r="C137" s="28">
        <f>SUM(C129:C136)</f>
        <v>523198</v>
      </c>
      <c r="D137" s="28">
        <f>SUM(D129:D136)</f>
        <v>561201</v>
      </c>
      <c r="E137" s="279">
        <f>(+C137-D137)/D137</f>
        <v>-6.7717270639218397E-2</v>
      </c>
      <c r="F137" s="28">
        <f>SUM(F129:F136)</f>
        <v>279044</v>
      </c>
      <c r="G137" s="28">
        <f>SUM(G129:G136)</f>
        <v>303568</v>
      </c>
      <c r="H137" s="42">
        <f>(+F137-G137)/G137</f>
        <v>-8.0785853581405151E-2</v>
      </c>
      <c r="I137" s="43">
        <f>K137/C137</f>
        <v>45.603037511611291</v>
      </c>
      <c r="J137" s="43">
        <f>K137/F137</f>
        <v>85.504142787517395</v>
      </c>
      <c r="K137" s="28">
        <f>SUM(K129:K136)</f>
        <v>23859418.020000003</v>
      </c>
      <c r="L137" s="28">
        <f>SUM(L129:L136)</f>
        <v>24515903.060000002</v>
      </c>
      <c r="M137" s="44">
        <f>(+K137-L137)/L137</f>
        <v>-2.6777926083054068E-2</v>
      </c>
      <c r="N137" s="10"/>
      <c r="R137" s="2"/>
    </row>
    <row r="138" spans="1:18" ht="16.5" thickTop="1" thickBot="1" x14ac:dyDescent="0.25">
      <c r="A138" s="63"/>
      <c r="B138" s="34"/>
      <c r="C138" s="35"/>
      <c r="D138" s="35"/>
      <c r="E138" s="29"/>
      <c r="F138" s="35"/>
      <c r="G138" s="35"/>
      <c r="H138" s="29"/>
      <c r="I138" s="36"/>
      <c r="J138" s="36"/>
      <c r="K138" s="35"/>
      <c r="L138" s="35"/>
      <c r="M138" s="37"/>
      <c r="N138" s="10"/>
      <c r="R138" s="2"/>
    </row>
    <row r="139" spans="1:18" ht="17.25" thickTop="1" thickBot="1" x14ac:dyDescent="0.3">
      <c r="A139" s="64" t="s">
        <v>20</v>
      </c>
      <c r="B139" s="65"/>
      <c r="C139" s="28">
        <f>C137+C127+C57+C77+C87+C37+C17+C97+C107+C47+C117+C27+C67</f>
        <v>21372966</v>
      </c>
      <c r="D139" s="28">
        <f>D137+D127+D57+D77+D87+D37+D17+D97+D107+D47+D117+D27+D67</f>
        <v>22042810</v>
      </c>
      <c r="E139" s="278">
        <f>(+C139-D139)/D139</f>
        <v>-3.0388321634129224E-2</v>
      </c>
      <c r="F139" s="28">
        <f>F137+F127+F57+F77+F87+F37+F17+F97+F107+F47+F117+F27+F67</f>
        <v>11303902</v>
      </c>
      <c r="G139" s="28">
        <f>G137+G127+G57+G77+G87+G37+G17+G97+G107+G47+G117+G27+G67</f>
        <v>11556014</v>
      </c>
      <c r="H139" s="30">
        <f>(+F139-G139)/G139</f>
        <v>-2.1816519086944684E-2</v>
      </c>
      <c r="I139" s="31">
        <f>K139/C139</f>
        <v>47.098179989618664</v>
      </c>
      <c r="J139" s="31">
        <f>K139/F139</f>
        <v>89.051355857472942</v>
      </c>
      <c r="K139" s="28">
        <f>K137+K127+K57+K77+K87+K37+K17+K97+K107+K47+K117+K27+K67</f>
        <v>1006627799.58</v>
      </c>
      <c r="L139" s="28">
        <f>L137+L127+L57+L77+L87+L37+L17+L97+L107+L47+L117+L27+L67</f>
        <v>1000057754.12</v>
      </c>
      <c r="M139" s="32">
        <f>(+K139-L139)/L139</f>
        <v>6.5696660347195094E-3</v>
      </c>
      <c r="N139" s="10"/>
      <c r="R139" s="2"/>
    </row>
    <row r="140" spans="1:18" ht="17.25" thickTop="1" thickBot="1" x14ac:dyDescent="0.3">
      <c r="A140" s="64"/>
      <c r="B140" s="65"/>
      <c r="C140" s="28"/>
      <c r="D140" s="28"/>
      <c r="E140" s="29"/>
      <c r="F140" s="28"/>
      <c r="G140" s="28"/>
      <c r="H140" s="30"/>
      <c r="I140" s="31"/>
      <c r="J140" s="31"/>
      <c r="K140" s="28"/>
      <c r="L140" s="28"/>
      <c r="M140" s="32"/>
      <c r="N140" s="10"/>
      <c r="R140" s="2"/>
    </row>
    <row r="141" spans="1:18" ht="17.25" thickTop="1" thickBot="1" x14ac:dyDescent="0.3">
      <c r="A141" s="64" t="s">
        <v>21</v>
      </c>
      <c r="B141" s="65"/>
      <c r="C141" s="28">
        <f>SUM(C15+C25+C35+C45+C55+C65+C75+C85+C95+C105+C115+C125+C135)</f>
        <v>2886120</v>
      </c>
      <c r="D141" s="28">
        <f>SUM(D15+D25+D35+D45+D55+D65+D75+D85+D95+D105+D115+D125+D135)</f>
        <v>2760472</v>
      </c>
      <c r="E141" s="278">
        <f>(+C141-D141)/D141</f>
        <v>4.5516853639522514E-2</v>
      </c>
      <c r="F141" s="28">
        <f>SUM(F15+F25+F35+F45+F55+F65+F75+F85+F95+F105+F115+F125+F135)</f>
        <v>1500171</v>
      </c>
      <c r="G141" s="28">
        <f>SUM(G15+G25+G35+G45+G55+G65+G75+G85+G95+G105+G115+G125+G135)</f>
        <v>1428968</v>
      </c>
      <c r="H141" s="30">
        <f>(+F141-G141)/G141</f>
        <v>4.9828267672894007E-2</v>
      </c>
      <c r="I141" s="31">
        <f>K141/C141</f>
        <v>48.12547322356658</v>
      </c>
      <c r="J141" s="31">
        <f>K141/F141</f>
        <v>92.586705635557522</v>
      </c>
      <c r="K141" s="28">
        <f>SUM(K15+K25+K35+K45+K55+K65+K75+K85+K95+K105+K115+K125+K135)</f>
        <v>138895890.77999997</v>
      </c>
      <c r="L141" s="28">
        <f>SUM(L15+L25+L35+L45+L55+L65+L75+L85+L95+L105+L115+L125+L135)</f>
        <v>126064341.73999999</v>
      </c>
      <c r="M141" s="44">
        <f>(+K141-L141)/L141</f>
        <v>0.1017857140480237</v>
      </c>
      <c r="N141" s="10"/>
      <c r="R141" s="2"/>
    </row>
    <row r="142" spans="1:18" ht="15.75" thickTop="1" x14ac:dyDescent="0.2">
      <c r="A142" s="66"/>
      <c r="B142" s="67"/>
      <c r="C142" s="68"/>
      <c r="D142" s="67"/>
      <c r="E142" s="67"/>
      <c r="F142" s="67"/>
      <c r="G142" s="67"/>
      <c r="H142" s="67"/>
      <c r="I142" s="67"/>
      <c r="J142" s="67"/>
      <c r="K142" s="68"/>
      <c r="L142" s="68"/>
      <c r="M142" s="67"/>
      <c r="R142" s="2"/>
    </row>
    <row r="143" spans="1:18" ht="18.75" x14ac:dyDescent="0.3">
      <c r="A143" s="264" t="s">
        <v>22</v>
      </c>
      <c r="B143" s="70"/>
      <c r="C143" s="71"/>
      <c r="D143" s="71"/>
      <c r="E143" s="71"/>
      <c r="F143" s="71"/>
      <c r="G143" s="71"/>
      <c r="H143" s="71"/>
      <c r="I143" s="71"/>
      <c r="J143" s="71"/>
      <c r="K143" s="198"/>
      <c r="L143" s="198"/>
      <c r="M143" s="71"/>
      <c r="N143" s="2"/>
      <c r="O143" s="2"/>
      <c r="P143" s="2"/>
      <c r="Q143" s="2"/>
      <c r="R143" s="2"/>
    </row>
    <row r="144" spans="1:18" ht="18" x14ac:dyDescent="0.25">
      <c r="A144" s="69"/>
      <c r="B144" s="70"/>
      <c r="C144" s="71"/>
      <c r="D144" s="71"/>
      <c r="E144" s="71"/>
      <c r="F144" s="71"/>
      <c r="G144" s="71"/>
      <c r="H144" s="71"/>
      <c r="I144" s="71"/>
      <c r="J144" s="71"/>
      <c r="K144" s="198"/>
      <c r="L144" s="198"/>
      <c r="M144" s="71"/>
      <c r="N144" s="2"/>
      <c r="O144" s="2"/>
      <c r="P144" s="2"/>
      <c r="Q144" s="2"/>
      <c r="R144" s="2"/>
    </row>
    <row r="145" spans="1:18" ht="15.75" x14ac:dyDescent="0.25">
      <c r="A145" s="72"/>
      <c r="B145" s="73"/>
      <c r="C145" s="74"/>
      <c r="D145" s="74"/>
      <c r="E145" s="74"/>
      <c r="F145" s="74"/>
      <c r="G145" s="74"/>
      <c r="H145" s="74"/>
      <c r="I145" s="74"/>
      <c r="J145" s="74"/>
      <c r="K145" s="192"/>
      <c r="L145" s="192"/>
      <c r="M145" s="75"/>
      <c r="N145" s="2"/>
      <c r="O145" s="2"/>
      <c r="P145" s="2"/>
      <c r="Q145" s="2"/>
      <c r="R145" s="2"/>
    </row>
    <row r="146" spans="1:18" x14ac:dyDescent="0.2">
      <c r="A146" s="2"/>
      <c r="B146" s="73"/>
      <c r="C146" s="74"/>
      <c r="D146" s="74"/>
      <c r="E146" s="74"/>
      <c r="F146" s="74"/>
      <c r="G146" s="74"/>
      <c r="H146" s="74"/>
      <c r="I146" s="74"/>
      <c r="J146" s="74"/>
      <c r="K146" s="192"/>
      <c r="L146" s="192"/>
      <c r="M146" s="75"/>
      <c r="N146" s="2"/>
      <c r="O146" s="2"/>
      <c r="P146" s="2"/>
      <c r="Q146" s="2"/>
      <c r="R146" s="2"/>
    </row>
    <row r="147" spans="1:18" x14ac:dyDescent="0.2">
      <c r="A147" s="2"/>
      <c r="B147" s="73"/>
      <c r="C147" s="74"/>
      <c r="D147" s="74"/>
      <c r="E147" s="74"/>
      <c r="F147" s="74"/>
      <c r="G147" s="74"/>
      <c r="H147" s="74"/>
      <c r="I147" s="74"/>
      <c r="J147" s="74"/>
      <c r="K147" s="192"/>
      <c r="L147" s="192"/>
      <c r="M147" s="75"/>
      <c r="N147" s="2"/>
      <c r="O147" s="2"/>
      <c r="P147" s="2"/>
      <c r="Q147" s="2"/>
      <c r="R147" s="2"/>
    </row>
    <row r="148" spans="1:18" x14ac:dyDescent="0.2">
      <c r="A148" s="2"/>
      <c r="B148" s="73"/>
      <c r="C148" s="74"/>
      <c r="D148" s="74"/>
      <c r="E148" s="74"/>
      <c r="F148" s="74"/>
      <c r="G148" s="74"/>
      <c r="H148" s="74"/>
      <c r="I148" s="74"/>
      <c r="J148" s="74"/>
      <c r="K148" s="192"/>
      <c r="L148" s="192"/>
      <c r="M148" s="75"/>
      <c r="N148" s="2"/>
      <c r="O148" s="2"/>
      <c r="P148" s="2"/>
      <c r="Q148" s="2"/>
      <c r="R148" s="2"/>
    </row>
    <row r="149" spans="1:18" x14ac:dyDescent="0.2">
      <c r="A149" s="2"/>
      <c r="B149" s="73"/>
      <c r="C149" s="74"/>
      <c r="D149" s="74"/>
      <c r="E149" s="74"/>
      <c r="F149" s="74"/>
      <c r="G149" s="74"/>
      <c r="H149" s="74"/>
      <c r="I149" s="74"/>
      <c r="J149" s="74"/>
      <c r="K149" s="192"/>
      <c r="L149" s="192"/>
      <c r="M149" s="75"/>
      <c r="N149" s="2"/>
      <c r="O149" s="2"/>
      <c r="P149" s="2"/>
      <c r="Q149" s="2"/>
      <c r="R149" s="2"/>
    </row>
    <row r="150" spans="1:18" x14ac:dyDescent="0.2">
      <c r="A150" s="2"/>
      <c r="B150" s="73"/>
      <c r="C150" s="74"/>
      <c r="D150" s="74"/>
      <c r="E150" s="74"/>
      <c r="F150" s="74"/>
      <c r="G150" s="74"/>
      <c r="H150" s="74"/>
      <c r="I150" s="74"/>
      <c r="J150" s="74"/>
      <c r="K150" s="192"/>
      <c r="L150" s="192"/>
      <c r="M150" s="75"/>
      <c r="N150" s="2"/>
      <c r="O150" s="2"/>
      <c r="P150" s="2"/>
      <c r="Q150" s="2"/>
      <c r="R150" s="2"/>
    </row>
    <row r="151" spans="1:18" x14ac:dyDescent="0.2">
      <c r="A151" s="2"/>
      <c r="B151" s="73"/>
      <c r="C151" s="74"/>
      <c r="D151" s="74"/>
      <c r="E151" s="74"/>
      <c r="F151" s="74"/>
      <c r="G151" s="74"/>
      <c r="H151" s="74"/>
      <c r="I151" s="74"/>
      <c r="J151" s="74"/>
      <c r="K151" s="192"/>
      <c r="L151" s="192"/>
      <c r="M151" s="75"/>
      <c r="N151" s="2"/>
      <c r="O151" s="2"/>
      <c r="P151" s="2"/>
      <c r="Q151" s="2"/>
      <c r="R151" s="2"/>
    </row>
    <row r="152" spans="1:18" x14ac:dyDescent="0.2">
      <c r="A152" s="2"/>
      <c r="B152" s="73"/>
      <c r="C152" s="74"/>
      <c r="D152" s="74"/>
      <c r="E152" s="74"/>
      <c r="F152" s="74"/>
      <c r="G152" s="74"/>
      <c r="H152" s="74"/>
      <c r="I152" s="74"/>
      <c r="J152" s="74"/>
      <c r="K152" s="192"/>
      <c r="L152" s="192"/>
      <c r="M152" s="75"/>
      <c r="N152" s="2"/>
      <c r="O152" s="2"/>
      <c r="P152" s="2"/>
      <c r="Q152" s="2"/>
      <c r="R152" s="2"/>
    </row>
    <row r="153" spans="1:18" x14ac:dyDescent="0.2">
      <c r="A153" s="2"/>
      <c r="B153" s="73"/>
      <c r="C153" s="74"/>
      <c r="D153" s="74"/>
      <c r="E153" s="74"/>
      <c r="F153" s="74"/>
      <c r="G153" s="74"/>
      <c r="H153" s="74"/>
      <c r="I153" s="74"/>
      <c r="J153" s="74"/>
      <c r="K153" s="192"/>
      <c r="L153" s="192"/>
      <c r="M153" s="75"/>
      <c r="N153" s="2"/>
      <c r="O153" s="2"/>
      <c r="P153" s="2"/>
      <c r="Q153" s="2"/>
      <c r="R153" s="2"/>
    </row>
    <row r="154" spans="1:18" x14ac:dyDescent="0.2">
      <c r="A154" s="2"/>
      <c r="B154" s="73"/>
      <c r="C154" s="74"/>
      <c r="D154" s="74"/>
      <c r="E154" s="74"/>
      <c r="F154" s="74"/>
      <c r="G154" s="74"/>
      <c r="H154" s="74"/>
      <c r="I154" s="74"/>
      <c r="J154" s="74"/>
      <c r="K154" s="192"/>
      <c r="L154" s="192"/>
      <c r="M154" s="74"/>
      <c r="N154" s="2"/>
      <c r="O154" s="2"/>
      <c r="P154" s="2"/>
      <c r="Q154" s="2"/>
      <c r="R154" s="2"/>
    </row>
    <row r="155" spans="1:18" x14ac:dyDescent="0.2">
      <c r="A155" s="2"/>
      <c r="B155" s="73"/>
      <c r="C155" s="74"/>
      <c r="D155" s="74"/>
      <c r="E155" s="74"/>
      <c r="F155" s="74"/>
      <c r="G155" s="74"/>
      <c r="H155" s="74"/>
      <c r="I155" s="74"/>
      <c r="J155" s="74"/>
      <c r="K155" s="192"/>
      <c r="L155" s="192"/>
      <c r="M155" s="74"/>
      <c r="N155" s="2"/>
      <c r="O155" s="2"/>
      <c r="P155" s="2"/>
      <c r="Q155" s="2"/>
      <c r="R155" s="2"/>
    </row>
    <row r="156" spans="1:18" x14ac:dyDescent="0.2">
      <c r="A156" s="2"/>
      <c r="B156" s="70"/>
      <c r="C156" s="74"/>
      <c r="D156" s="74"/>
      <c r="E156" s="74"/>
      <c r="F156" s="74"/>
      <c r="G156" s="74"/>
      <c r="H156" s="74"/>
      <c r="I156" s="74"/>
      <c r="J156" s="74"/>
      <c r="K156" s="192"/>
      <c r="L156" s="192"/>
      <c r="M156" s="74"/>
      <c r="N156" s="2"/>
      <c r="O156" s="2"/>
      <c r="P156" s="2"/>
      <c r="Q156" s="2"/>
      <c r="R156" s="2"/>
    </row>
    <row r="157" spans="1:18" ht="15.75" x14ac:dyDescent="0.25">
      <c r="A157" s="76"/>
      <c r="B157" s="70"/>
      <c r="C157" s="74"/>
      <c r="D157" s="74"/>
      <c r="E157" s="74"/>
      <c r="F157" s="74"/>
      <c r="G157" s="74"/>
      <c r="H157" s="74"/>
      <c r="I157" s="74"/>
      <c r="J157" s="74"/>
      <c r="K157" s="192"/>
      <c r="L157" s="192"/>
      <c r="M157" s="75"/>
      <c r="N157" s="2"/>
      <c r="O157" s="2"/>
      <c r="P157" s="2"/>
      <c r="Q157" s="2"/>
      <c r="R157" s="2"/>
    </row>
    <row r="158" spans="1:18" ht="15.75" x14ac:dyDescent="0.25">
      <c r="A158" s="76"/>
      <c r="B158" s="70"/>
      <c r="C158" s="74"/>
      <c r="D158" s="74"/>
      <c r="E158" s="74"/>
      <c r="F158" s="74"/>
      <c r="G158" s="74"/>
      <c r="H158" s="74"/>
      <c r="I158" s="74"/>
      <c r="J158" s="74"/>
      <c r="K158" s="192"/>
      <c r="L158" s="192"/>
      <c r="M158" s="75"/>
      <c r="N158" s="2"/>
      <c r="O158" s="2"/>
      <c r="P158" s="2"/>
      <c r="Q158" s="2"/>
      <c r="R158" s="2"/>
    </row>
    <row r="159" spans="1:18" ht="15.75" x14ac:dyDescent="0.25">
      <c r="A159" s="76"/>
      <c r="B159" s="70"/>
      <c r="C159" s="74"/>
      <c r="D159" s="74"/>
      <c r="E159" s="74"/>
      <c r="F159" s="74"/>
      <c r="G159" s="74"/>
      <c r="H159" s="74"/>
      <c r="I159" s="74"/>
      <c r="J159" s="74"/>
      <c r="K159" s="192"/>
      <c r="L159" s="192"/>
      <c r="M159" s="75"/>
      <c r="N159" s="2"/>
      <c r="O159" s="2"/>
      <c r="P159" s="2"/>
      <c r="Q159" s="2"/>
      <c r="R159" s="2"/>
    </row>
    <row r="160" spans="1:18" x14ac:dyDescent="0.2">
      <c r="A160" s="2"/>
      <c r="B160" s="70"/>
      <c r="C160" s="74"/>
      <c r="D160" s="74"/>
      <c r="E160" s="74"/>
      <c r="F160" s="74"/>
      <c r="G160" s="74"/>
      <c r="H160" s="74"/>
      <c r="I160" s="74"/>
      <c r="J160" s="74"/>
      <c r="K160" s="192"/>
      <c r="L160" s="192"/>
      <c r="M160" s="75"/>
      <c r="N160" s="2"/>
      <c r="O160" s="2"/>
      <c r="P160" s="2"/>
      <c r="Q160" s="2"/>
      <c r="R160" s="2"/>
    </row>
    <row r="161" spans="1:18" ht="15.75" x14ac:dyDescent="0.25">
      <c r="A161" s="76"/>
      <c r="B161" s="73"/>
      <c r="C161" s="74"/>
      <c r="D161" s="74"/>
      <c r="E161" s="74"/>
      <c r="F161" s="74"/>
      <c r="G161" s="74"/>
      <c r="H161" s="74"/>
      <c r="I161" s="74"/>
      <c r="J161" s="74"/>
      <c r="K161" s="192"/>
      <c r="L161" s="192"/>
      <c r="M161" s="75"/>
      <c r="N161" s="2"/>
      <c r="O161" s="2"/>
      <c r="P161" s="2"/>
      <c r="Q161" s="2"/>
      <c r="R161" s="2"/>
    </row>
    <row r="162" spans="1:18" x14ac:dyDescent="0.2">
      <c r="A162" s="2"/>
      <c r="B162" s="73"/>
      <c r="C162" s="74"/>
      <c r="D162" s="74"/>
      <c r="E162" s="74"/>
      <c r="F162" s="74"/>
      <c r="G162" s="74"/>
      <c r="H162" s="74"/>
      <c r="I162" s="74"/>
      <c r="J162" s="74"/>
      <c r="K162" s="192"/>
      <c r="L162" s="192"/>
      <c r="M162" s="75"/>
      <c r="N162" s="2"/>
      <c r="O162" s="2"/>
      <c r="P162" s="2"/>
      <c r="Q162" s="2"/>
      <c r="R162" s="2"/>
    </row>
    <row r="163" spans="1:18" x14ac:dyDescent="0.2">
      <c r="A163" s="2"/>
      <c r="B163" s="73"/>
      <c r="C163" s="74"/>
      <c r="D163" s="74"/>
      <c r="E163" s="74"/>
      <c r="F163" s="74"/>
      <c r="G163" s="74"/>
      <c r="H163" s="74"/>
      <c r="I163" s="74"/>
      <c r="J163" s="74"/>
      <c r="K163" s="192"/>
      <c r="L163" s="192"/>
      <c r="M163" s="75"/>
      <c r="N163" s="2"/>
      <c r="O163" s="2"/>
      <c r="P163" s="2"/>
      <c r="Q163" s="2"/>
      <c r="R163" s="2"/>
    </row>
    <row r="164" spans="1:18" x14ac:dyDescent="0.2">
      <c r="A164" s="2"/>
      <c r="B164" s="77"/>
      <c r="C164" s="74"/>
      <c r="D164" s="74"/>
      <c r="E164" s="74"/>
      <c r="F164" s="74"/>
      <c r="G164" s="74"/>
      <c r="H164" s="74"/>
      <c r="I164" s="74"/>
      <c r="J164" s="74"/>
      <c r="K164" s="192"/>
      <c r="L164" s="192"/>
      <c r="M164" s="75"/>
      <c r="N164" s="2"/>
      <c r="O164" s="2"/>
      <c r="P164" s="2"/>
      <c r="Q164" s="2"/>
      <c r="R164" s="2"/>
    </row>
    <row r="165" spans="1:18" x14ac:dyDescent="0.2">
      <c r="A165" s="2"/>
      <c r="B165" s="77"/>
      <c r="C165" s="74"/>
      <c r="D165" s="74"/>
      <c r="E165" s="74"/>
      <c r="F165" s="74"/>
      <c r="G165" s="74"/>
      <c r="H165" s="74"/>
      <c r="I165" s="74"/>
      <c r="J165" s="74"/>
      <c r="K165" s="192"/>
      <c r="L165" s="192"/>
      <c r="M165" s="75"/>
      <c r="N165" s="2"/>
      <c r="O165" s="2"/>
      <c r="P165" s="2"/>
      <c r="Q165" s="2"/>
      <c r="R165" s="2"/>
    </row>
    <row r="166" spans="1:18" x14ac:dyDescent="0.2">
      <c r="A166" s="2"/>
      <c r="B166" s="77"/>
      <c r="C166" s="74"/>
      <c r="D166" s="74"/>
      <c r="E166" s="74"/>
      <c r="F166" s="74"/>
      <c r="G166" s="74"/>
      <c r="H166" s="74"/>
      <c r="I166" s="74"/>
      <c r="J166" s="74"/>
      <c r="K166" s="192"/>
      <c r="L166" s="192"/>
      <c r="M166" s="75"/>
      <c r="N166" s="2"/>
      <c r="O166" s="2"/>
      <c r="P166" s="2"/>
      <c r="Q166" s="2"/>
      <c r="R166" s="2"/>
    </row>
    <row r="167" spans="1:18" x14ac:dyDescent="0.2">
      <c r="A167" s="2"/>
      <c r="B167" s="77"/>
      <c r="C167" s="74"/>
      <c r="D167" s="74"/>
      <c r="E167" s="74"/>
      <c r="F167" s="74"/>
      <c r="G167" s="74"/>
      <c r="H167" s="74"/>
      <c r="I167" s="74"/>
      <c r="J167" s="74"/>
      <c r="K167" s="192"/>
      <c r="L167" s="192"/>
      <c r="M167" s="75"/>
      <c r="N167" s="2"/>
      <c r="O167" s="2"/>
      <c r="P167" s="2"/>
      <c r="Q167" s="2"/>
      <c r="R167" s="2"/>
    </row>
    <row r="168" spans="1:18" x14ac:dyDescent="0.2">
      <c r="A168" s="2"/>
      <c r="B168" s="77"/>
      <c r="C168" s="74"/>
      <c r="D168" s="74"/>
      <c r="E168" s="74"/>
      <c r="F168" s="74"/>
      <c r="G168" s="74"/>
      <c r="H168" s="74"/>
      <c r="I168" s="74"/>
      <c r="J168" s="74"/>
      <c r="K168" s="192"/>
      <c r="L168" s="192"/>
      <c r="M168" s="75"/>
      <c r="N168" s="2"/>
      <c r="O168" s="2"/>
      <c r="P168" s="2"/>
      <c r="Q168" s="2"/>
      <c r="R168" s="2"/>
    </row>
    <row r="169" spans="1:18" x14ac:dyDescent="0.2">
      <c r="A169" s="2"/>
      <c r="B169" s="77"/>
      <c r="C169" s="74"/>
      <c r="D169" s="74"/>
      <c r="E169" s="74"/>
      <c r="F169" s="74"/>
      <c r="G169" s="74"/>
      <c r="H169" s="74"/>
      <c r="I169" s="74"/>
      <c r="J169" s="74"/>
      <c r="K169" s="192"/>
      <c r="L169" s="192"/>
      <c r="M169" s="75"/>
      <c r="N169" s="2"/>
      <c r="O169" s="2"/>
      <c r="P169" s="2"/>
      <c r="Q169" s="2"/>
      <c r="R169" s="2"/>
    </row>
    <row r="170" spans="1:18" x14ac:dyDescent="0.2">
      <c r="A170" s="2"/>
      <c r="B170" s="77"/>
      <c r="C170" s="74"/>
      <c r="D170" s="74"/>
      <c r="E170" s="74"/>
      <c r="F170" s="74"/>
      <c r="G170" s="74"/>
      <c r="H170" s="74"/>
      <c r="I170" s="74"/>
      <c r="J170" s="74"/>
      <c r="K170" s="192"/>
      <c r="L170" s="192"/>
      <c r="M170" s="75"/>
      <c r="N170" s="2"/>
      <c r="O170" s="2"/>
      <c r="P170" s="2"/>
      <c r="Q170" s="2"/>
      <c r="R170" s="2"/>
    </row>
    <row r="171" spans="1:18" x14ac:dyDescent="0.2">
      <c r="A171" s="2"/>
      <c r="B171" s="77"/>
      <c r="C171" s="74"/>
      <c r="D171" s="74"/>
      <c r="E171" s="74"/>
      <c r="F171" s="74"/>
      <c r="G171" s="74"/>
      <c r="H171" s="74"/>
      <c r="I171" s="74"/>
      <c r="J171" s="74"/>
      <c r="K171" s="192"/>
      <c r="L171" s="192"/>
      <c r="M171" s="75"/>
      <c r="N171" s="2"/>
      <c r="O171" s="2"/>
      <c r="P171" s="2"/>
      <c r="Q171" s="2"/>
      <c r="R171" s="2"/>
    </row>
    <row r="172" spans="1:18" x14ac:dyDescent="0.2">
      <c r="A172" s="2"/>
      <c r="B172" s="77"/>
      <c r="C172" s="74"/>
      <c r="D172" s="74"/>
      <c r="E172" s="74"/>
      <c r="F172" s="74"/>
      <c r="G172" s="74"/>
      <c r="H172" s="74"/>
      <c r="I172" s="74"/>
      <c r="J172" s="74"/>
      <c r="K172" s="192"/>
      <c r="L172" s="192"/>
      <c r="M172" s="75"/>
      <c r="N172" s="2"/>
      <c r="O172" s="2"/>
      <c r="P172" s="2"/>
      <c r="Q172" s="2"/>
      <c r="R172" s="2"/>
    </row>
    <row r="173" spans="1:18" x14ac:dyDescent="0.2">
      <c r="A173" s="2"/>
      <c r="B173" s="2"/>
      <c r="C173" s="74"/>
      <c r="D173" s="74"/>
      <c r="E173" s="74"/>
      <c r="F173" s="74"/>
      <c r="G173" s="74"/>
      <c r="H173" s="74"/>
      <c r="I173" s="74"/>
      <c r="J173" s="74"/>
      <c r="K173" s="192"/>
      <c r="L173" s="192"/>
      <c r="M173" s="75"/>
      <c r="N173" s="2"/>
      <c r="O173" s="2"/>
      <c r="P173" s="2"/>
      <c r="Q173" s="2"/>
      <c r="R173" s="2"/>
    </row>
    <row r="174" spans="1:18" ht="15.75" x14ac:dyDescent="0.25">
      <c r="A174" s="76"/>
      <c r="B174" s="2"/>
      <c r="C174" s="74"/>
      <c r="D174" s="74"/>
      <c r="E174" s="74"/>
      <c r="F174" s="74"/>
      <c r="G174" s="74"/>
      <c r="H174" s="74"/>
      <c r="I174" s="74"/>
      <c r="J174" s="74"/>
      <c r="K174" s="192"/>
      <c r="L174" s="192"/>
      <c r="M174" s="75"/>
      <c r="N174" s="2"/>
      <c r="O174" s="2"/>
      <c r="P174" s="2"/>
      <c r="Q174" s="2"/>
      <c r="R174" s="2"/>
    </row>
    <row r="175" spans="1:18" x14ac:dyDescent="0.2">
      <c r="A175" s="2"/>
      <c r="B175" s="2"/>
      <c r="C175" s="74"/>
      <c r="D175" s="74"/>
      <c r="E175" s="74"/>
      <c r="F175" s="74"/>
      <c r="G175" s="74"/>
      <c r="H175" s="74"/>
      <c r="I175" s="74"/>
      <c r="J175" s="74"/>
      <c r="K175" s="192"/>
      <c r="L175" s="192"/>
      <c r="M175" s="75"/>
      <c r="N175" s="2"/>
      <c r="O175" s="2"/>
      <c r="P175" s="2"/>
      <c r="Q175" s="2"/>
      <c r="R175" s="2"/>
    </row>
    <row r="176" spans="1:18" x14ac:dyDescent="0.2">
      <c r="A176" s="2"/>
      <c r="B176" s="2"/>
      <c r="C176" s="74"/>
      <c r="D176" s="74"/>
      <c r="E176" s="74"/>
      <c r="F176" s="74"/>
      <c r="G176" s="74"/>
      <c r="H176" s="74"/>
      <c r="I176" s="74"/>
      <c r="J176" s="74"/>
      <c r="K176" s="192"/>
      <c r="L176" s="192"/>
      <c r="M176" s="75"/>
      <c r="N176" s="2"/>
      <c r="O176" s="2"/>
      <c r="P176" s="2"/>
      <c r="Q176" s="2"/>
      <c r="R176" s="2"/>
    </row>
    <row r="177" spans="1:18" ht="15.75" x14ac:dyDescent="0.25">
      <c r="A177" s="76"/>
      <c r="B177" s="2"/>
      <c r="C177" s="74"/>
      <c r="D177" s="74"/>
      <c r="E177" s="74"/>
      <c r="F177" s="74"/>
      <c r="G177" s="74"/>
      <c r="H177" s="74"/>
      <c r="I177" s="74"/>
      <c r="J177" s="74"/>
      <c r="K177" s="192"/>
      <c r="L177" s="192"/>
      <c r="M177" s="75"/>
      <c r="N177" s="2"/>
      <c r="O177" s="2"/>
      <c r="P177" s="2"/>
      <c r="Q177" s="2"/>
      <c r="R177" s="2"/>
    </row>
    <row r="178" spans="1:18" ht="15.75" x14ac:dyDescent="0.25">
      <c r="A178" s="76"/>
      <c r="B178" s="2"/>
      <c r="C178" s="74"/>
      <c r="D178" s="74"/>
      <c r="E178" s="74"/>
      <c r="F178" s="74"/>
      <c r="G178" s="74"/>
      <c r="H178" s="74"/>
      <c r="I178" s="74"/>
      <c r="J178" s="74"/>
      <c r="K178" s="192"/>
      <c r="L178" s="192"/>
      <c r="M178" s="75"/>
      <c r="N178" s="2"/>
      <c r="O178" s="2"/>
      <c r="P178" s="2"/>
      <c r="Q178" s="2"/>
      <c r="R178" s="2"/>
    </row>
    <row r="179" spans="1:18" ht="15.75" x14ac:dyDescent="0.25">
      <c r="A179" s="76"/>
      <c r="B179" s="77"/>
      <c r="C179" s="74"/>
      <c r="D179" s="74"/>
      <c r="E179" s="74"/>
      <c r="F179" s="74"/>
      <c r="G179" s="74"/>
      <c r="H179" s="74"/>
      <c r="I179" s="74"/>
      <c r="J179" s="74"/>
      <c r="K179" s="192"/>
      <c r="L179" s="192"/>
      <c r="M179" s="75"/>
      <c r="N179" s="2"/>
      <c r="O179" s="2"/>
      <c r="P179" s="2"/>
      <c r="Q179" s="2"/>
      <c r="R179" s="2"/>
    </row>
    <row r="180" spans="1:18" x14ac:dyDescent="0.2">
      <c r="A180" s="2"/>
      <c r="B180" s="77"/>
      <c r="C180" s="74"/>
      <c r="D180" s="74"/>
      <c r="E180" s="74"/>
      <c r="F180" s="74"/>
      <c r="G180" s="74"/>
      <c r="H180" s="74"/>
      <c r="I180" s="74"/>
      <c r="J180" s="74"/>
      <c r="K180" s="192"/>
      <c r="L180" s="192"/>
      <c r="M180" s="75"/>
      <c r="N180" s="2"/>
      <c r="O180" s="2"/>
      <c r="P180" s="2"/>
      <c r="Q180" s="2"/>
      <c r="R180" s="2"/>
    </row>
    <row r="181" spans="1:18" x14ac:dyDescent="0.2">
      <c r="A181" s="2"/>
      <c r="B181" s="77"/>
      <c r="C181" s="74"/>
      <c r="D181" s="74"/>
      <c r="E181" s="74"/>
      <c r="F181" s="74"/>
      <c r="G181" s="74"/>
      <c r="H181" s="74"/>
      <c r="I181" s="74"/>
      <c r="J181" s="74"/>
      <c r="K181" s="192"/>
      <c r="L181" s="192"/>
      <c r="M181" s="75"/>
      <c r="N181" s="2"/>
      <c r="O181" s="2"/>
      <c r="P181" s="2"/>
      <c r="Q181" s="2"/>
      <c r="R181" s="2"/>
    </row>
    <row r="182" spans="1:18" x14ac:dyDescent="0.2">
      <c r="A182" s="2"/>
      <c r="B182" s="77"/>
      <c r="C182" s="74"/>
      <c r="D182" s="74"/>
      <c r="E182" s="74"/>
      <c r="F182" s="74"/>
      <c r="G182" s="74"/>
      <c r="H182" s="74"/>
      <c r="I182" s="74"/>
      <c r="J182" s="74"/>
      <c r="K182" s="192"/>
      <c r="L182" s="192"/>
      <c r="M182" s="75"/>
      <c r="N182" s="2"/>
      <c r="O182" s="2"/>
      <c r="P182" s="2"/>
      <c r="Q182" s="2"/>
      <c r="R182" s="2"/>
    </row>
    <row r="183" spans="1:18" x14ac:dyDescent="0.2">
      <c r="A183" s="2"/>
      <c r="B183" s="77"/>
      <c r="C183" s="74"/>
      <c r="D183" s="74"/>
      <c r="E183" s="74"/>
      <c r="F183" s="74"/>
      <c r="G183" s="74"/>
      <c r="H183" s="74"/>
      <c r="I183" s="74"/>
      <c r="J183" s="74"/>
      <c r="K183" s="192"/>
      <c r="L183" s="192"/>
      <c r="M183" s="75"/>
      <c r="N183" s="2"/>
      <c r="O183" s="2"/>
      <c r="P183" s="2"/>
      <c r="Q183" s="2"/>
      <c r="R183" s="2"/>
    </row>
    <row r="184" spans="1:18" x14ac:dyDescent="0.2">
      <c r="A184" s="2"/>
      <c r="B184" s="77"/>
      <c r="C184" s="74"/>
      <c r="D184" s="74"/>
      <c r="E184" s="74"/>
      <c r="F184" s="74"/>
      <c r="G184" s="74"/>
      <c r="H184" s="74"/>
      <c r="I184" s="74"/>
      <c r="J184" s="74"/>
      <c r="K184" s="192"/>
      <c r="L184" s="192"/>
      <c r="M184" s="75"/>
      <c r="N184" s="2"/>
      <c r="O184" s="2"/>
      <c r="P184" s="2"/>
      <c r="Q184" s="2"/>
      <c r="R184" s="2"/>
    </row>
    <row r="185" spans="1:18" x14ac:dyDescent="0.2">
      <c r="A185" s="2"/>
      <c r="B185" s="77"/>
      <c r="C185" s="74"/>
      <c r="D185" s="74"/>
      <c r="E185" s="74"/>
      <c r="F185" s="74"/>
      <c r="G185" s="74"/>
      <c r="H185" s="74"/>
      <c r="I185" s="74"/>
      <c r="J185" s="74"/>
      <c r="K185" s="192"/>
      <c r="L185" s="192"/>
      <c r="M185" s="75"/>
      <c r="N185" s="2"/>
      <c r="O185" s="2"/>
      <c r="P185" s="2"/>
      <c r="Q185" s="2"/>
      <c r="R185" s="2"/>
    </row>
    <row r="186" spans="1:18" x14ac:dyDescent="0.2">
      <c r="A186" s="2"/>
      <c r="B186" s="77"/>
      <c r="C186" s="74"/>
      <c r="D186" s="74"/>
      <c r="E186" s="74"/>
      <c r="F186" s="74"/>
      <c r="G186" s="74"/>
      <c r="H186" s="74"/>
      <c r="I186" s="74"/>
      <c r="J186" s="74"/>
      <c r="K186" s="192"/>
      <c r="L186" s="192"/>
      <c r="M186" s="75"/>
      <c r="N186" s="2"/>
      <c r="O186" s="2"/>
      <c r="P186" s="2"/>
      <c r="Q186" s="2"/>
      <c r="R186" s="2"/>
    </row>
    <row r="187" spans="1:18" x14ac:dyDescent="0.2">
      <c r="A187" s="2"/>
      <c r="B187" s="77"/>
      <c r="C187" s="74"/>
      <c r="D187" s="74"/>
      <c r="E187" s="74"/>
      <c r="F187" s="74"/>
      <c r="G187" s="74"/>
      <c r="H187" s="74"/>
      <c r="I187" s="74"/>
      <c r="J187" s="74"/>
      <c r="K187" s="192"/>
      <c r="L187" s="192"/>
      <c r="M187" s="75"/>
      <c r="N187" s="2"/>
      <c r="O187" s="2"/>
      <c r="P187" s="2"/>
      <c r="Q187" s="2"/>
      <c r="R187" s="2"/>
    </row>
    <row r="188" spans="1:18" x14ac:dyDescent="0.2">
      <c r="A188" s="2"/>
      <c r="B188" s="77"/>
      <c r="C188" s="74"/>
      <c r="D188" s="74"/>
      <c r="E188" s="74"/>
      <c r="F188" s="74"/>
      <c r="G188" s="74"/>
      <c r="H188" s="74"/>
      <c r="I188" s="74"/>
      <c r="J188" s="74"/>
      <c r="K188" s="192"/>
      <c r="L188" s="192"/>
      <c r="M188" s="75"/>
      <c r="N188" s="2"/>
      <c r="O188" s="2"/>
      <c r="P188" s="2"/>
      <c r="Q188" s="2"/>
      <c r="R188" s="2"/>
    </row>
    <row r="189" spans="1:18" x14ac:dyDescent="0.2">
      <c r="A189" s="2"/>
      <c r="B189" s="77"/>
      <c r="C189" s="74"/>
      <c r="D189" s="74"/>
      <c r="E189" s="74"/>
      <c r="F189" s="74"/>
      <c r="G189" s="74"/>
      <c r="H189" s="74"/>
      <c r="I189" s="74"/>
      <c r="J189" s="74"/>
      <c r="K189" s="192"/>
      <c r="L189" s="192"/>
      <c r="M189" s="75"/>
      <c r="N189" s="2"/>
      <c r="O189" s="2"/>
      <c r="P189" s="2"/>
      <c r="Q189" s="2"/>
      <c r="R189" s="2"/>
    </row>
    <row r="190" spans="1:18" x14ac:dyDescent="0.2">
      <c r="A190" s="2"/>
      <c r="B190" s="77"/>
      <c r="C190" s="74"/>
      <c r="D190" s="74"/>
      <c r="E190" s="74"/>
      <c r="F190" s="74"/>
      <c r="G190" s="74"/>
      <c r="H190" s="74"/>
      <c r="I190" s="74"/>
      <c r="J190" s="74"/>
      <c r="K190" s="192"/>
      <c r="L190" s="192"/>
      <c r="M190" s="75"/>
      <c r="N190" s="2"/>
      <c r="O190" s="2"/>
      <c r="P190" s="2"/>
      <c r="Q190" s="2"/>
      <c r="R190" s="2"/>
    </row>
    <row r="191" spans="1:18" x14ac:dyDescent="0.2">
      <c r="A191" s="2"/>
      <c r="B191" s="2"/>
      <c r="C191" s="74"/>
      <c r="D191" s="74"/>
      <c r="E191" s="74"/>
      <c r="F191" s="74"/>
      <c r="G191" s="74"/>
      <c r="H191" s="74"/>
      <c r="I191" s="74"/>
      <c r="J191" s="74"/>
      <c r="K191" s="192"/>
      <c r="L191" s="192"/>
      <c r="M191" s="75"/>
      <c r="N191" s="2"/>
      <c r="O191" s="2"/>
      <c r="P191" s="2"/>
      <c r="Q191" s="2"/>
      <c r="R191" s="2"/>
    </row>
    <row r="192" spans="1:18" ht="15.75" x14ac:dyDescent="0.25">
      <c r="A192" s="76"/>
      <c r="B192" s="2"/>
      <c r="C192" s="74"/>
      <c r="D192" s="74"/>
      <c r="E192" s="74"/>
      <c r="F192" s="74"/>
      <c r="G192" s="74"/>
      <c r="H192" s="74"/>
      <c r="I192" s="74"/>
      <c r="J192" s="74"/>
      <c r="K192" s="192"/>
      <c r="L192" s="192"/>
      <c r="M192" s="75"/>
      <c r="N192" s="2"/>
      <c r="O192" s="2"/>
      <c r="P192" s="2"/>
      <c r="Q192" s="2"/>
      <c r="R192" s="2"/>
    </row>
    <row r="193" spans="1:18" x14ac:dyDescent="0.2">
      <c r="A193" s="2"/>
      <c r="B193" s="2"/>
      <c r="C193" s="74"/>
      <c r="D193" s="74"/>
      <c r="E193" s="74"/>
      <c r="F193" s="74"/>
      <c r="G193" s="74"/>
      <c r="H193" s="74"/>
      <c r="I193" s="74"/>
      <c r="J193" s="74"/>
      <c r="K193" s="192"/>
      <c r="L193" s="192"/>
      <c r="M193" s="75"/>
      <c r="N193" s="2"/>
      <c r="O193" s="2"/>
      <c r="P193" s="2"/>
      <c r="Q193" s="2"/>
      <c r="R193" s="2"/>
    </row>
    <row r="194" spans="1:18" x14ac:dyDescent="0.2">
      <c r="A194" s="2"/>
      <c r="B194" s="2"/>
      <c r="C194" s="74"/>
      <c r="D194" s="74"/>
      <c r="E194" s="74"/>
      <c r="F194" s="74"/>
      <c r="G194" s="74"/>
      <c r="H194" s="74"/>
      <c r="I194" s="74"/>
      <c r="J194" s="74"/>
      <c r="K194" s="192"/>
      <c r="L194" s="192"/>
      <c r="M194" s="75"/>
      <c r="N194" s="2"/>
      <c r="O194" s="2"/>
      <c r="P194" s="2"/>
      <c r="Q194" s="2"/>
      <c r="R194" s="2"/>
    </row>
    <row r="195" spans="1:18" ht="15.75" x14ac:dyDescent="0.25">
      <c r="A195" s="76"/>
      <c r="B195" s="77"/>
      <c r="C195" s="74"/>
      <c r="D195" s="74"/>
      <c r="E195" s="74"/>
      <c r="F195" s="74"/>
      <c r="G195" s="74"/>
      <c r="H195" s="74"/>
      <c r="I195" s="74"/>
      <c r="J195" s="74"/>
      <c r="K195" s="192"/>
      <c r="L195" s="192"/>
      <c r="M195" s="75"/>
      <c r="N195" s="2"/>
      <c r="O195" s="2"/>
      <c r="P195" s="2"/>
      <c r="Q195" s="2"/>
      <c r="R195" s="2"/>
    </row>
    <row r="196" spans="1:18" x14ac:dyDescent="0.2">
      <c r="A196" s="2"/>
      <c r="B196" s="77"/>
      <c r="C196" s="74"/>
      <c r="D196" s="74"/>
      <c r="E196" s="74"/>
      <c r="F196" s="74"/>
      <c r="G196" s="74"/>
      <c r="H196" s="74"/>
      <c r="I196" s="74"/>
      <c r="J196" s="74"/>
      <c r="K196" s="192"/>
      <c r="L196" s="192"/>
      <c r="M196" s="75"/>
      <c r="N196" s="2"/>
      <c r="O196" s="2"/>
      <c r="P196" s="2"/>
      <c r="Q196" s="2"/>
      <c r="R196" s="2"/>
    </row>
    <row r="197" spans="1:18" x14ac:dyDescent="0.2">
      <c r="A197" s="2"/>
      <c r="B197" s="77"/>
      <c r="C197" s="74"/>
      <c r="D197" s="74"/>
      <c r="E197" s="74"/>
      <c r="F197" s="74"/>
      <c r="G197" s="74"/>
      <c r="H197" s="74"/>
      <c r="I197" s="74"/>
      <c r="J197" s="74"/>
      <c r="K197" s="192"/>
      <c r="L197" s="192"/>
      <c r="M197" s="75"/>
      <c r="N197" s="2"/>
      <c r="O197" s="2"/>
      <c r="P197" s="2"/>
      <c r="Q197" s="2"/>
      <c r="R197" s="2"/>
    </row>
    <row r="198" spans="1:18" x14ac:dyDescent="0.2">
      <c r="A198" s="2"/>
      <c r="B198" s="2"/>
      <c r="C198" s="74"/>
      <c r="D198" s="74"/>
      <c r="E198" s="74"/>
      <c r="F198" s="74"/>
      <c r="G198" s="74"/>
      <c r="H198" s="74"/>
      <c r="I198" s="74"/>
      <c r="J198" s="74"/>
      <c r="K198" s="192"/>
      <c r="L198" s="192"/>
      <c r="M198" s="75"/>
      <c r="N198" s="2"/>
      <c r="O198" s="2"/>
      <c r="P198" s="2"/>
      <c r="Q198" s="2"/>
      <c r="R198" s="2"/>
    </row>
    <row r="199" spans="1:18" x14ac:dyDescent="0.2">
      <c r="A199" s="2"/>
      <c r="B199" s="2"/>
      <c r="C199" s="74"/>
      <c r="D199" s="74"/>
      <c r="E199" s="74"/>
      <c r="F199" s="74"/>
      <c r="G199" s="74"/>
      <c r="H199" s="74"/>
      <c r="I199" s="74"/>
      <c r="J199" s="74"/>
      <c r="K199" s="192"/>
      <c r="L199" s="192"/>
      <c r="M199" s="75"/>
      <c r="N199" s="2"/>
      <c r="O199" s="2"/>
      <c r="P199" s="2"/>
      <c r="Q199" s="2"/>
      <c r="R199" s="2"/>
    </row>
    <row r="200" spans="1:18" x14ac:dyDescent="0.2">
      <c r="A200" s="2"/>
      <c r="B200" s="2"/>
      <c r="C200" s="74"/>
      <c r="D200" s="74"/>
      <c r="E200" s="74"/>
      <c r="F200" s="74"/>
      <c r="G200" s="74"/>
      <c r="H200" s="74"/>
      <c r="I200" s="74"/>
      <c r="J200" s="74"/>
      <c r="K200" s="192"/>
      <c r="L200" s="192"/>
      <c r="M200" s="75"/>
      <c r="N200" s="2"/>
      <c r="O200" s="2"/>
      <c r="P200" s="2"/>
      <c r="Q200" s="2"/>
      <c r="R200" s="2"/>
    </row>
    <row r="201" spans="1:18" ht="15.75" x14ac:dyDescent="0.25">
      <c r="A201" s="76"/>
      <c r="B201" s="2"/>
      <c r="C201" s="74"/>
      <c r="D201" s="74"/>
      <c r="E201" s="74"/>
      <c r="F201" s="74"/>
      <c r="G201" s="74"/>
      <c r="H201" s="74"/>
      <c r="I201" s="74"/>
      <c r="J201" s="74"/>
      <c r="K201" s="192"/>
      <c r="L201" s="192"/>
      <c r="M201" s="75"/>
      <c r="N201" s="2"/>
      <c r="O201" s="2"/>
      <c r="P201" s="2"/>
      <c r="Q201" s="2"/>
      <c r="R201" s="2"/>
    </row>
    <row r="202" spans="1:18" x14ac:dyDescent="0.2">
      <c r="A202" s="2"/>
      <c r="B202" s="2"/>
      <c r="C202" s="74"/>
      <c r="D202" s="74"/>
      <c r="E202" s="74"/>
      <c r="F202" s="74"/>
      <c r="G202" s="74"/>
      <c r="H202" s="74"/>
      <c r="I202" s="74"/>
      <c r="J202" s="74"/>
      <c r="K202" s="192"/>
      <c r="L202" s="192"/>
      <c r="M202" s="75"/>
      <c r="N202" s="2"/>
      <c r="O202" s="2"/>
      <c r="P202" s="2"/>
      <c r="Q202" s="2"/>
      <c r="R202" s="2"/>
    </row>
    <row r="203" spans="1:18" x14ac:dyDescent="0.2">
      <c r="A203" s="2"/>
      <c r="B203" s="2"/>
      <c r="C203" s="74"/>
      <c r="D203" s="74"/>
      <c r="E203" s="74"/>
      <c r="F203" s="74"/>
      <c r="G203" s="74"/>
      <c r="H203" s="74"/>
      <c r="I203" s="74"/>
      <c r="J203" s="74"/>
      <c r="K203" s="192"/>
      <c r="L203" s="192"/>
      <c r="M203" s="75"/>
      <c r="N203" s="2"/>
      <c r="O203" s="2"/>
      <c r="P203" s="2"/>
      <c r="Q203" s="2"/>
      <c r="R203" s="2"/>
    </row>
    <row r="204" spans="1:18" ht="15.75" x14ac:dyDescent="0.25">
      <c r="A204" s="76"/>
      <c r="B204" s="76"/>
      <c r="C204" s="74"/>
      <c r="D204" s="74"/>
      <c r="E204" s="74"/>
      <c r="F204" s="74"/>
      <c r="G204" s="74"/>
      <c r="H204" s="74"/>
      <c r="I204" s="74"/>
      <c r="J204" s="74"/>
      <c r="K204" s="192"/>
      <c r="L204" s="192"/>
      <c r="M204" s="75"/>
      <c r="N204" s="2"/>
      <c r="O204" s="2"/>
      <c r="P204" s="2"/>
      <c r="Q204" s="2"/>
      <c r="R204" s="2"/>
    </row>
    <row r="205" spans="1:18" x14ac:dyDescent="0.2">
      <c r="A205" s="2"/>
      <c r="B205" s="2"/>
      <c r="C205" s="74"/>
      <c r="D205" s="74"/>
      <c r="E205" s="74"/>
      <c r="F205" s="74"/>
      <c r="G205" s="74"/>
      <c r="H205" s="74"/>
      <c r="I205" s="74"/>
      <c r="J205" s="74"/>
      <c r="K205" s="192"/>
      <c r="L205" s="192"/>
      <c r="M205" s="75"/>
      <c r="N205" s="2"/>
      <c r="O205" s="2"/>
      <c r="P205" s="2"/>
      <c r="Q205" s="2"/>
      <c r="R205" s="2"/>
    </row>
    <row r="206" spans="1:18" x14ac:dyDescent="0.2">
      <c r="A206" s="2"/>
      <c r="B206" s="2"/>
      <c r="C206" s="74"/>
      <c r="D206" s="74"/>
      <c r="E206" s="74"/>
      <c r="F206" s="74"/>
      <c r="G206" s="74"/>
      <c r="H206" s="74"/>
      <c r="I206" s="74"/>
      <c r="J206" s="74"/>
      <c r="K206" s="192"/>
      <c r="L206" s="192"/>
      <c r="M206" s="75"/>
      <c r="N206" s="2"/>
      <c r="O206" s="2"/>
      <c r="P206" s="2"/>
      <c r="Q206" s="2"/>
      <c r="R206" s="2"/>
    </row>
    <row r="207" spans="1:18" x14ac:dyDescent="0.2">
      <c r="A207" s="2"/>
      <c r="B207" s="2"/>
      <c r="C207" s="74"/>
      <c r="D207" s="74"/>
      <c r="E207" s="74"/>
      <c r="F207" s="74"/>
      <c r="G207" s="74"/>
      <c r="H207" s="74"/>
      <c r="I207" s="74"/>
      <c r="J207" s="74"/>
      <c r="K207" s="192"/>
      <c r="L207" s="192"/>
      <c r="M207" s="75"/>
      <c r="N207" s="2"/>
      <c r="O207" s="2"/>
      <c r="P207" s="2"/>
      <c r="Q207" s="2"/>
      <c r="R207" s="2"/>
    </row>
    <row r="208" spans="1:18" x14ac:dyDescent="0.2">
      <c r="A208" s="2"/>
      <c r="B208" s="2"/>
      <c r="C208" s="74"/>
      <c r="D208" s="74"/>
      <c r="E208" s="74"/>
      <c r="F208" s="74"/>
      <c r="G208" s="74"/>
      <c r="H208" s="74"/>
      <c r="I208" s="74"/>
      <c r="J208" s="74"/>
      <c r="K208" s="192"/>
      <c r="L208" s="192"/>
      <c r="M208" s="75"/>
      <c r="N208" s="2"/>
      <c r="O208" s="2"/>
      <c r="P208" s="2"/>
      <c r="Q208" s="2"/>
      <c r="R208" s="2"/>
    </row>
    <row r="209" spans="1:18" x14ac:dyDescent="0.2">
      <c r="A209" s="2"/>
      <c r="B209" s="2"/>
      <c r="C209" s="74"/>
      <c r="D209" s="74"/>
      <c r="E209" s="74"/>
      <c r="F209" s="74"/>
      <c r="G209" s="74"/>
      <c r="H209" s="74"/>
      <c r="I209" s="74"/>
      <c r="J209" s="74"/>
      <c r="K209" s="192"/>
      <c r="L209" s="192"/>
      <c r="M209" s="75"/>
      <c r="N209" s="2"/>
      <c r="O209" s="2"/>
      <c r="P209" s="2"/>
      <c r="Q209" s="2"/>
      <c r="R209" s="2"/>
    </row>
    <row r="210" spans="1:18" x14ac:dyDescent="0.2">
      <c r="A210" s="2"/>
      <c r="B210" s="2"/>
      <c r="C210" s="74"/>
      <c r="D210" s="74"/>
      <c r="E210" s="74"/>
      <c r="F210" s="74"/>
      <c r="G210" s="74"/>
      <c r="H210" s="74"/>
      <c r="I210" s="74"/>
      <c r="J210" s="74"/>
      <c r="K210" s="192"/>
      <c r="L210" s="192"/>
      <c r="M210" s="75"/>
      <c r="N210" s="2"/>
      <c r="O210" s="2"/>
      <c r="P210" s="2"/>
      <c r="Q210" s="2"/>
      <c r="R210" s="2"/>
    </row>
    <row r="211" spans="1:18" x14ac:dyDescent="0.2">
      <c r="A211" s="2"/>
      <c r="B211" s="2"/>
      <c r="C211" s="74"/>
      <c r="D211" s="74"/>
      <c r="E211" s="74"/>
      <c r="F211" s="74"/>
      <c r="G211" s="74"/>
      <c r="H211" s="74"/>
      <c r="I211" s="74"/>
      <c r="J211" s="74"/>
      <c r="K211" s="192"/>
      <c r="L211" s="192"/>
      <c r="M211" s="75"/>
      <c r="N211" s="2"/>
      <c r="O211" s="2"/>
      <c r="P211" s="2"/>
      <c r="Q211" s="2"/>
      <c r="R211" s="2"/>
    </row>
    <row r="212" spans="1:18" x14ac:dyDescent="0.2">
      <c r="A212" s="2"/>
      <c r="B212" s="2"/>
      <c r="C212" s="74"/>
      <c r="D212" s="74"/>
      <c r="E212" s="74"/>
      <c r="F212" s="74"/>
      <c r="G212" s="74"/>
      <c r="H212" s="74"/>
      <c r="I212" s="74"/>
      <c r="J212" s="74"/>
      <c r="K212" s="192"/>
      <c r="L212" s="192"/>
      <c r="M212" s="75"/>
      <c r="N212" s="2"/>
      <c r="O212" s="2"/>
      <c r="P212" s="2"/>
      <c r="Q212" s="2"/>
      <c r="R212" s="2"/>
    </row>
    <row r="213" spans="1:18" x14ac:dyDescent="0.2">
      <c r="A213" s="2"/>
      <c r="B213" s="2"/>
      <c r="C213" s="74"/>
      <c r="D213" s="74"/>
      <c r="E213" s="74"/>
      <c r="F213" s="74"/>
      <c r="G213" s="74"/>
      <c r="H213" s="74"/>
      <c r="I213" s="74"/>
      <c r="J213" s="74"/>
      <c r="K213" s="192"/>
      <c r="L213" s="192"/>
      <c r="M213" s="75"/>
      <c r="N213" s="2"/>
      <c r="O213" s="2"/>
      <c r="P213" s="2"/>
      <c r="Q213" s="2"/>
      <c r="R213" s="2"/>
    </row>
    <row r="214" spans="1:18" x14ac:dyDescent="0.2">
      <c r="A214" s="2"/>
      <c r="B214" s="2"/>
      <c r="C214" s="74"/>
      <c r="D214" s="74"/>
      <c r="E214" s="74"/>
      <c r="F214" s="74"/>
      <c r="G214" s="74"/>
      <c r="H214" s="74"/>
      <c r="I214" s="74"/>
      <c r="J214" s="74"/>
      <c r="K214" s="192"/>
      <c r="L214" s="192"/>
      <c r="M214" s="75"/>
      <c r="N214" s="2"/>
      <c r="O214" s="2"/>
      <c r="P214" s="2"/>
      <c r="Q214" s="2"/>
      <c r="R214" s="2"/>
    </row>
    <row r="215" spans="1:18" x14ac:dyDescent="0.2">
      <c r="A215" s="2"/>
      <c r="B215" s="2"/>
      <c r="C215" s="74"/>
      <c r="D215" s="74"/>
      <c r="E215" s="74"/>
      <c r="F215" s="74"/>
      <c r="G215" s="74"/>
      <c r="H215" s="74"/>
      <c r="I215" s="74"/>
      <c r="J215" s="74"/>
      <c r="K215" s="192"/>
      <c r="L215" s="192"/>
      <c r="M215" s="75"/>
      <c r="N215" s="2"/>
      <c r="O215" s="2"/>
      <c r="P215" s="2"/>
      <c r="Q215" s="2"/>
      <c r="R215" s="2"/>
    </row>
    <row r="216" spans="1:18" x14ac:dyDescent="0.2">
      <c r="A216" s="2"/>
      <c r="B216" s="2"/>
      <c r="C216" s="74"/>
      <c r="D216" s="74"/>
      <c r="E216" s="74"/>
      <c r="F216" s="74"/>
      <c r="G216" s="74"/>
      <c r="H216" s="74"/>
      <c r="I216" s="74"/>
      <c r="J216" s="74"/>
      <c r="K216" s="192"/>
      <c r="L216" s="192"/>
      <c r="M216" s="75"/>
      <c r="N216" s="2"/>
      <c r="O216" s="2"/>
      <c r="P216" s="2"/>
      <c r="Q216" s="2"/>
      <c r="R216" s="2"/>
    </row>
    <row r="217" spans="1:18" x14ac:dyDescent="0.2">
      <c r="A217" s="2"/>
      <c r="B217" s="2"/>
      <c r="C217" s="74"/>
      <c r="D217" s="74"/>
      <c r="E217" s="74"/>
      <c r="F217" s="74"/>
      <c r="G217" s="74"/>
      <c r="H217" s="74"/>
      <c r="I217" s="74"/>
      <c r="J217" s="74"/>
      <c r="K217" s="192"/>
      <c r="L217" s="192"/>
      <c r="M217" s="75"/>
      <c r="N217" s="2"/>
      <c r="O217" s="2"/>
      <c r="P217" s="2"/>
      <c r="Q217" s="2"/>
      <c r="R217" s="2"/>
    </row>
    <row r="218" spans="1:18" x14ac:dyDescent="0.2">
      <c r="A218" s="2"/>
      <c r="B218" s="2"/>
      <c r="C218" s="74"/>
      <c r="D218" s="74"/>
      <c r="E218" s="74"/>
      <c r="F218" s="74"/>
      <c r="G218" s="74"/>
      <c r="H218" s="74"/>
      <c r="I218" s="74"/>
      <c r="J218" s="74"/>
      <c r="K218" s="192"/>
      <c r="L218" s="192"/>
      <c r="M218" s="75"/>
      <c r="N218" s="2"/>
      <c r="O218" s="2"/>
      <c r="P218" s="2"/>
      <c r="Q218" s="2"/>
      <c r="R218" s="2"/>
    </row>
    <row r="219" spans="1:18" x14ac:dyDescent="0.2">
      <c r="A219" s="2"/>
      <c r="B219" s="2"/>
      <c r="C219" s="74"/>
      <c r="D219" s="74"/>
      <c r="E219" s="74"/>
      <c r="F219" s="74"/>
      <c r="G219" s="74"/>
      <c r="H219" s="74"/>
      <c r="I219" s="74"/>
      <c r="J219" s="74"/>
      <c r="K219" s="192"/>
      <c r="L219" s="192"/>
      <c r="M219" s="75"/>
      <c r="N219" s="2"/>
      <c r="O219" s="2"/>
      <c r="P219" s="2"/>
      <c r="Q219" s="2"/>
      <c r="R219" s="2"/>
    </row>
    <row r="220" spans="1:18" x14ac:dyDescent="0.2">
      <c r="A220" s="2"/>
      <c r="B220" s="2"/>
      <c r="C220" s="74"/>
      <c r="D220" s="74"/>
      <c r="E220" s="74"/>
      <c r="F220" s="74"/>
      <c r="G220" s="74"/>
      <c r="H220" s="74"/>
      <c r="I220" s="74"/>
      <c r="J220" s="74"/>
      <c r="K220" s="192"/>
      <c r="L220" s="192"/>
      <c r="M220" s="75"/>
      <c r="N220" s="2"/>
      <c r="O220" s="2"/>
      <c r="P220" s="2"/>
      <c r="Q220" s="2"/>
      <c r="R220" s="2"/>
    </row>
    <row r="221" spans="1:18" x14ac:dyDescent="0.2">
      <c r="A221" s="2"/>
      <c r="B221" s="2"/>
      <c r="C221" s="74"/>
      <c r="D221" s="74"/>
      <c r="E221" s="74"/>
      <c r="F221" s="74"/>
      <c r="G221" s="74"/>
      <c r="H221" s="74"/>
      <c r="I221" s="74"/>
      <c r="J221" s="74"/>
      <c r="K221" s="192"/>
      <c r="L221" s="192"/>
      <c r="M221" s="75"/>
      <c r="N221" s="2"/>
      <c r="O221" s="2"/>
      <c r="P221" s="2"/>
      <c r="Q221" s="2"/>
      <c r="R221" s="2"/>
    </row>
    <row r="222" spans="1:18" x14ac:dyDescent="0.2">
      <c r="A222" s="2"/>
      <c r="B222" s="2"/>
      <c r="C222" s="74"/>
      <c r="D222" s="74"/>
      <c r="E222" s="74"/>
      <c r="F222" s="74"/>
      <c r="G222" s="74"/>
      <c r="H222" s="74"/>
      <c r="I222" s="74"/>
      <c r="J222" s="74"/>
      <c r="K222" s="192"/>
      <c r="L222" s="192"/>
      <c r="M222" s="75"/>
      <c r="N222" s="2"/>
      <c r="O222" s="2"/>
      <c r="P222" s="2"/>
      <c r="Q222" s="2"/>
      <c r="R222" s="2"/>
    </row>
    <row r="223" spans="1:18" x14ac:dyDescent="0.2">
      <c r="A223" s="2"/>
      <c r="B223" s="2"/>
      <c r="C223" s="74"/>
      <c r="D223" s="74"/>
      <c r="E223" s="74"/>
      <c r="F223" s="74"/>
      <c r="G223" s="74"/>
      <c r="H223" s="74"/>
      <c r="I223" s="74"/>
      <c r="J223" s="74"/>
      <c r="K223" s="192"/>
      <c r="L223" s="192"/>
      <c r="M223" s="75"/>
      <c r="N223" s="2"/>
      <c r="O223" s="2"/>
      <c r="P223" s="2"/>
      <c r="Q223" s="2"/>
      <c r="R223" s="2"/>
    </row>
    <row r="224" spans="1:18" x14ac:dyDescent="0.2">
      <c r="A224" s="2"/>
      <c r="B224" s="2"/>
      <c r="C224" s="74"/>
      <c r="D224" s="74"/>
      <c r="E224" s="74"/>
      <c r="F224" s="74"/>
      <c r="G224" s="74"/>
      <c r="H224" s="74"/>
      <c r="I224" s="74"/>
      <c r="J224" s="74"/>
      <c r="K224" s="192"/>
      <c r="L224" s="192"/>
      <c r="M224" s="75"/>
      <c r="N224" s="2"/>
      <c r="O224" s="2"/>
      <c r="P224" s="2"/>
      <c r="Q224" s="2"/>
      <c r="R224" s="2"/>
    </row>
    <row r="225" spans="1:18" x14ac:dyDescent="0.2">
      <c r="A225" s="2"/>
      <c r="B225" s="2"/>
      <c r="C225" s="74"/>
      <c r="D225" s="74"/>
      <c r="E225" s="74"/>
      <c r="F225" s="74"/>
      <c r="G225" s="74"/>
      <c r="H225" s="74"/>
      <c r="I225" s="74"/>
      <c r="J225" s="74"/>
      <c r="K225" s="192"/>
      <c r="L225" s="192"/>
      <c r="M225" s="75"/>
      <c r="N225" s="2"/>
      <c r="O225" s="2"/>
      <c r="P225" s="2"/>
      <c r="Q225" s="2"/>
      <c r="R225" s="2"/>
    </row>
    <row r="226" spans="1:18" x14ac:dyDescent="0.2">
      <c r="A226" s="2"/>
      <c r="B226" s="2"/>
      <c r="C226" s="74"/>
      <c r="D226" s="74"/>
      <c r="E226" s="74"/>
      <c r="F226" s="74"/>
      <c r="G226" s="74"/>
      <c r="H226" s="74"/>
      <c r="I226" s="74"/>
      <c r="J226" s="74"/>
      <c r="K226" s="192"/>
      <c r="L226" s="192"/>
      <c r="M226" s="75"/>
      <c r="N226" s="2"/>
      <c r="O226" s="2"/>
      <c r="P226" s="2"/>
      <c r="Q226" s="2"/>
      <c r="R226" s="2"/>
    </row>
    <row r="227" spans="1:18" x14ac:dyDescent="0.2">
      <c r="A227" s="2"/>
      <c r="B227" s="2"/>
      <c r="C227" s="74"/>
      <c r="D227" s="74"/>
      <c r="E227" s="74"/>
      <c r="F227" s="74"/>
      <c r="G227" s="74"/>
      <c r="H227" s="74"/>
      <c r="I227" s="74"/>
      <c r="J227" s="74"/>
      <c r="K227" s="192"/>
      <c r="L227" s="192"/>
      <c r="M227" s="75"/>
      <c r="N227" s="2"/>
      <c r="O227" s="2"/>
      <c r="P227" s="2"/>
      <c r="Q227" s="2"/>
      <c r="R227" s="2"/>
    </row>
    <row r="228" spans="1:18" x14ac:dyDescent="0.2">
      <c r="A228" s="2"/>
      <c r="B228" s="2"/>
      <c r="C228" s="74"/>
      <c r="D228" s="74"/>
      <c r="E228" s="74"/>
      <c r="F228" s="74"/>
      <c r="G228" s="74"/>
      <c r="H228" s="74"/>
      <c r="I228" s="74"/>
      <c r="J228" s="74"/>
      <c r="K228" s="192"/>
      <c r="L228" s="192"/>
      <c r="M228" s="75"/>
      <c r="N228" s="2"/>
      <c r="O228" s="2"/>
      <c r="P228" s="2"/>
      <c r="Q228" s="2"/>
      <c r="R228" s="2"/>
    </row>
    <row r="229" spans="1:18" x14ac:dyDescent="0.2">
      <c r="A229" s="2"/>
      <c r="B229" s="2"/>
      <c r="C229" s="74"/>
      <c r="D229" s="74"/>
      <c r="E229" s="74"/>
      <c r="F229" s="74"/>
      <c r="G229" s="74"/>
      <c r="H229" s="74"/>
      <c r="I229" s="74"/>
      <c r="J229" s="74"/>
      <c r="K229" s="192"/>
      <c r="L229" s="192"/>
      <c r="M229" s="75"/>
      <c r="N229" s="2"/>
      <c r="O229" s="2"/>
      <c r="P229" s="2"/>
      <c r="Q229" s="2"/>
      <c r="R229" s="2"/>
    </row>
    <row r="230" spans="1:18" x14ac:dyDescent="0.2">
      <c r="A230" s="2"/>
      <c r="B230" s="2"/>
      <c r="C230" s="74"/>
      <c r="D230" s="74"/>
      <c r="E230" s="74"/>
      <c r="F230" s="74"/>
      <c r="G230" s="74"/>
      <c r="H230" s="74"/>
      <c r="I230" s="74"/>
      <c r="J230" s="74"/>
      <c r="K230" s="192"/>
      <c r="L230" s="192"/>
      <c r="M230" s="75"/>
      <c r="N230" s="2"/>
      <c r="O230" s="2"/>
      <c r="P230" s="2"/>
      <c r="Q230" s="2"/>
      <c r="R230" s="2"/>
    </row>
    <row r="231" spans="1:18" x14ac:dyDescent="0.2">
      <c r="A231" s="2"/>
      <c r="B231" s="2"/>
      <c r="C231" s="74"/>
      <c r="D231" s="74"/>
      <c r="E231" s="74"/>
      <c r="F231" s="74"/>
      <c r="G231" s="74"/>
      <c r="H231" s="74"/>
      <c r="I231" s="74"/>
      <c r="J231" s="74"/>
      <c r="K231" s="192"/>
      <c r="L231" s="192"/>
      <c r="M231" s="75"/>
      <c r="N231" s="2"/>
      <c r="O231" s="2"/>
      <c r="P231" s="2"/>
      <c r="Q231" s="2"/>
      <c r="R231" s="2"/>
    </row>
    <row r="232" spans="1:18" x14ac:dyDescent="0.2">
      <c r="A232" s="2"/>
      <c r="B232" s="2"/>
      <c r="C232" s="74"/>
      <c r="D232" s="74"/>
      <c r="E232" s="74"/>
      <c r="F232" s="74"/>
      <c r="G232" s="74"/>
      <c r="H232" s="74"/>
      <c r="I232" s="74"/>
      <c r="J232" s="74"/>
      <c r="K232" s="192"/>
      <c r="L232" s="192"/>
      <c r="M232" s="75"/>
      <c r="N232" s="2"/>
      <c r="O232" s="2"/>
      <c r="P232" s="2"/>
      <c r="Q232" s="2"/>
      <c r="R232" s="2"/>
    </row>
    <row r="233" spans="1:18" x14ac:dyDescent="0.2">
      <c r="A233" s="2"/>
      <c r="B233" s="2"/>
      <c r="C233" s="74"/>
      <c r="D233" s="74"/>
      <c r="E233" s="74"/>
      <c r="F233" s="74"/>
      <c r="G233" s="74"/>
      <c r="H233" s="74"/>
      <c r="I233" s="74"/>
      <c r="J233" s="74"/>
      <c r="K233" s="192"/>
      <c r="L233" s="192"/>
      <c r="M233" s="75"/>
      <c r="N233" s="2"/>
      <c r="O233" s="2"/>
      <c r="P233" s="2"/>
      <c r="Q233" s="2"/>
      <c r="R233" s="2"/>
    </row>
    <row r="234" spans="1:18" x14ac:dyDescent="0.2">
      <c r="A234" s="2"/>
      <c r="B234" s="2"/>
      <c r="C234" s="74"/>
      <c r="D234" s="74"/>
      <c r="E234" s="74"/>
      <c r="F234" s="74"/>
      <c r="G234" s="74"/>
      <c r="H234" s="74"/>
      <c r="I234" s="74"/>
      <c r="J234" s="74"/>
      <c r="K234" s="192"/>
      <c r="L234" s="192"/>
      <c r="M234" s="75"/>
      <c r="N234" s="2"/>
      <c r="O234" s="2"/>
      <c r="P234" s="2"/>
      <c r="Q234" s="2"/>
      <c r="R234" s="2"/>
    </row>
    <row r="235" spans="1:18" x14ac:dyDescent="0.2">
      <c r="A235" s="2"/>
      <c r="B235" s="2"/>
      <c r="C235" s="74"/>
      <c r="D235" s="74"/>
      <c r="E235" s="74"/>
      <c r="F235" s="74"/>
      <c r="G235" s="74"/>
      <c r="H235" s="74"/>
      <c r="I235" s="74"/>
      <c r="J235" s="74"/>
      <c r="K235" s="192"/>
      <c r="L235" s="192"/>
      <c r="M235" s="75"/>
      <c r="N235" s="2"/>
      <c r="O235" s="2"/>
      <c r="P235" s="2"/>
      <c r="Q235" s="2"/>
      <c r="R235" s="2"/>
    </row>
    <row r="236" spans="1:18" x14ac:dyDescent="0.2">
      <c r="A236" s="2"/>
      <c r="B236" s="2"/>
      <c r="C236" s="74"/>
      <c r="D236" s="74"/>
      <c r="E236" s="74"/>
      <c r="F236" s="74"/>
      <c r="G236" s="74"/>
      <c r="H236" s="74"/>
      <c r="I236" s="74"/>
      <c r="J236" s="74"/>
      <c r="K236" s="192"/>
      <c r="L236" s="192"/>
      <c r="M236" s="75"/>
      <c r="N236" s="2"/>
      <c r="O236" s="2"/>
      <c r="P236" s="2"/>
      <c r="Q236" s="2"/>
      <c r="R236" s="2"/>
    </row>
    <row r="237" spans="1:18" x14ac:dyDescent="0.2">
      <c r="A237" s="2"/>
      <c r="B237" s="2"/>
      <c r="C237" s="74"/>
      <c r="D237" s="74"/>
      <c r="E237" s="74"/>
      <c r="F237" s="74"/>
      <c r="G237" s="74"/>
      <c r="H237" s="74"/>
      <c r="I237" s="74"/>
      <c r="J237" s="74"/>
      <c r="K237" s="192"/>
      <c r="L237" s="192"/>
      <c r="M237" s="75"/>
      <c r="N237" s="2"/>
      <c r="O237" s="2"/>
      <c r="P237" s="2"/>
      <c r="Q237" s="2"/>
      <c r="R237" s="2"/>
    </row>
    <row r="238" spans="1:18" x14ac:dyDescent="0.2">
      <c r="A238" s="2"/>
      <c r="B238" s="2"/>
      <c r="C238" s="74"/>
      <c r="D238" s="74"/>
      <c r="E238" s="74"/>
      <c r="F238" s="74"/>
      <c r="G238" s="74"/>
      <c r="H238" s="74"/>
      <c r="I238" s="74"/>
      <c r="J238" s="74"/>
      <c r="K238" s="192"/>
      <c r="L238" s="192"/>
      <c r="M238" s="75"/>
      <c r="N238" s="2"/>
      <c r="O238" s="2"/>
      <c r="P238" s="2"/>
      <c r="Q238" s="2"/>
      <c r="R238" s="2"/>
    </row>
    <row r="239" spans="1:18" x14ac:dyDescent="0.2">
      <c r="A239" s="2"/>
      <c r="B239" s="2"/>
      <c r="C239" s="74"/>
      <c r="D239" s="74"/>
      <c r="E239" s="74"/>
      <c r="F239" s="74"/>
      <c r="G239" s="74"/>
      <c r="H239" s="74"/>
      <c r="I239" s="74"/>
      <c r="J239" s="74"/>
      <c r="K239" s="192"/>
      <c r="L239" s="192"/>
      <c r="M239" s="75"/>
      <c r="N239" s="2"/>
      <c r="O239" s="2"/>
      <c r="P239" s="2"/>
      <c r="Q239" s="2"/>
      <c r="R239" s="2"/>
    </row>
    <row r="240" spans="1:18" x14ac:dyDescent="0.2">
      <c r="A240" s="2"/>
      <c r="B240" s="2"/>
      <c r="C240" s="74"/>
      <c r="D240" s="74"/>
      <c r="E240" s="74"/>
      <c r="F240" s="74"/>
      <c r="G240" s="74"/>
      <c r="H240" s="74"/>
      <c r="I240" s="74"/>
      <c r="J240" s="74"/>
      <c r="K240" s="192"/>
      <c r="L240" s="192"/>
      <c r="M240" s="75"/>
      <c r="N240" s="2"/>
      <c r="O240" s="2"/>
      <c r="P240" s="2"/>
      <c r="Q240" s="2"/>
      <c r="R240" s="2"/>
    </row>
    <row r="241" spans="1:18" x14ac:dyDescent="0.2">
      <c r="A241" s="2"/>
      <c r="B241" s="2"/>
      <c r="C241" s="74"/>
      <c r="D241" s="74"/>
      <c r="E241" s="74"/>
      <c r="F241" s="74"/>
      <c r="G241" s="74"/>
      <c r="H241" s="74"/>
      <c r="I241" s="74"/>
      <c r="J241" s="74"/>
      <c r="K241" s="192"/>
      <c r="L241" s="192"/>
      <c r="M241" s="75"/>
      <c r="N241" s="2"/>
      <c r="O241" s="2"/>
      <c r="P241" s="2"/>
      <c r="Q241" s="2"/>
      <c r="R241" s="2"/>
    </row>
    <row r="242" spans="1:18" x14ac:dyDescent="0.2">
      <c r="A242" s="2"/>
      <c r="B242" s="2"/>
      <c r="C242" s="74"/>
      <c r="D242" s="74"/>
      <c r="E242" s="74"/>
      <c r="F242" s="74"/>
      <c r="G242" s="74"/>
      <c r="H242" s="74"/>
      <c r="I242" s="74"/>
      <c r="J242" s="74"/>
      <c r="K242" s="192"/>
      <c r="L242" s="192"/>
      <c r="M242" s="75"/>
      <c r="N242" s="2"/>
      <c r="O242" s="2"/>
      <c r="P242" s="2"/>
      <c r="Q242" s="2"/>
      <c r="R242" s="2"/>
    </row>
    <row r="243" spans="1:18" x14ac:dyDescent="0.2">
      <c r="A243" s="2"/>
      <c r="B243" s="2"/>
      <c r="C243" s="74"/>
      <c r="D243" s="74"/>
      <c r="E243" s="74"/>
      <c r="F243" s="74"/>
      <c r="G243" s="74"/>
      <c r="H243" s="74"/>
      <c r="I243" s="74"/>
      <c r="J243" s="74"/>
      <c r="K243" s="192"/>
      <c r="L243" s="192"/>
      <c r="M243" s="75"/>
      <c r="N243" s="2"/>
      <c r="O243" s="2"/>
      <c r="P243" s="2"/>
      <c r="Q243" s="2"/>
      <c r="R243" s="2"/>
    </row>
    <row r="244" spans="1:18" x14ac:dyDescent="0.2">
      <c r="A244" s="2"/>
      <c r="B244" s="2"/>
      <c r="C244" s="74"/>
      <c r="D244" s="74"/>
      <c r="E244" s="74"/>
      <c r="F244" s="74"/>
      <c r="G244" s="74"/>
      <c r="H244" s="74"/>
      <c r="I244" s="74"/>
      <c r="J244" s="74"/>
      <c r="K244" s="192"/>
      <c r="L244" s="192"/>
      <c r="M244" s="75"/>
      <c r="N244" s="2"/>
      <c r="O244" s="2"/>
      <c r="P244" s="2"/>
      <c r="Q244" s="2"/>
      <c r="R244" s="2"/>
    </row>
    <row r="245" spans="1:18" x14ac:dyDescent="0.2">
      <c r="A245" s="2"/>
      <c r="B245" s="2"/>
      <c r="C245" s="74"/>
      <c r="D245" s="74"/>
      <c r="E245" s="74"/>
      <c r="F245" s="74"/>
      <c r="G245" s="74"/>
      <c r="H245" s="74"/>
      <c r="I245" s="74"/>
      <c r="J245" s="74"/>
      <c r="K245" s="192"/>
      <c r="L245" s="192"/>
      <c r="M245" s="75"/>
      <c r="N245" s="2"/>
      <c r="O245" s="2"/>
      <c r="P245" s="2"/>
      <c r="Q245" s="2"/>
      <c r="R245" s="2"/>
    </row>
    <row r="246" spans="1:18" x14ac:dyDescent="0.2">
      <c r="A246" s="2"/>
      <c r="B246" s="2"/>
      <c r="C246" s="74"/>
      <c r="D246" s="74"/>
      <c r="E246" s="74"/>
      <c r="F246" s="74"/>
      <c r="G246" s="74"/>
      <c r="H246" s="74"/>
      <c r="I246" s="74"/>
      <c r="J246" s="74"/>
      <c r="K246" s="192"/>
      <c r="L246" s="192"/>
      <c r="M246" s="75"/>
      <c r="N246" s="2"/>
      <c r="O246" s="2"/>
      <c r="P246" s="2"/>
      <c r="Q246" s="2"/>
      <c r="R246" s="2"/>
    </row>
    <row r="247" spans="1:18" x14ac:dyDescent="0.2">
      <c r="A247" s="2"/>
      <c r="B247" s="2"/>
      <c r="C247" s="74"/>
      <c r="D247" s="74"/>
      <c r="E247" s="74"/>
      <c r="F247" s="74"/>
      <c r="G247" s="74"/>
      <c r="H247" s="74"/>
      <c r="I247" s="74"/>
      <c r="J247" s="74"/>
      <c r="K247" s="192"/>
      <c r="L247" s="192"/>
      <c r="M247" s="75"/>
      <c r="N247" s="2"/>
      <c r="O247" s="2"/>
      <c r="P247" s="2"/>
      <c r="Q247" s="2"/>
      <c r="R247" s="2"/>
    </row>
    <row r="248" spans="1:18" x14ac:dyDescent="0.2">
      <c r="A248" s="2"/>
      <c r="B248" s="2"/>
      <c r="C248" s="74"/>
      <c r="D248" s="74"/>
      <c r="E248" s="74"/>
      <c r="F248" s="74"/>
      <c r="G248" s="74"/>
      <c r="H248" s="74"/>
      <c r="I248" s="74"/>
      <c r="J248" s="74"/>
      <c r="K248" s="192"/>
      <c r="L248" s="192"/>
      <c r="M248" s="75"/>
      <c r="N248" s="2"/>
      <c r="O248" s="2"/>
      <c r="P248" s="2"/>
      <c r="Q248" s="2"/>
      <c r="R248" s="2"/>
    </row>
    <row r="249" spans="1:18" x14ac:dyDescent="0.2">
      <c r="A249" s="2"/>
      <c r="B249" s="2"/>
      <c r="C249" s="74"/>
      <c r="D249" s="74"/>
      <c r="E249" s="74"/>
      <c r="F249" s="74"/>
      <c r="G249" s="74"/>
      <c r="H249" s="74"/>
      <c r="I249" s="74"/>
      <c r="J249" s="74"/>
      <c r="K249" s="192"/>
      <c r="L249" s="192"/>
      <c r="M249" s="75"/>
      <c r="N249" s="2"/>
      <c r="O249" s="2"/>
      <c r="P249" s="2"/>
      <c r="Q249" s="2"/>
      <c r="R249" s="2"/>
    </row>
    <row r="250" spans="1:18" x14ac:dyDescent="0.2">
      <c r="A250" s="2"/>
      <c r="B250" s="2"/>
      <c r="C250" s="74"/>
      <c r="D250" s="74"/>
      <c r="E250" s="74"/>
      <c r="F250" s="74"/>
      <c r="G250" s="74"/>
      <c r="H250" s="74"/>
      <c r="I250" s="74"/>
      <c r="J250" s="74"/>
      <c r="K250" s="192"/>
      <c r="L250" s="192"/>
      <c r="M250" s="75"/>
      <c r="N250" s="2"/>
      <c r="O250" s="2"/>
      <c r="P250" s="2"/>
      <c r="Q250" s="2"/>
      <c r="R250" s="2"/>
    </row>
    <row r="251" spans="1:18" x14ac:dyDescent="0.2">
      <c r="A251" s="2"/>
      <c r="B251" s="2"/>
      <c r="C251" s="74"/>
      <c r="D251" s="74"/>
      <c r="E251" s="74"/>
      <c r="F251" s="74"/>
      <c r="G251" s="74"/>
      <c r="H251" s="74"/>
      <c r="I251" s="74"/>
      <c r="J251" s="74"/>
      <c r="K251" s="192"/>
      <c r="L251" s="192"/>
      <c r="M251" s="75"/>
      <c r="N251" s="2"/>
      <c r="O251" s="2"/>
      <c r="P251" s="2"/>
      <c r="Q251" s="2"/>
      <c r="R251" s="2"/>
    </row>
    <row r="252" spans="1:18" x14ac:dyDescent="0.2">
      <c r="A252" s="2"/>
      <c r="B252" s="2"/>
      <c r="C252" s="74"/>
      <c r="D252" s="74"/>
      <c r="E252" s="74"/>
      <c r="F252" s="74"/>
      <c r="G252" s="74"/>
      <c r="H252" s="74"/>
      <c r="I252" s="74"/>
      <c r="J252" s="74"/>
      <c r="K252" s="192"/>
      <c r="L252" s="192"/>
      <c r="M252" s="75"/>
      <c r="N252" s="2"/>
      <c r="O252" s="2"/>
      <c r="P252" s="2"/>
      <c r="Q252" s="2"/>
      <c r="R252" s="2"/>
    </row>
    <row r="253" spans="1:18" x14ac:dyDescent="0.2">
      <c r="A253" s="2"/>
      <c r="B253" s="2"/>
      <c r="C253" s="74"/>
      <c r="D253" s="74"/>
      <c r="E253" s="74"/>
      <c r="F253" s="74"/>
      <c r="G253" s="74"/>
      <c r="H253" s="74"/>
      <c r="I253" s="74"/>
      <c r="J253" s="74"/>
      <c r="K253" s="192"/>
      <c r="L253" s="192"/>
      <c r="M253" s="75"/>
      <c r="N253" s="2"/>
      <c r="O253" s="2"/>
      <c r="P253" s="2"/>
      <c r="Q253" s="2"/>
      <c r="R253" s="2"/>
    </row>
    <row r="254" spans="1:18" x14ac:dyDescent="0.2">
      <c r="A254" s="2"/>
      <c r="B254" s="2"/>
      <c r="C254" s="74"/>
      <c r="D254" s="74"/>
      <c r="E254" s="74"/>
      <c r="F254" s="74"/>
      <c r="G254" s="74"/>
      <c r="H254" s="74"/>
      <c r="I254" s="74"/>
      <c r="J254" s="74"/>
      <c r="K254" s="192"/>
      <c r="L254" s="192"/>
      <c r="M254" s="75"/>
      <c r="N254" s="2"/>
      <c r="O254" s="2"/>
      <c r="P254" s="2"/>
      <c r="Q254" s="2"/>
      <c r="R254" s="2"/>
    </row>
    <row r="255" spans="1:18" x14ac:dyDescent="0.2">
      <c r="A255" s="2"/>
      <c r="B255" s="2"/>
      <c r="C255" s="74"/>
      <c r="D255" s="74"/>
      <c r="E255" s="74"/>
      <c r="F255" s="74"/>
      <c r="G255" s="74"/>
      <c r="H255" s="74"/>
      <c r="I255" s="74"/>
      <c r="J255" s="74"/>
      <c r="K255" s="192"/>
      <c r="L255" s="192"/>
      <c r="M255" s="75"/>
      <c r="N255" s="2"/>
      <c r="O255" s="2"/>
      <c r="P255" s="2"/>
      <c r="Q255" s="2"/>
      <c r="R255" s="2"/>
    </row>
    <row r="256" spans="1:18" x14ac:dyDescent="0.2">
      <c r="A256" s="2"/>
      <c r="B256" s="2"/>
      <c r="C256" s="74"/>
      <c r="D256" s="74"/>
      <c r="E256" s="74"/>
      <c r="F256" s="74"/>
      <c r="G256" s="74"/>
      <c r="H256" s="74"/>
      <c r="I256" s="74"/>
      <c r="J256" s="74"/>
      <c r="K256" s="192"/>
      <c r="L256" s="192"/>
      <c r="M256" s="75"/>
      <c r="N256" s="2"/>
      <c r="O256" s="2"/>
      <c r="P256" s="2"/>
      <c r="Q256" s="2"/>
      <c r="R256" s="2"/>
    </row>
    <row r="257" spans="1:18" x14ac:dyDescent="0.2">
      <c r="A257" s="2"/>
      <c r="B257" s="2"/>
      <c r="C257" s="74"/>
      <c r="D257" s="74"/>
      <c r="E257" s="74"/>
      <c r="F257" s="74"/>
      <c r="G257" s="74"/>
      <c r="H257" s="74"/>
      <c r="I257" s="74"/>
      <c r="J257" s="74"/>
      <c r="K257" s="192"/>
      <c r="L257" s="192"/>
      <c r="M257" s="75"/>
      <c r="N257" s="2"/>
      <c r="O257" s="2"/>
      <c r="P257" s="2"/>
      <c r="Q257" s="2"/>
      <c r="R257" s="2"/>
    </row>
    <row r="258" spans="1:18" x14ac:dyDescent="0.2">
      <c r="A258" s="2"/>
      <c r="B258" s="2"/>
      <c r="C258" s="74"/>
      <c r="D258" s="74"/>
      <c r="E258" s="74"/>
      <c r="F258" s="74"/>
      <c r="G258" s="74"/>
      <c r="H258" s="74"/>
      <c r="I258" s="74"/>
      <c r="J258" s="74"/>
      <c r="K258" s="192"/>
      <c r="L258" s="192"/>
      <c r="M258" s="75"/>
      <c r="N258" s="2"/>
      <c r="O258" s="2"/>
      <c r="P258" s="2"/>
      <c r="Q258" s="2"/>
      <c r="R258" s="2"/>
    </row>
    <row r="259" spans="1:18" x14ac:dyDescent="0.2">
      <c r="A259" s="2"/>
      <c r="B259" s="2"/>
      <c r="C259" s="74"/>
      <c r="D259" s="74"/>
      <c r="E259" s="74"/>
      <c r="F259" s="74"/>
      <c r="G259" s="74"/>
      <c r="H259" s="74"/>
      <c r="I259" s="74"/>
      <c r="J259" s="74"/>
      <c r="K259" s="192"/>
      <c r="L259" s="192"/>
      <c r="M259" s="75"/>
      <c r="N259" s="2"/>
      <c r="O259" s="2"/>
      <c r="P259" s="2"/>
      <c r="Q259" s="2"/>
      <c r="R259" s="2"/>
    </row>
    <row r="260" spans="1:18" x14ac:dyDescent="0.2">
      <c r="A260" s="2"/>
      <c r="B260" s="2"/>
      <c r="C260" s="74"/>
      <c r="D260" s="74"/>
      <c r="E260" s="74"/>
      <c r="F260" s="74"/>
      <c r="G260" s="74"/>
      <c r="H260" s="74"/>
      <c r="I260" s="74"/>
      <c r="J260" s="74"/>
      <c r="K260" s="192"/>
      <c r="L260" s="192"/>
      <c r="M260" s="75"/>
      <c r="N260" s="2"/>
      <c r="O260" s="2"/>
      <c r="P260" s="2"/>
      <c r="Q260" s="2"/>
      <c r="R260" s="2"/>
    </row>
    <row r="261" spans="1:18" x14ac:dyDescent="0.2">
      <c r="A261" s="2"/>
      <c r="B261" s="2"/>
      <c r="C261" s="74"/>
      <c r="D261" s="74"/>
      <c r="E261" s="74"/>
      <c r="F261" s="74"/>
      <c r="G261" s="74"/>
      <c r="H261" s="74"/>
      <c r="I261" s="74"/>
      <c r="J261" s="74"/>
      <c r="K261" s="192"/>
      <c r="L261" s="192"/>
      <c r="M261" s="75"/>
      <c r="N261" s="2"/>
      <c r="O261" s="2"/>
      <c r="P261" s="2"/>
      <c r="Q261" s="2"/>
      <c r="R261" s="2"/>
    </row>
    <row r="262" spans="1:18" x14ac:dyDescent="0.2">
      <c r="A262" s="2"/>
      <c r="B262" s="2"/>
      <c r="C262" s="74"/>
      <c r="D262" s="74"/>
      <c r="E262" s="74"/>
      <c r="F262" s="74"/>
      <c r="G262" s="74"/>
      <c r="H262" s="74"/>
      <c r="I262" s="74"/>
      <c r="J262" s="74"/>
      <c r="K262" s="192"/>
      <c r="L262" s="192"/>
      <c r="M262" s="75"/>
      <c r="N262" s="2"/>
      <c r="O262" s="2"/>
      <c r="P262" s="2"/>
      <c r="Q262" s="2"/>
      <c r="R262" s="2"/>
    </row>
    <row r="263" spans="1:18" x14ac:dyDescent="0.2">
      <c r="A263" s="2"/>
      <c r="B263" s="2"/>
      <c r="C263" s="74"/>
      <c r="D263" s="74"/>
      <c r="E263" s="74"/>
      <c r="F263" s="74"/>
      <c r="G263" s="74"/>
      <c r="H263" s="74"/>
      <c r="I263" s="74"/>
      <c r="J263" s="74"/>
      <c r="K263" s="192"/>
      <c r="L263" s="192"/>
      <c r="M263" s="75"/>
      <c r="N263" s="2"/>
      <c r="O263" s="2"/>
      <c r="P263" s="2"/>
      <c r="Q263" s="2"/>
      <c r="R263" s="2"/>
    </row>
    <row r="264" spans="1:18" x14ac:dyDescent="0.2">
      <c r="A264" s="2"/>
      <c r="B264" s="2"/>
      <c r="C264" s="74"/>
      <c r="D264" s="74"/>
      <c r="E264" s="74"/>
      <c r="F264" s="74"/>
      <c r="G264" s="74"/>
      <c r="H264" s="74"/>
      <c r="I264" s="74"/>
      <c r="J264" s="74"/>
      <c r="K264" s="192"/>
      <c r="L264" s="192"/>
      <c r="M264" s="75"/>
      <c r="N264" s="2"/>
      <c r="O264" s="2"/>
      <c r="P264" s="2"/>
      <c r="Q264" s="2"/>
      <c r="R264" s="2"/>
    </row>
    <row r="265" spans="1:18" x14ac:dyDescent="0.2">
      <c r="A265" s="2"/>
      <c r="B265" s="2"/>
      <c r="C265" s="74"/>
      <c r="D265" s="74"/>
      <c r="E265" s="74"/>
      <c r="F265" s="74"/>
      <c r="G265" s="74"/>
      <c r="H265" s="74"/>
      <c r="I265" s="74"/>
      <c r="J265" s="74"/>
      <c r="K265" s="192"/>
      <c r="L265" s="192"/>
      <c r="M265" s="75"/>
      <c r="N265" s="2"/>
      <c r="O265" s="2"/>
      <c r="P265" s="2"/>
      <c r="Q265" s="2"/>
      <c r="R265" s="2"/>
    </row>
    <row r="266" spans="1:18" x14ac:dyDescent="0.2">
      <c r="A266" s="2"/>
      <c r="B266" s="2"/>
      <c r="C266" s="74"/>
      <c r="D266" s="74"/>
      <c r="E266" s="74"/>
      <c r="F266" s="74"/>
      <c r="G266" s="74"/>
      <c r="H266" s="74"/>
      <c r="I266" s="74"/>
      <c r="J266" s="74"/>
      <c r="K266" s="192"/>
      <c r="L266" s="192"/>
      <c r="M266" s="75"/>
      <c r="N266" s="2"/>
      <c r="O266" s="2"/>
      <c r="P266" s="2"/>
      <c r="Q266" s="2"/>
      <c r="R266" s="2"/>
    </row>
    <row r="267" spans="1:18" x14ac:dyDescent="0.2">
      <c r="A267" s="2"/>
      <c r="B267" s="2"/>
      <c r="C267" s="74"/>
      <c r="D267" s="74"/>
      <c r="E267" s="74"/>
      <c r="F267" s="74"/>
      <c r="G267" s="74"/>
      <c r="H267" s="74"/>
      <c r="I267" s="74"/>
      <c r="J267" s="74"/>
      <c r="K267" s="192"/>
      <c r="L267" s="192"/>
      <c r="M267" s="75"/>
      <c r="N267" s="2"/>
      <c r="O267" s="2"/>
      <c r="P267" s="2"/>
      <c r="Q267" s="2"/>
      <c r="R267" s="2"/>
    </row>
    <row r="268" spans="1:18" x14ac:dyDescent="0.2">
      <c r="A268" s="2"/>
      <c r="B268" s="2"/>
      <c r="C268" s="74"/>
      <c r="D268" s="74"/>
      <c r="E268" s="74"/>
      <c r="F268" s="74"/>
      <c r="G268" s="74"/>
      <c r="H268" s="74"/>
      <c r="I268" s="74"/>
      <c r="J268" s="74"/>
      <c r="K268" s="192"/>
      <c r="L268" s="192"/>
      <c r="M268" s="75"/>
      <c r="N268" s="2"/>
      <c r="O268" s="2"/>
      <c r="P268" s="2"/>
      <c r="Q268" s="2"/>
      <c r="R268" s="2"/>
    </row>
    <row r="269" spans="1:18" x14ac:dyDescent="0.2">
      <c r="A269" s="2"/>
      <c r="B269" s="2"/>
      <c r="C269" s="74"/>
      <c r="D269" s="74"/>
      <c r="E269" s="74"/>
      <c r="F269" s="74"/>
      <c r="G269" s="74"/>
      <c r="H269" s="74"/>
      <c r="I269" s="74"/>
      <c r="J269" s="74"/>
      <c r="K269" s="192"/>
      <c r="L269" s="192"/>
      <c r="M269" s="75"/>
      <c r="N269" s="2"/>
      <c r="O269" s="2"/>
      <c r="P269" s="2"/>
      <c r="Q269" s="2"/>
      <c r="R269" s="2"/>
    </row>
    <row r="270" spans="1:18" x14ac:dyDescent="0.2">
      <c r="A270" s="2"/>
      <c r="B270" s="2"/>
      <c r="C270" s="74"/>
      <c r="D270" s="74"/>
      <c r="E270" s="74"/>
      <c r="F270" s="74"/>
      <c r="G270" s="74"/>
      <c r="H270" s="74"/>
      <c r="I270" s="74"/>
      <c r="J270" s="74"/>
      <c r="K270" s="192"/>
      <c r="L270" s="192"/>
      <c r="M270" s="75"/>
      <c r="N270" s="2"/>
      <c r="O270" s="2"/>
      <c r="P270" s="2"/>
      <c r="Q270" s="2"/>
      <c r="R270" s="2"/>
    </row>
    <row r="271" spans="1:18" x14ac:dyDescent="0.2">
      <c r="A271" s="2"/>
      <c r="B271" s="2"/>
      <c r="C271" s="74"/>
      <c r="D271" s="74"/>
      <c r="E271" s="74"/>
      <c r="F271" s="74"/>
      <c r="G271" s="74"/>
      <c r="H271" s="74"/>
      <c r="I271" s="74"/>
      <c r="J271" s="74"/>
      <c r="K271" s="192"/>
      <c r="L271" s="192"/>
      <c r="M271" s="75"/>
      <c r="N271" s="2"/>
      <c r="O271" s="2"/>
      <c r="P271" s="2"/>
      <c r="Q271" s="2"/>
      <c r="R271" s="2"/>
    </row>
    <row r="272" spans="1:18" x14ac:dyDescent="0.2">
      <c r="A272" s="2"/>
      <c r="B272" s="2"/>
      <c r="C272" s="74"/>
      <c r="D272" s="74"/>
      <c r="E272" s="74"/>
      <c r="F272" s="74"/>
      <c r="G272" s="74"/>
      <c r="H272" s="74"/>
      <c r="I272" s="74"/>
      <c r="J272" s="74"/>
      <c r="K272" s="192"/>
      <c r="L272" s="192"/>
      <c r="M272" s="75"/>
      <c r="N272" s="2"/>
      <c r="O272" s="2"/>
      <c r="P272" s="2"/>
      <c r="Q272" s="2"/>
      <c r="R272" s="2"/>
    </row>
    <row r="273" spans="1:18" x14ac:dyDescent="0.2">
      <c r="A273" s="2"/>
      <c r="B273" s="2"/>
      <c r="C273" s="74"/>
      <c r="D273" s="74"/>
      <c r="E273" s="74"/>
      <c r="F273" s="74"/>
      <c r="G273" s="74"/>
      <c r="H273" s="74"/>
      <c r="I273" s="74"/>
      <c r="J273" s="74"/>
      <c r="K273" s="192"/>
      <c r="L273" s="192"/>
      <c r="M273" s="75"/>
      <c r="N273" s="2"/>
      <c r="O273" s="2"/>
      <c r="P273" s="2"/>
      <c r="Q273" s="2"/>
      <c r="R273" s="2"/>
    </row>
    <row r="274" spans="1:18" x14ac:dyDescent="0.2">
      <c r="A274" s="2"/>
      <c r="B274" s="2"/>
      <c r="C274" s="74"/>
      <c r="D274" s="74"/>
      <c r="E274" s="74"/>
      <c r="F274" s="74"/>
      <c r="G274" s="74"/>
      <c r="H274" s="74"/>
      <c r="I274" s="74"/>
      <c r="J274" s="74"/>
      <c r="K274" s="192"/>
      <c r="L274" s="192"/>
      <c r="M274" s="75"/>
      <c r="N274" s="2"/>
      <c r="O274" s="2"/>
      <c r="P274" s="2"/>
      <c r="Q274" s="2"/>
      <c r="R274" s="2"/>
    </row>
    <row r="275" spans="1:18" x14ac:dyDescent="0.2">
      <c r="A275" s="2"/>
      <c r="B275" s="2"/>
      <c r="C275" s="74"/>
      <c r="D275" s="74"/>
      <c r="E275" s="74"/>
      <c r="F275" s="74"/>
      <c r="G275" s="74"/>
      <c r="H275" s="74"/>
      <c r="I275" s="74"/>
      <c r="J275" s="74"/>
      <c r="K275" s="192"/>
      <c r="L275" s="192"/>
      <c r="M275" s="75"/>
      <c r="N275" s="2"/>
      <c r="O275" s="2"/>
      <c r="P275" s="2"/>
      <c r="Q275" s="2"/>
      <c r="R275" s="2"/>
    </row>
    <row r="276" spans="1:18" x14ac:dyDescent="0.2">
      <c r="A276" s="2"/>
      <c r="B276" s="2"/>
      <c r="C276" s="74"/>
      <c r="D276" s="74"/>
      <c r="E276" s="74"/>
      <c r="F276" s="74"/>
      <c r="G276" s="74"/>
      <c r="H276" s="74"/>
      <c r="I276" s="74"/>
      <c r="J276" s="74"/>
      <c r="K276" s="192"/>
      <c r="L276" s="192"/>
      <c r="M276" s="75"/>
      <c r="N276" s="2"/>
      <c r="O276" s="2"/>
      <c r="P276" s="2"/>
      <c r="Q276" s="2"/>
      <c r="R276" s="2"/>
    </row>
    <row r="277" spans="1:18" x14ac:dyDescent="0.2">
      <c r="A277" s="2"/>
      <c r="B277" s="2"/>
      <c r="C277" s="74"/>
      <c r="D277" s="74"/>
      <c r="E277" s="74"/>
      <c r="F277" s="74"/>
      <c r="G277" s="74"/>
      <c r="H277" s="74"/>
      <c r="I277" s="74"/>
      <c r="J277" s="74"/>
      <c r="K277" s="192"/>
      <c r="L277" s="192"/>
      <c r="M277" s="75"/>
      <c r="N277" s="2"/>
      <c r="O277" s="2"/>
      <c r="P277" s="2"/>
      <c r="Q277" s="2"/>
      <c r="R277" s="2"/>
    </row>
    <row r="278" spans="1:18" x14ac:dyDescent="0.2">
      <c r="A278" s="2"/>
      <c r="B278" s="2"/>
      <c r="C278" s="74"/>
      <c r="D278" s="74"/>
      <c r="E278" s="74"/>
      <c r="F278" s="74"/>
      <c r="G278" s="74"/>
      <c r="H278" s="74"/>
      <c r="I278" s="74"/>
      <c r="J278" s="74"/>
      <c r="K278" s="192"/>
      <c r="L278" s="192"/>
      <c r="M278" s="75"/>
      <c r="N278" s="2"/>
      <c r="O278" s="2"/>
      <c r="P278" s="2"/>
      <c r="Q278" s="2"/>
      <c r="R278" s="2"/>
    </row>
    <row r="279" spans="1:18" x14ac:dyDescent="0.2">
      <c r="A279" s="2"/>
      <c r="B279" s="2"/>
      <c r="C279" s="74"/>
      <c r="D279" s="74"/>
      <c r="E279" s="74"/>
      <c r="F279" s="74"/>
      <c r="G279" s="74"/>
      <c r="H279" s="74"/>
      <c r="I279" s="74"/>
      <c r="J279" s="74"/>
      <c r="K279" s="192"/>
      <c r="L279" s="192"/>
      <c r="M279" s="75"/>
      <c r="N279" s="2"/>
      <c r="O279" s="2"/>
      <c r="P279" s="2"/>
      <c r="Q279" s="2"/>
      <c r="R279" s="2"/>
    </row>
    <row r="280" spans="1:18" x14ac:dyDescent="0.2">
      <c r="A280" s="2"/>
      <c r="B280" s="2"/>
      <c r="C280" s="74"/>
      <c r="D280" s="74"/>
      <c r="E280" s="74"/>
      <c r="F280" s="74"/>
      <c r="G280" s="74"/>
      <c r="H280" s="74"/>
      <c r="I280" s="74"/>
      <c r="J280" s="74"/>
      <c r="K280" s="192"/>
      <c r="L280" s="192"/>
      <c r="M280" s="75"/>
      <c r="N280" s="2"/>
      <c r="O280" s="2"/>
      <c r="P280" s="2"/>
      <c r="Q280" s="2"/>
      <c r="R280" s="2"/>
    </row>
    <row r="281" spans="1:18" x14ac:dyDescent="0.2">
      <c r="A281" s="2"/>
      <c r="B281" s="2"/>
      <c r="C281" s="74"/>
      <c r="D281" s="74"/>
      <c r="E281" s="74"/>
      <c r="F281" s="74"/>
      <c r="G281" s="74"/>
      <c r="H281" s="74"/>
      <c r="I281" s="74"/>
      <c r="J281" s="74"/>
      <c r="K281" s="192"/>
      <c r="L281" s="192"/>
      <c r="M281" s="75"/>
      <c r="N281" s="2"/>
      <c r="O281" s="2"/>
      <c r="P281" s="2"/>
      <c r="Q281" s="2"/>
      <c r="R281" s="2"/>
    </row>
    <row r="282" spans="1:18" x14ac:dyDescent="0.2">
      <c r="A282" s="2"/>
      <c r="B282" s="2"/>
      <c r="C282" s="74"/>
      <c r="D282" s="74"/>
      <c r="E282" s="74"/>
      <c r="F282" s="74"/>
      <c r="G282" s="74"/>
      <c r="H282" s="74"/>
      <c r="I282" s="74"/>
      <c r="J282" s="74"/>
      <c r="K282" s="192"/>
      <c r="L282" s="192"/>
      <c r="M282" s="75"/>
      <c r="N282" s="2"/>
      <c r="O282" s="2"/>
      <c r="P282" s="2"/>
      <c r="Q282" s="2"/>
      <c r="R282" s="2"/>
    </row>
    <row r="283" spans="1:18" x14ac:dyDescent="0.2">
      <c r="A283" s="2"/>
      <c r="B283" s="2"/>
      <c r="C283" s="74"/>
      <c r="D283" s="74"/>
      <c r="E283" s="74"/>
      <c r="F283" s="74"/>
      <c r="G283" s="74"/>
      <c r="H283" s="74"/>
      <c r="I283" s="74"/>
      <c r="J283" s="74"/>
      <c r="K283" s="192"/>
      <c r="L283" s="192"/>
      <c r="M283" s="75"/>
      <c r="N283" s="2"/>
      <c r="O283" s="2"/>
      <c r="P283" s="2"/>
      <c r="Q283" s="2"/>
      <c r="R283" s="2"/>
    </row>
    <row r="284" spans="1:18" x14ac:dyDescent="0.2">
      <c r="A284" s="2"/>
      <c r="B284" s="2"/>
      <c r="C284" s="74"/>
      <c r="D284" s="74"/>
      <c r="E284" s="74"/>
      <c r="F284" s="74"/>
      <c r="G284" s="74"/>
      <c r="H284" s="74"/>
      <c r="I284" s="74"/>
      <c r="J284" s="74"/>
      <c r="K284" s="192"/>
      <c r="L284" s="192"/>
      <c r="M284" s="75"/>
      <c r="N284" s="2"/>
      <c r="O284" s="2"/>
      <c r="P284" s="2"/>
      <c r="Q284" s="2"/>
      <c r="R284" s="2"/>
    </row>
    <row r="285" spans="1:18" x14ac:dyDescent="0.2">
      <c r="A285" s="2"/>
      <c r="B285" s="2"/>
      <c r="C285" s="74"/>
      <c r="D285" s="74"/>
      <c r="E285" s="74"/>
      <c r="F285" s="74"/>
      <c r="G285" s="74"/>
      <c r="H285" s="74"/>
      <c r="I285" s="74"/>
      <c r="J285" s="74"/>
      <c r="K285" s="192"/>
      <c r="L285" s="192"/>
      <c r="M285" s="75"/>
      <c r="N285" s="2"/>
      <c r="O285" s="2"/>
      <c r="P285" s="2"/>
      <c r="Q285" s="2"/>
      <c r="R285" s="2"/>
    </row>
    <row r="286" spans="1:18" x14ac:dyDescent="0.2">
      <c r="A286" s="2"/>
      <c r="B286" s="2"/>
      <c r="C286" s="74"/>
      <c r="D286" s="74"/>
      <c r="E286" s="74"/>
      <c r="F286" s="74"/>
      <c r="G286" s="74"/>
      <c r="H286" s="74"/>
      <c r="I286" s="74"/>
      <c r="J286" s="74"/>
      <c r="K286" s="192"/>
      <c r="L286" s="192"/>
      <c r="M286" s="75"/>
      <c r="N286" s="2"/>
      <c r="O286" s="2"/>
      <c r="P286" s="2"/>
      <c r="Q286" s="2"/>
      <c r="R286" s="2"/>
    </row>
    <row r="287" spans="1:18" x14ac:dyDescent="0.2">
      <c r="A287" s="2"/>
      <c r="B287" s="2"/>
      <c r="C287" s="74"/>
      <c r="D287" s="74"/>
      <c r="E287" s="74"/>
      <c r="F287" s="74"/>
      <c r="G287" s="74"/>
      <c r="H287" s="74"/>
      <c r="I287" s="74"/>
      <c r="J287" s="74"/>
      <c r="K287" s="192"/>
      <c r="L287" s="192"/>
      <c r="M287" s="75"/>
      <c r="N287" s="2"/>
      <c r="O287" s="2"/>
      <c r="P287" s="2"/>
      <c r="Q287" s="2"/>
      <c r="R287" s="2"/>
    </row>
    <row r="288" spans="1:18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192"/>
      <c r="L288" s="192"/>
      <c r="M288" s="75"/>
      <c r="N288" s="2"/>
      <c r="O288" s="2"/>
      <c r="P288" s="2"/>
      <c r="Q288" s="2"/>
      <c r="R288" s="2"/>
    </row>
    <row r="289" spans="1:18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192"/>
      <c r="L289" s="192"/>
      <c r="M289" s="75"/>
      <c r="N289" s="2"/>
      <c r="O289" s="2"/>
      <c r="P289" s="2"/>
      <c r="Q289" s="2"/>
      <c r="R289" s="2"/>
    </row>
    <row r="290" spans="1:18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192"/>
      <c r="L290" s="192"/>
      <c r="M290" s="75"/>
      <c r="N290" s="2"/>
      <c r="O290" s="2"/>
      <c r="P290" s="2"/>
      <c r="Q290" s="2"/>
      <c r="R290" s="2"/>
    </row>
    <row r="291" spans="1:18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192"/>
      <c r="L291" s="192"/>
      <c r="M291" s="75"/>
      <c r="N291" s="2"/>
      <c r="O291" s="2"/>
      <c r="P291" s="2"/>
      <c r="Q291" s="2"/>
      <c r="R291" s="2"/>
    </row>
    <row r="292" spans="1:18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192"/>
      <c r="L292" s="192"/>
      <c r="M292" s="75"/>
      <c r="N292" s="2"/>
      <c r="O292" s="2"/>
      <c r="P292" s="2"/>
      <c r="Q292" s="2"/>
      <c r="R292" s="2"/>
    </row>
    <row r="293" spans="1:18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192"/>
      <c r="L293" s="192"/>
      <c r="M293" s="75"/>
      <c r="N293" s="2"/>
      <c r="O293" s="2"/>
      <c r="P293" s="2"/>
      <c r="Q293" s="2"/>
      <c r="R293" s="2"/>
    </row>
    <row r="294" spans="1:18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192"/>
      <c r="L294" s="192"/>
      <c r="M294" s="75"/>
      <c r="N294" s="2"/>
      <c r="O294" s="2"/>
      <c r="P294" s="2"/>
      <c r="Q294" s="2"/>
      <c r="R294" s="2"/>
    </row>
    <row r="295" spans="1:18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192"/>
      <c r="L295" s="192"/>
      <c r="M295" s="75"/>
      <c r="N295" s="2"/>
      <c r="O295" s="2"/>
      <c r="P295" s="2"/>
      <c r="Q295" s="2"/>
      <c r="R295" s="2"/>
    </row>
    <row r="296" spans="1:18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192"/>
      <c r="L296" s="192"/>
      <c r="M296" s="75"/>
      <c r="N296" s="2"/>
      <c r="O296" s="2"/>
      <c r="P296" s="2"/>
      <c r="Q296" s="2"/>
      <c r="R296" s="2"/>
    </row>
    <row r="297" spans="1:18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192"/>
      <c r="L297" s="192"/>
      <c r="M297" s="75"/>
      <c r="N297" s="2"/>
      <c r="O297" s="2"/>
      <c r="P297" s="2"/>
      <c r="Q297" s="2"/>
      <c r="R297" s="2"/>
    </row>
    <row r="298" spans="1:18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192"/>
      <c r="L298" s="192"/>
      <c r="M298" s="75"/>
      <c r="N298" s="2"/>
      <c r="O298" s="2"/>
      <c r="P298" s="2"/>
      <c r="Q298" s="2"/>
      <c r="R298" s="2"/>
    </row>
    <row r="299" spans="1:18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192"/>
      <c r="L299" s="192"/>
      <c r="M299" s="75"/>
      <c r="N299" s="2"/>
      <c r="O299" s="2"/>
      <c r="P299" s="2"/>
      <c r="Q299" s="2"/>
      <c r="R299" s="2"/>
    </row>
    <row r="300" spans="1:18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192"/>
      <c r="L300" s="192"/>
      <c r="M300" s="75"/>
      <c r="N300" s="2"/>
      <c r="O300" s="2"/>
      <c r="P300" s="2"/>
      <c r="Q300" s="2"/>
      <c r="R300" s="2"/>
    </row>
    <row r="301" spans="1:18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192"/>
      <c r="L301" s="192"/>
      <c r="M301" s="75"/>
      <c r="N301" s="2"/>
      <c r="O301" s="2"/>
      <c r="P301" s="2"/>
      <c r="Q301" s="2"/>
      <c r="R301" s="2"/>
    </row>
    <row r="302" spans="1:18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192"/>
      <c r="L302" s="192"/>
      <c r="M302" s="75"/>
      <c r="N302" s="2"/>
      <c r="O302" s="2"/>
      <c r="P302" s="2"/>
      <c r="Q302" s="2"/>
      <c r="R302" s="2"/>
    </row>
    <row r="303" spans="1:18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192"/>
      <c r="L303" s="192"/>
      <c r="M303" s="75"/>
      <c r="N303" s="2"/>
      <c r="O303" s="2"/>
      <c r="P303" s="2"/>
      <c r="Q303" s="2"/>
      <c r="R303" s="2"/>
    </row>
    <row r="304" spans="1:18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192"/>
      <c r="L304" s="192"/>
      <c r="M304" s="75"/>
      <c r="N304" s="2"/>
      <c r="O304" s="2"/>
      <c r="P304" s="2"/>
      <c r="Q304" s="2"/>
      <c r="R304" s="2"/>
    </row>
    <row r="305" spans="1:18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192"/>
      <c r="L305" s="192"/>
      <c r="M305" s="75"/>
      <c r="N305" s="2"/>
      <c r="O305" s="2"/>
      <c r="P305" s="2"/>
      <c r="Q305" s="2"/>
      <c r="R305" s="2"/>
    </row>
    <row r="306" spans="1:18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192"/>
      <c r="L306" s="192"/>
      <c r="M306" s="75"/>
      <c r="N306" s="2"/>
      <c r="O306" s="2"/>
      <c r="P306" s="2"/>
      <c r="Q306" s="2"/>
      <c r="R306" s="2"/>
    </row>
    <row r="307" spans="1:18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192"/>
      <c r="L307" s="192"/>
      <c r="M307" s="75"/>
      <c r="N307" s="2"/>
      <c r="O307" s="2"/>
      <c r="P307" s="2"/>
      <c r="Q307" s="2"/>
      <c r="R307" s="2"/>
    </row>
    <row r="308" spans="1:18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192"/>
      <c r="L308" s="192"/>
      <c r="M308" s="75"/>
      <c r="N308" s="2"/>
      <c r="O308" s="2"/>
      <c r="P308" s="2"/>
      <c r="Q308" s="2"/>
      <c r="R308" s="2"/>
    </row>
    <row r="309" spans="1:18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192"/>
      <c r="L309" s="192"/>
      <c r="M309" s="75"/>
      <c r="N309" s="2"/>
      <c r="O309" s="2"/>
      <c r="P309" s="2"/>
      <c r="Q309" s="2"/>
      <c r="R309" s="2"/>
    </row>
    <row r="310" spans="1:18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192"/>
      <c r="L310" s="192"/>
      <c r="M310" s="75"/>
      <c r="N310" s="2"/>
      <c r="O310" s="2"/>
      <c r="P310" s="2"/>
      <c r="Q310" s="2"/>
      <c r="R310" s="2"/>
    </row>
    <row r="311" spans="1:18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192"/>
      <c r="L311" s="192"/>
      <c r="M311" s="75"/>
      <c r="N311" s="2"/>
      <c r="O311" s="2"/>
      <c r="P311" s="2"/>
      <c r="Q311" s="2"/>
      <c r="R311" s="2"/>
    </row>
    <row r="312" spans="1:18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192"/>
      <c r="L312" s="192"/>
      <c r="M312" s="75"/>
      <c r="N312" s="2"/>
      <c r="O312" s="2"/>
      <c r="P312" s="2"/>
      <c r="Q312" s="2"/>
      <c r="R312" s="2"/>
    </row>
    <row r="313" spans="1:18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192"/>
      <c r="L313" s="192"/>
      <c r="M313" s="75"/>
      <c r="N313" s="2"/>
      <c r="O313" s="2"/>
      <c r="P313" s="2"/>
      <c r="Q313" s="2"/>
      <c r="R313" s="2"/>
    </row>
    <row r="314" spans="1:18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192"/>
      <c r="L314" s="192"/>
      <c r="M314" s="75"/>
      <c r="N314" s="2"/>
      <c r="O314" s="2"/>
      <c r="P314" s="2"/>
      <c r="Q314" s="2"/>
      <c r="R314" s="2"/>
    </row>
    <row r="315" spans="1:18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192"/>
      <c r="L315" s="192"/>
      <c r="M315" s="75"/>
      <c r="N315" s="2"/>
      <c r="O315" s="2"/>
      <c r="P315" s="2"/>
      <c r="Q315" s="2"/>
      <c r="R315" s="2"/>
    </row>
    <row r="316" spans="1:18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192"/>
      <c r="L316" s="192"/>
      <c r="M316" s="75"/>
      <c r="N316" s="2"/>
      <c r="O316" s="2"/>
      <c r="P316" s="2"/>
      <c r="Q316" s="2"/>
      <c r="R316" s="2"/>
    </row>
    <row r="317" spans="1:18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192"/>
      <c r="L317" s="192"/>
      <c r="M317" s="75"/>
      <c r="N317" s="2"/>
      <c r="O317" s="2"/>
      <c r="P317" s="2"/>
      <c r="Q317" s="2"/>
      <c r="R317" s="2"/>
    </row>
    <row r="318" spans="1:18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192"/>
      <c r="L318" s="192"/>
      <c r="M318" s="75"/>
      <c r="N318" s="2"/>
      <c r="O318" s="2"/>
      <c r="P318" s="2"/>
      <c r="Q318" s="2"/>
      <c r="R318" s="2"/>
    </row>
    <row r="319" spans="1:18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192"/>
      <c r="L319" s="192"/>
      <c r="M319" s="75"/>
      <c r="N319" s="2"/>
      <c r="O319" s="2"/>
      <c r="P319" s="2"/>
      <c r="Q319" s="2"/>
      <c r="R319" s="2"/>
    </row>
    <row r="320" spans="1:18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192"/>
      <c r="L320" s="192"/>
      <c r="M320" s="75"/>
      <c r="N320" s="2"/>
      <c r="O320" s="2"/>
      <c r="P320" s="2"/>
      <c r="Q320" s="2"/>
      <c r="R320" s="2"/>
    </row>
    <row r="321" spans="1:18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192"/>
      <c r="L321" s="192"/>
      <c r="M321" s="75"/>
      <c r="N321" s="2"/>
      <c r="O321" s="2"/>
      <c r="P321" s="2"/>
      <c r="Q321" s="2"/>
      <c r="R321" s="2"/>
    </row>
    <row r="322" spans="1:18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192"/>
      <c r="L322" s="192"/>
      <c r="M322" s="75"/>
      <c r="N322" s="2"/>
      <c r="O322" s="2"/>
      <c r="P322" s="2"/>
      <c r="Q322" s="2"/>
      <c r="R322" s="2"/>
    </row>
    <row r="323" spans="1:18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192"/>
      <c r="L323" s="192"/>
      <c r="M323" s="75"/>
      <c r="N323" s="2"/>
      <c r="O323" s="2"/>
      <c r="P323" s="2"/>
      <c r="Q323" s="2"/>
      <c r="R323" s="2"/>
    </row>
    <row r="324" spans="1:18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192"/>
      <c r="L324" s="192"/>
      <c r="M324" s="75"/>
      <c r="N324" s="2"/>
      <c r="O324" s="2"/>
      <c r="P324" s="2"/>
      <c r="Q324" s="2"/>
      <c r="R324" s="2"/>
    </row>
    <row r="325" spans="1:18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192"/>
      <c r="L325" s="192"/>
      <c r="M325" s="75"/>
      <c r="N325" s="2"/>
      <c r="O325" s="2"/>
      <c r="P325" s="2"/>
      <c r="Q325" s="2"/>
      <c r="R325" s="2"/>
    </row>
    <row r="326" spans="1:18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192"/>
      <c r="L326" s="192"/>
      <c r="M326" s="75"/>
      <c r="N326" s="2"/>
      <c r="O326" s="2"/>
      <c r="P326" s="2"/>
      <c r="Q326" s="2"/>
      <c r="R326" s="2"/>
    </row>
    <row r="327" spans="1:18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192"/>
      <c r="L327" s="192"/>
      <c r="M327" s="75"/>
      <c r="N327" s="2"/>
      <c r="O327" s="2"/>
      <c r="P327" s="2"/>
      <c r="Q327" s="2"/>
      <c r="R327" s="2"/>
    </row>
    <row r="328" spans="1:18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192"/>
      <c r="L328" s="192"/>
      <c r="M328" s="75"/>
      <c r="N328" s="2"/>
      <c r="O328" s="2"/>
      <c r="P328" s="2"/>
      <c r="Q328" s="2"/>
      <c r="R328" s="2"/>
    </row>
    <row r="329" spans="1:18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192"/>
      <c r="L329" s="192"/>
      <c r="M329" s="75"/>
      <c r="N329" s="2"/>
      <c r="O329" s="2"/>
      <c r="P329" s="2"/>
      <c r="Q329" s="2"/>
      <c r="R329" s="2"/>
    </row>
    <row r="330" spans="1:18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192"/>
      <c r="L330" s="192"/>
      <c r="M330" s="75"/>
      <c r="N330" s="2"/>
      <c r="O330" s="2"/>
      <c r="P330" s="2"/>
      <c r="Q330" s="2"/>
      <c r="R330" s="2"/>
    </row>
    <row r="331" spans="1:18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192"/>
      <c r="L331" s="192"/>
      <c r="M331" s="75"/>
      <c r="N331" s="2"/>
      <c r="O331" s="2"/>
      <c r="P331" s="2"/>
      <c r="Q331" s="2"/>
      <c r="R331" s="2"/>
    </row>
    <row r="332" spans="1:18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192"/>
      <c r="L332" s="192"/>
      <c r="M332" s="75"/>
      <c r="N332" s="2"/>
      <c r="O332" s="2"/>
      <c r="P332" s="2"/>
      <c r="Q332" s="2"/>
      <c r="R332" s="2"/>
    </row>
    <row r="333" spans="1:18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192"/>
      <c r="L333" s="192"/>
      <c r="M333" s="75"/>
      <c r="N333" s="2"/>
      <c r="O333" s="2"/>
      <c r="P333" s="2"/>
      <c r="Q333" s="2"/>
      <c r="R333" s="2"/>
    </row>
    <row r="334" spans="1:18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192"/>
      <c r="L334" s="192"/>
      <c r="M334" s="75"/>
      <c r="N334" s="2"/>
      <c r="O334" s="2"/>
      <c r="P334" s="2"/>
      <c r="Q334" s="2"/>
      <c r="R334" s="2"/>
    </row>
    <row r="335" spans="1:18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192"/>
      <c r="L335" s="192"/>
      <c r="M335" s="75"/>
      <c r="N335" s="2"/>
      <c r="O335" s="2"/>
      <c r="P335" s="2"/>
      <c r="Q335" s="2"/>
      <c r="R335" s="2"/>
    </row>
    <row r="336" spans="1:18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192"/>
      <c r="L336" s="192"/>
      <c r="M336" s="75"/>
      <c r="N336" s="2"/>
      <c r="O336" s="2"/>
      <c r="P336" s="2"/>
      <c r="Q336" s="2"/>
      <c r="R336" s="2"/>
    </row>
    <row r="337" spans="1:18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192"/>
      <c r="L337" s="192"/>
      <c r="M337" s="75"/>
      <c r="N337" s="2"/>
      <c r="O337" s="2"/>
      <c r="P337" s="2"/>
      <c r="Q337" s="2"/>
      <c r="R337" s="2"/>
    </row>
    <row r="338" spans="1:18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192"/>
      <c r="L338" s="192"/>
      <c r="M338" s="75"/>
      <c r="N338" s="2"/>
      <c r="O338" s="2"/>
      <c r="P338" s="2"/>
      <c r="Q338" s="2"/>
      <c r="R338" s="2"/>
    </row>
    <row r="339" spans="1:18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192"/>
      <c r="L339" s="192"/>
      <c r="M339" s="75"/>
      <c r="N339" s="2"/>
      <c r="O339" s="2"/>
      <c r="P339" s="2"/>
      <c r="Q339" s="2"/>
      <c r="R339" s="2"/>
    </row>
    <row r="340" spans="1:18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192"/>
      <c r="L340" s="192"/>
      <c r="M340" s="75"/>
      <c r="N340" s="2"/>
      <c r="O340" s="2"/>
      <c r="P340" s="2"/>
      <c r="Q340" s="2"/>
      <c r="R340" s="2"/>
    </row>
    <row r="341" spans="1:18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192"/>
      <c r="L341" s="192"/>
      <c r="M341" s="75"/>
      <c r="N341" s="2"/>
      <c r="O341" s="2"/>
      <c r="P341" s="2"/>
      <c r="Q341" s="2"/>
      <c r="R341" s="2"/>
    </row>
    <row r="342" spans="1:18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192"/>
      <c r="L342" s="192"/>
      <c r="M342" s="75"/>
      <c r="N342" s="2"/>
      <c r="O342" s="2"/>
      <c r="P342" s="2"/>
      <c r="Q342" s="2"/>
      <c r="R342" s="2"/>
    </row>
    <row r="343" spans="1:18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192"/>
      <c r="L343" s="192"/>
      <c r="M343" s="75"/>
      <c r="N343" s="2"/>
      <c r="O343" s="2"/>
      <c r="P343" s="2"/>
      <c r="Q343" s="2"/>
      <c r="R343" s="2"/>
    </row>
    <row r="344" spans="1:18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192"/>
      <c r="L344" s="192"/>
      <c r="M344" s="75"/>
      <c r="N344" s="2"/>
      <c r="O344" s="2"/>
      <c r="P344" s="2"/>
      <c r="Q344" s="2"/>
      <c r="R344" s="2"/>
    </row>
    <row r="345" spans="1:18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192"/>
      <c r="L345" s="192"/>
      <c r="M345" s="75"/>
      <c r="N345" s="2"/>
      <c r="O345" s="2"/>
      <c r="P345" s="2"/>
      <c r="Q345" s="2"/>
      <c r="R345" s="2"/>
    </row>
    <row r="346" spans="1:18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192"/>
      <c r="L346" s="192"/>
      <c r="M346" s="75"/>
      <c r="N346" s="2"/>
      <c r="O346" s="2"/>
      <c r="P346" s="2"/>
      <c r="Q346" s="2"/>
      <c r="R346" s="2"/>
    </row>
    <row r="347" spans="1:18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192"/>
      <c r="L347" s="192"/>
      <c r="M347" s="75"/>
      <c r="N347" s="2"/>
      <c r="O347" s="2"/>
      <c r="P347" s="2"/>
      <c r="Q347" s="2"/>
      <c r="R347" s="2"/>
    </row>
    <row r="348" spans="1:18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92"/>
      <c r="L348" s="192"/>
      <c r="M348" s="75"/>
      <c r="N348" s="2"/>
      <c r="O348" s="2"/>
      <c r="P348" s="2"/>
      <c r="Q348" s="2"/>
      <c r="R348" s="2"/>
    </row>
    <row r="349" spans="1:18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192"/>
      <c r="L349" s="192"/>
      <c r="M349" s="75"/>
      <c r="N349" s="2"/>
      <c r="O349" s="2"/>
      <c r="P349" s="2"/>
      <c r="Q349" s="2"/>
      <c r="R349" s="2"/>
    </row>
    <row r="350" spans="1:18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192"/>
      <c r="L350" s="192"/>
      <c r="M350" s="75"/>
      <c r="N350" s="2"/>
      <c r="O350" s="2"/>
      <c r="P350" s="2"/>
      <c r="Q350" s="2"/>
      <c r="R350" s="2"/>
    </row>
    <row r="351" spans="1:18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192"/>
      <c r="L351" s="192"/>
      <c r="M351" s="75"/>
      <c r="N351" s="2"/>
      <c r="O351" s="2"/>
      <c r="P351" s="2"/>
      <c r="Q351" s="2"/>
      <c r="R351" s="2"/>
    </row>
    <row r="352" spans="1:18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192"/>
      <c r="L352" s="192"/>
      <c r="M352" s="75"/>
      <c r="N352" s="2"/>
      <c r="O352" s="2"/>
      <c r="P352" s="2"/>
      <c r="Q352" s="2"/>
      <c r="R352" s="2"/>
    </row>
    <row r="353" spans="1:18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192"/>
      <c r="L353" s="192"/>
      <c r="M353" s="75"/>
      <c r="N353" s="2"/>
      <c r="O353" s="2"/>
      <c r="P353" s="2"/>
      <c r="Q353" s="2"/>
      <c r="R353" s="2"/>
    </row>
    <row r="354" spans="1:18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192"/>
      <c r="L354" s="192"/>
      <c r="M354" s="75"/>
      <c r="N354" s="2"/>
      <c r="O354" s="2"/>
      <c r="P354" s="2"/>
      <c r="Q354" s="2"/>
      <c r="R354" s="2"/>
    </row>
    <row r="355" spans="1:18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192"/>
      <c r="L355" s="192"/>
      <c r="M355" s="75"/>
      <c r="N355" s="2"/>
      <c r="O355" s="2"/>
      <c r="P355" s="2"/>
      <c r="Q355" s="2"/>
      <c r="R355" s="2"/>
    </row>
    <row r="356" spans="1:18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192"/>
      <c r="L356" s="192"/>
      <c r="M356" s="75"/>
      <c r="N356" s="2"/>
      <c r="O356" s="2"/>
      <c r="P356" s="2"/>
      <c r="Q356" s="2"/>
      <c r="R356" s="2"/>
    </row>
    <row r="357" spans="1:18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192"/>
      <c r="L357" s="192"/>
      <c r="M357" s="75"/>
      <c r="N357" s="2"/>
      <c r="O357" s="2"/>
      <c r="P357" s="2"/>
      <c r="Q357" s="2"/>
      <c r="R357" s="2"/>
    </row>
    <row r="358" spans="1:18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192"/>
      <c r="L358" s="192"/>
      <c r="M358" s="75"/>
      <c r="N358" s="2"/>
      <c r="O358" s="2"/>
      <c r="P358" s="2"/>
      <c r="Q358" s="2"/>
      <c r="R358" s="2"/>
    </row>
    <row r="359" spans="1:18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192"/>
      <c r="L359" s="192"/>
      <c r="M359" s="75"/>
      <c r="N359" s="2"/>
      <c r="O359" s="2"/>
      <c r="P359" s="2"/>
      <c r="Q359" s="2"/>
      <c r="R359" s="2"/>
    </row>
    <row r="360" spans="1:18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192"/>
      <c r="L360" s="192"/>
      <c r="M360" s="75"/>
      <c r="N360" s="2"/>
      <c r="O360" s="2"/>
      <c r="P360" s="2"/>
      <c r="Q360" s="2"/>
      <c r="R360" s="2"/>
    </row>
    <row r="361" spans="1:18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192"/>
      <c r="L361" s="192"/>
      <c r="M361" s="75"/>
      <c r="N361" s="2"/>
      <c r="O361" s="2"/>
      <c r="P361" s="2"/>
      <c r="Q361" s="2"/>
      <c r="R361" s="2"/>
    </row>
    <row r="362" spans="1:18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192"/>
      <c r="L362" s="192"/>
      <c r="M362" s="75"/>
      <c r="N362" s="2"/>
      <c r="O362" s="2"/>
      <c r="P362" s="2"/>
      <c r="Q362" s="2"/>
      <c r="R362" s="2"/>
    </row>
    <row r="363" spans="1:18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192"/>
      <c r="L363" s="192"/>
      <c r="M363" s="75"/>
      <c r="N363" s="2"/>
      <c r="O363" s="2"/>
      <c r="P363" s="2"/>
      <c r="Q363" s="2"/>
      <c r="R363" s="2"/>
    </row>
    <row r="364" spans="1:18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192"/>
      <c r="L364" s="192"/>
      <c r="M364" s="75"/>
      <c r="N364" s="2"/>
      <c r="O364" s="2"/>
      <c r="P364" s="2"/>
      <c r="Q364" s="2"/>
      <c r="R364" s="2"/>
    </row>
    <row r="365" spans="1:18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192"/>
      <c r="L365" s="192"/>
      <c r="M365" s="75"/>
      <c r="N365" s="2"/>
      <c r="O365" s="2"/>
      <c r="P365" s="2"/>
      <c r="Q365" s="2"/>
      <c r="R365" s="2"/>
    </row>
    <row r="366" spans="1:18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192"/>
      <c r="L366" s="192"/>
      <c r="M366" s="75"/>
      <c r="N366" s="2"/>
      <c r="O366" s="2"/>
      <c r="P366" s="2"/>
      <c r="Q366" s="2"/>
      <c r="R366" s="2"/>
    </row>
    <row r="367" spans="1:18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192"/>
      <c r="L367" s="192"/>
      <c r="M367" s="75"/>
      <c r="N367" s="2"/>
      <c r="O367" s="2"/>
      <c r="P367" s="2"/>
      <c r="Q367" s="2"/>
      <c r="R367" s="2"/>
    </row>
    <row r="368" spans="1:18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192"/>
      <c r="L368" s="192"/>
      <c r="M368" s="75"/>
      <c r="N368" s="2"/>
      <c r="O368" s="2"/>
      <c r="P368" s="2"/>
      <c r="Q368" s="2"/>
      <c r="R368" s="2"/>
    </row>
    <row r="369" spans="1:18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192"/>
      <c r="L369" s="192"/>
      <c r="M369" s="75"/>
      <c r="N369" s="2"/>
      <c r="O369" s="2"/>
      <c r="P369" s="2"/>
      <c r="Q369" s="2"/>
      <c r="R369" s="2"/>
    </row>
    <row r="370" spans="1:18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192"/>
      <c r="L370" s="192"/>
      <c r="M370" s="75"/>
      <c r="N370" s="2"/>
      <c r="O370" s="2"/>
      <c r="P370" s="2"/>
      <c r="Q370" s="2"/>
      <c r="R370" s="2"/>
    </row>
    <row r="371" spans="1:18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192"/>
      <c r="L371" s="192"/>
      <c r="M371" s="75"/>
      <c r="N371" s="2"/>
      <c r="O371" s="2"/>
      <c r="P371" s="2"/>
      <c r="Q371" s="2"/>
      <c r="R371" s="2"/>
    </row>
    <row r="372" spans="1:18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192"/>
      <c r="L372" s="192"/>
      <c r="M372" s="75"/>
      <c r="N372" s="2"/>
      <c r="O372" s="2"/>
      <c r="P372" s="2"/>
      <c r="Q372" s="2"/>
      <c r="R372" s="2"/>
    </row>
    <row r="373" spans="1:18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192"/>
      <c r="L373" s="192"/>
      <c r="M373" s="75"/>
      <c r="N373" s="2"/>
      <c r="O373" s="2"/>
      <c r="P373" s="2"/>
      <c r="Q373" s="2"/>
      <c r="R373" s="2"/>
    </row>
    <row r="374" spans="1:18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192"/>
      <c r="L374" s="192"/>
      <c r="M374" s="75"/>
      <c r="N374" s="2"/>
      <c r="O374" s="2"/>
      <c r="P374" s="2"/>
      <c r="Q374" s="2"/>
      <c r="R374" s="2"/>
    </row>
    <row r="375" spans="1:18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192"/>
      <c r="L375" s="192"/>
      <c r="M375" s="75"/>
      <c r="N375" s="2"/>
      <c r="O375" s="2"/>
      <c r="P375" s="2"/>
      <c r="Q375" s="2"/>
      <c r="R375" s="2"/>
    </row>
    <row r="376" spans="1:18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192"/>
      <c r="L376" s="192"/>
      <c r="M376" s="75"/>
      <c r="N376" s="2"/>
      <c r="O376" s="2"/>
      <c r="P376" s="2"/>
      <c r="Q376" s="2"/>
      <c r="R376" s="2"/>
    </row>
    <row r="377" spans="1:18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192"/>
      <c r="L377" s="192"/>
      <c r="M377" s="75"/>
      <c r="N377" s="2"/>
      <c r="O377" s="2"/>
      <c r="P377" s="2"/>
      <c r="Q377" s="2"/>
      <c r="R377" s="2"/>
    </row>
    <row r="378" spans="1:18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192"/>
      <c r="L378" s="192"/>
      <c r="M378" s="75"/>
      <c r="N378" s="2"/>
      <c r="O378" s="2"/>
      <c r="P378" s="2"/>
      <c r="Q378" s="2"/>
      <c r="R378" s="2"/>
    </row>
    <row r="379" spans="1:18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192"/>
      <c r="L379" s="192"/>
      <c r="M379" s="75"/>
      <c r="N379" s="2"/>
      <c r="O379" s="2"/>
      <c r="P379" s="2"/>
      <c r="Q379" s="2"/>
      <c r="R379" s="2"/>
    </row>
    <row r="380" spans="1:18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192"/>
      <c r="L380" s="192"/>
      <c r="M380" s="75"/>
      <c r="N380" s="2"/>
      <c r="O380" s="2"/>
      <c r="P380" s="2"/>
      <c r="Q380" s="2"/>
      <c r="R380" s="2"/>
    </row>
    <row r="381" spans="1:18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192"/>
      <c r="L381" s="192"/>
      <c r="M381" s="75"/>
      <c r="N381" s="2"/>
      <c r="O381" s="2"/>
      <c r="P381" s="2"/>
      <c r="Q381" s="2"/>
      <c r="R381" s="2"/>
    </row>
    <row r="382" spans="1:18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192"/>
      <c r="L382" s="192"/>
      <c r="M382" s="75"/>
      <c r="N382" s="2"/>
      <c r="O382" s="2"/>
      <c r="P382" s="2"/>
      <c r="Q382" s="2"/>
      <c r="R382" s="2"/>
    </row>
    <row r="383" spans="1:18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192"/>
      <c r="L383" s="192"/>
      <c r="M383" s="75"/>
      <c r="N383" s="2"/>
      <c r="O383" s="2"/>
      <c r="P383" s="2"/>
      <c r="Q383" s="2"/>
      <c r="R383" s="2"/>
    </row>
    <row r="384" spans="1:18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192"/>
      <c r="L384" s="192"/>
      <c r="M384" s="75"/>
      <c r="N384" s="2"/>
      <c r="O384" s="2"/>
      <c r="P384" s="2"/>
      <c r="Q384" s="2"/>
      <c r="R384" s="2"/>
    </row>
    <row r="385" spans="1:18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192"/>
      <c r="L385" s="192"/>
      <c r="M385" s="75"/>
      <c r="N385" s="2"/>
      <c r="O385" s="2"/>
      <c r="P385" s="2"/>
      <c r="Q385" s="2"/>
      <c r="R385" s="2"/>
    </row>
    <row r="386" spans="1:18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192"/>
      <c r="L386" s="192"/>
      <c r="M386" s="75"/>
      <c r="N386" s="2"/>
      <c r="O386" s="2"/>
      <c r="P386" s="2"/>
      <c r="Q386" s="2"/>
      <c r="R386" s="2"/>
    </row>
    <row r="387" spans="1:18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192"/>
      <c r="L387" s="192"/>
      <c r="M387" s="75"/>
      <c r="N387" s="2"/>
      <c r="O387" s="2"/>
      <c r="P387" s="2"/>
      <c r="Q387" s="2"/>
      <c r="R387" s="2"/>
    </row>
    <row r="388" spans="1:18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192"/>
      <c r="L388" s="192"/>
      <c r="M388" s="75"/>
      <c r="N388" s="2"/>
      <c r="O388" s="2"/>
      <c r="P388" s="2"/>
      <c r="Q388" s="2"/>
      <c r="R388" s="2"/>
    </row>
    <row r="389" spans="1:18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192"/>
      <c r="L389" s="192"/>
      <c r="M389" s="75"/>
      <c r="N389" s="2"/>
      <c r="O389" s="2"/>
      <c r="P389" s="2"/>
      <c r="Q389" s="2"/>
      <c r="R389" s="2"/>
    </row>
    <row r="390" spans="1:18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192"/>
      <c r="L390" s="192"/>
      <c r="M390" s="75"/>
      <c r="N390" s="2"/>
      <c r="O390" s="2"/>
      <c r="P390" s="2"/>
      <c r="Q390" s="2"/>
      <c r="R390" s="2"/>
    </row>
    <row r="391" spans="1:18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192"/>
      <c r="L391" s="192"/>
      <c r="M391" s="75"/>
      <c r="N391" s="2"/>
      <c r="O391" s="2"/>
      <c r="P391" s="2"/>
      <c r="Q391" s="2"/>
      <c r="R391" s="2"/>
    </row>
    <row r="392" spans="1:18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192"/>
      <c r="L392" s="192"/>
      <c r="M392" s="75"/>
      <c r="N392" s="2"/>
      <c r="O392" s="2"/>
      <c r="P392" s="2"/>
      <c r="Q392" s="2"/>
      <c r="R392" s="2"/>
    </row>
    <row r="393" spans="1:18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192"/>
      <c r="L393" s="192"/>
      <c r="M393" s="75"/>
      <c r="N393" s="2"/>
      <c r="O393" s="2"/>
      <c r="P393" s="2"/>
      <c r="Q393" s="2"/>
      <c r="R393" s="2"/>
    </row>
    <row r="394" spans="1:18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192"/>
      <c r="L394" s="192"/>
      <c r="M394" s="75"/>
      <c r="N394" s="2"/>
      <c r="O394" s="2"/>
      <c r="P394" s="2"/>
      <c r="Q394" s="2"/>
      <c r="R394" s="2"/>
    </row>
    <row r="395" spans="1:18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192"/>
      <c r="L395" s="192"/>
      <c r="M395" s="75"/>
      <c r="N395" s="2"/>
      <c r="O395" s="2"/>
      <c r="P395" s="2"/>
      <c r="Q395" s="2"/>
      <c r="R395" s="2"/>
    </row>
    <row r="396" spans="1:18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192"/>
      <c r="L396" s="192"/>
      <c r="M396" s="75"/>
      <c r="N396" s="2"/>
      <c r="O396" s="2"/>
      <c r="P396" s="2"/>
      <c r="Q396" s="2"/>
      <c r="R396" s="2"/>
    </row>
    <row r="397" spans="1:18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192"/>
      <c r="L397" s="192"/>
      <c r="M397" s="75"/>
      <c r="N397" s="2"/>
      <c r="O397" s="2"/>
      <c r="P397" s="2"/>
      <c r="Q397" s="2"/>
      <c r="R397" s="2"/>
    </row>
    <row r="398" spans="1:18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192"/>
      <c r="L398" s="192"/>
      <c r="M398" s="75"/>
      <c r="N398" s="2"/>
      <c r="O398" s="2"/>
      <c r="P398" s="2"/>
      <c r="Q398" s="2"/>
      <c r="R398" s="2"/>
    </row>
    <row r="399" spans="1:18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192"/>
      <c r="L399" s="192"/>
      <c r="M399" s="75"/>
      <c r="N399" s="2"/>
      <c r="O399" s="2"/>
      <c r="P399" s="2"/>
      <c r="Q399" s="2"/>
      <c r="R399" s="2"/>
    </row>
    <row r="400" spans="1:18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192"/>
      <c r="L400" s="192"/>
      <c r="M400" s="75"/>
      <c r="N400" s="2"/>
      <c r="O400" s="2"/>
      <c r="P400" s="2"/>
      <c r="Q400" s="2"/>
      <c r="R400" s="2"/>
    </row>
    <row r="401" spans="1:18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192"/>
      <c r="L401" s="192"/>
      <c r="M401" s="75"/>
      <c r="N401" s="2"/>
      <c r="O401" s="2"/>
      <c r="P401" s="2"/>
      <c r="Q401" s="2"/>
      <c r="R401" s="2"/>
    </row>
    <row r="402" spans="1:18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192"/>
      <c r="L402" s="192"/>
      <c r="M402" s="75"/>
      <c r="N402" s="2"/>
      <c r="O402" s="2"/>
      <c r="P402" s="2"/>
      <c r="Q402" s="2"/>
      <c r="R402" s="2"/>
    </row>
    <row r="403" spans="1:18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192"/>
      <c r="L403" s="192"/>
      <c r="M403" s="75"/>
      <c r="N403" s="2"/>
      <c r="O403" s="2"/>
      <c r="P403" s="2"/>
      <c r="Q403" s="2"/>
      <c r="R403" s="2"/>
    </row>
    <row r="404" spans="1:18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192"/>
      <c r="L404" s="192"/>
      <c r="M404" s="75"/>
      <c r="N404" s="2"/>
      <c r="O404" s="2"/>
      <c r="P404" s="2"/>
      <c r="Q404" s="2"/>
      <c r="R404" s="2"/>
    </row>
    <row r="405" spans="1:18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192"/>
      <c r="L405" s="192"/>
      <c r="M405" s="75"/>
      <c r="N405" s="2"/>
      <c r="O405" s="2"/>
      <c r="P405" s="2"/>
      <c r="Q405" s="2"/>
      <c r="R405" s="2"/>
    </row>
    <row r="406" spans="1:18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192"/>
      <c r="L406" s="192"/>
      <c r="M406" s="75"/>
      <c r="N406" s="2"/>
      <c r="O406" s="2"/>
      <c r="P406" s="2"/>
      <c r="Q406" s="2"/>
      <c r="R406" s="2"/>
    </row>
    <row r="407" spans="1:18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192"/>
      <c r="L407" s="192"/>
      <c r="M407" s="75"/>
      <c r="N407" s="2"/>
      <c r="O407" s="2"/>
      <c r="P407" s="2"/>
      <c r="Q407" s="2"/>
      <c r="R407" s="2"/>
    </row>
    <row r="408" spans="1:18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192"/>
      <c r="L408" s="192"/>
      <c r="M408" s="75"/>
      <c r="N408" s="2"/>
      <c r="O408" s="2"/>
      <c r="P408" s="2"/>
      <c r="Q408" s="2"/>
      <c r="R408" s="2"/>
    </row>
    <row r="409" spans="1:18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192"/>
      <c r="L409" s="192"/>
      <c r="M409" s="75"/>
      <c r="N409" s="2"/>
      <c r="O409" s="2"/>
      <c r="P409" s="2"/>
      <c r="Q409" s="2"/>
      <c r="R409" s="2"/>
    </row>
    <row r="410" spans="1:18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192"/>
      <c r="L410" s="192"/>
      <c r="M410" s="75"/>
      <c r="N410" s="2"/>
      <c r="O410" s="2"/>
      <c r="P410" s="2"/>
      <c r="Q410" s="2"/>
      <c r="R410" s="2"/>
    </row>
    <row r="411" spans="1:18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192"/>
      <c r="L411" s="192"/>
      <c r="M411" s="75"/>
      <c r="N411" s="2"/>
      <c r="O411" s="2"/>
      <c r="P411" s="2"/>
      <c r="Q411" s="2"/>
      <c r="R411" s="2"/>
    </row>
    <row r="412" spans="1:18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192"/>
      <c r="L412" s="192"/>
      <c r="M412" s="75"/>
      <c r="N412" s="2"/>
      <c r="O412" s="2"/>
      <c r="P412" s="2"/>
      <c r="Q412" s="2"/>
      <c r="R412" s="2"/>
    </row>
    <row r="413" spans="1:18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192"/>
      <c r="L413" s="192"/>
      <c r="M413" s="75"/>
      <c r="N413" s="2"/>
      <c r="O413" s="2"/>
      <c r="P413" s="2"/>
      <c r="Q413" s="2"/>
      <c r="R413" s="2"/>
    </row>
  </sheetData>
  <phoneticPr fontId="0" type="noConversion"/>
  <printOptions horizontalCentered="1"/>
  <pageMargins left="0.45" right="0.25" top="0.31944444444444398" bottom="0.2" header="0.5" footer="0.5"/>
  <pageSetup scale="64" orientation="landscape" r:id="rId1"/>
  <headerFooter alignWithMargins="0"/>
  <rowBreaks count="3" manualBreakCount="3">
    <brk id="47" max="12" man="1"/>
    <brk id="87" max="12" man="1"/>
    <brk id="12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51"/>
  <sheetViews>
    <sheetView showOutlineSymbols="0" view="pageBreakPreview" topLeftCell="A4" zoomScale="60" zoomScaleNormal="100" workbookViewId="0">
      <selection activeCell="A4" sqref="A4"/>
    </sheetView>
  </sheetViews>
  <sheetFormatPr defaultColWidth="9.6640625" defaultRowHeight="15" x14ac:dyDescent="0.2"/>
  <cols>
    <col min="1" max="1" width="10.21875" style="80" customWidth="1"/>
    <col min="2" max="2" width="9.77734375" style="80" customWidth="1"/>
    <col min="3" max="3" width="16.109375" style="80" customWidth="1"/>
    <col min="4" max="4" width="16.21875" style="80" customWidth="1"/>
    <col min="5" max="5" width="13.6640625" style="80" customWidth="1"/>
    <col min="6" max="6" width="14.33203125" style="80" customWidth="1"/>
    <col min="7" max="7" width="21.44140625" style="80" customWidth="1"/>
    <col min="8" max="8" width="17.88671875" style="80" customWidth="1"/>
    <col min="9" max="9" width="15.44140625" style="80" customWidth="1"/>
    <col min="10" max="10" width="14.6640625" style="80" customWidth="1"/>
    <col min="11" max="11" width="11.5546875" style="80" customWidth="1"/>
    <col min="12" max="12" width="12.77734375" style="80" customWidth="1"/>
    <col min="13" max="13" width="14.5546875" style="80" customWidth="1"/>
    <col min="14" max="14" width="9.44140625" style="80" customWidth="1"/>
    <col min="15" max="15" width="13.88671875" style="80" customWidth="1"/>
    <col min="16" max="16" width="3.77734375" style="80" customWidth="1"/>
    <col min="17" max="16384" width="9.6640625" style="80"/>
  </cols>
  <sheetData>
    <row r="1" spans="1:16" ht="23.25" x14ac:dyDescent="0.35">
      <c r="A1" s="78" t="s">
        <v>0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6" ht="23.25" x14ac:dyDescent="0.35">
      <c r="A2" s="78" t="s">
        <v>23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6" ht="23.25" x14ac:dyDescent="0.35">
      <c r="A3" s="78" t="s">
        <v>71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6" ht="23.25" x14ac:dyDescent="0.35">
      <c r="A4" s="78"/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6" ht="24" thickBot="1" x14ac:dyDescent="0.4">
      <c r="A5" s="78" t="s">
        <v>24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6" ht="16.5" thickTop="1" x14ac:dyDescent="0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 t="s">
        <v>25</v>
      </c>
      <c r="P6" s="83"/>
    </row>
    <row r="7" spans="1:16" ht="15.75" x14ac:dyDescent="0.25">
      <c r="A7" s="105" t="s">
        <v>26</v>
      </c>
      <c r="B7" s="84" t="s">
        <v>13</v>
      </c>
      <c r="C7" s="84" t="s">
        <v>15</v>
      </c>
      <c r="D7" s="84" t="s">
        <v>56</v>
      </c>
      <c r="E7" s="275" t="s">
        <v>62</v>
      </c>
      <c r="F7" s="84" t="s">
        <v>16</v>
      </c>
      <c r="G7" s="84" t="s">
        <v>61</v>
      </c>
      <c r="H7" s="84" t="s">
        <v>17</v>
      </c>
      <c r="I7" s="84" t="s">
        <v>55</v>
      </c>
      <c r="J7" s="84" t="s">
        <v>27</v>
      </c>
      <c r="K7" s="84" t="s">
        <v>57</v>
      </c>
      <c r="L7" s="84" t="s">
        <v>53</v>
      </c>
      <c r="M7" s="84" t="s">
        <v>19</v>
      </c>
      <c r="N7" s="84" t="s">
        <v>54</v>
      </c>
      <c r="O7" s="84" t="s">
        <v>28</v>
      </c>
      <c r="P7" s="83"/>
    </row>
    <row r="8" spans="1:16" ht="16.5" thickBot="1" x14ac:dyDescent="0.3">
      <c r="A8" s="85"/>
      <c r="B8" s="85"/>
      <c r="C8" s="85"/>
      <c r="D8" s="85"/>
      <c r="E8" s="276"/>
      <c r="F8" s="85"/>
      <c r="G8" s="85"/>
      <c r="H8" s="85"/>
      <c r="I8" s="85"/>
      <c r="J8" s="85"/>
      <c r="K8" s="85"/>
      <c r="L8" s="85"/>
      <c r="M8" s="85"/>
      <c r="N8" s="85"/>
      <c r="O8" s="85"/>
      <c r="P8" s="83"/>
    </row>
    <row r="9" spans="1:16" ht="15.75" thickTop="1" x14ac:dyDescent="0.2">
      <c r="A9" s="86"/>
      <c r="B9" s="86"/>
      <c r="C9" s="86"/>
      <c r="D9" s="86"/>
      <c r="E9" s="87"/>
      <c r="F9" s="87"/>
      <c r="G9" s="87"/>
      <c r="H9" s="87"/>
      <c r="I9" s="87"/>
      <c r="J9" s="86"/>
      <c r="K9" s="86"/>
      <c r="L9" s="86"/>
      <c r="M9" s="86"/>
      <c r="N9" s="86"/>
      <c r="O9" s="86"/>
      <c r="P9" s="83"/>
    </row>
    <row r="10" spans="1:16" ht="15.75" x14ac:dyDescent="0.25">
      <c r="A10" s="88">
        <f>DATE(2019,7,1)</f>
        <v>43647</v>
      </c>
      <c r="B10" s="89">
        <f>'MONTHLY STATS'!$C$9*2</f>
        <v>547638</v>
      </c>
      <c r="C10" s="89">
        <f>'MONTHLY STATS'!$C$19*2</f>
        <v>257754</v>
      </c>
      <c r="D10" s="89">
        <f>'MONTHLY STATS'!$C$29*2</f>
        <v>133644</v>
      </c>
      <c r="E10" s="89">
        <f>'MONTHLY STATS'!$C$39*2</f>
        <v>876434</v>
      </c>
      <c r="F10" s="89">
        <f>'MONTHLY STATS'!$C$49*2</f>
        <v>577518</v>
      </c>
      <c r="G10" s="89">
        <f>'MONTHLY STATS'!$C$59*2</f>
        <v>221856</v>
      </c>
      <c r="H10" s="89">
        <f>'MONTHLY STATS'!$C$69*2</f>
        <v>302822</v>
      </c>
      <c r="I10" s="89">
        <f>'MONTHLY STATS'!$C$79*2</f>
        <v>647442</v>
      </c>
      <c r="J10" s="89">
        <f>'MONTHLY STATS'!$C$89*2</f>
        <v>733218</v>
      </c>
      <c r="K10" s="89">
        <f>'MONTHLY STATS'!$C$99*2</f>
        <v>840884</v>
      </c>
      <c r="L10" s="89">
        <f>'MONTHLY STATS'!$C$109*2</f>
        <v>122654</v>
      </c>
      <c r="M10" s="89">
        <f>'MONTHLY STATS'!$C$119*2</f>
        <v>894948</v>
      </c>
      <c r="N10" s="89">
        <f>'MONTHLY STATS'!$C$129*2</f>
        <v>154862</v>
      </c>
      <c r="O10" s="90">
        <f t="shared" ref="O10:O15" si="0">SUM(B10:N10)</f>
        <v>6311674</v>
      </c>
      <c r="P10" s="83"/>
    </row>
    <row r="11" spans="1:16" ht="15.75" x14ac:dyDescent="0.25">
      <c r="A11" s="88">
        <f>DATE(2019,8,1)</f>
        <v>43678</v>
      </c>
      <c r="B11" s="89">
        <f>'MONTHLY STATS'!$C$10*2</f>
        <v>553760</v>
      </c>
      <c r="C11" s="89">
        <f>'MONTHLY STATS'!$C$20*2</f>
        <v>260266</v>
      </c>
      <c r="D11" s="89">
        <f>'MONTHLY STATS'!$C$30*2</f>
        <v>138050</v>
      </c>
      <c r="E11" s="89">
        <f>'MONTHLY STATS'!$C$40*2</f>
        <v>874058</v>
      </c>
      <c r="F11" s="89">
        <f>'MONTHLY STATS'!$C$50*2</f>
        <v>585914</v>
      </c>
      <c r="G11" s="89">
        <f>'MONTHLY STATS'!$C$60*2</f>
        <v>228616</v>
      </c>
      <c r="H11" s="89">
        <f>'MONTHLY STATS'!$C$70*2</f>
        <v>306888</v>
      </c>
      <c r="I11" s="89">
        <f>'MONTHLY STATS'!$C$80*2</f>
        <v>649404</v>
      </c>
      <c r="J11" s="89">
        <f>'MONTHLY STATS'!$C$90*2</f>
        <v>769892</v>
      </c>
      <c r="K11" s="89">
        <f>'MONTHLY STATS'!$C$100*2</f>
        <v>880314</v>
      </c>
      <c r="L11" s="89">
        <f>'MONTHLY STATS'!$C$110*2</f>
        <v>125774</v>
      </c>
      <c r="M11" s="89">
        <f>'MONTHLY STATS'!$C$120*2</f>
        <v>926790</v>
      </c>
      <c r="N11" s="89">
        <f>'MONTHLY STATS'!$C$130*2</f>
        <v>166064</v>
      </c>
      <c r="O11" s="90">
        <f t="shared" si="0"/>
        <v>6465790</v>
      </c>
      <c r="P11" s="83"/>
    </row>
    <row r="12" spans="1:16" ht="15.75" x14ac:dyDescent="0.25">
      <c r="A12" s="88">
        <f>DATE(2019,9,1)</f>
        <v>43709</v>
      </c>
      <c r="B12" s="89">
        <f>'MONTHLY STATS'!$C$11*2</f>
        <v>508056</v>
      </c>
      <c r="C12" s="89">
        <f>'MONTHLY STATS'!$C$21*2</f>
        <v>236502</v>
      </c>
      <c r="D12" s="89">
        <f>'MONTHLY STATS'!$C$31*2</f>
        <v>131146</v>
      </c>
      <c r="E12" s="89">
        <f>'MONTHLY STATS'!$C$41*2</f>
        <v>807698</v>
      </c>
      <c r="F12" s="89">
        <f>'MONTHLY STATS'!$C$51*2</f>
        <v>553426</v>
      </c>
      <c r="G12" s="89">
        <f>'MONTHLY STATS'!$C$61*2</f>
        <v>217338</v>
      </c>
      <c r="H12" s="89">
        <f>'MONTHLY STATS'!$C$71*2</f>
        <v>286098</v>
      </c>
      <c r="I12" s="89">
        <f>'MONTHLY STATS'!$C$81*2</f>
        <v>601562</v>
      </c>
      <c r="J12" s="89">
        <f>'MONTHLY STATS'!$C$91*2</f>
        <v>696336</v>
      </c>
      <c r="K12" s="89">
        <f>'MONTHLY STATS'!$C$101*2</f>
        <v>847168</v>
      </c>
      <c r="L12" s="89">
        <f>'MONTHLY STATS'!$C$111*2</f>
        <v>118216</v>
      </c>
      <c r="M12" s="89">
        <f>'MONTHLY STATS'!$C$121*2</f>
        <v>851784</v>
      </c>
      <c r="N12" s="89">
        <f>'MONTHLY STATS'!$C$131*2</f>
        <v>141848</v>
      </c>
      <c r="O12" s="90">
        <f t="shared" si="0"/>
        <v>5997178</v>
      </c>
      <c r="P12" s="83"/>
    </row>
    <row r="13" spans="1:16" ht="15.75" x14ac:dyDescent="0.25">
      <c r="A13" s="88">
        <f>DATE(2019,10,1)</f>
        <v>43739</v>
      </c>
      <c r="B13" s="89">
        <f>'MONTHLY STATS'!$C$12*2</f>
        <v>501904</v>
      </c>
      <c r="C13" s="89">
        <f>'MONTHLY STATS'!$C$22*2</f>
        <v>226104</v>
      </c>
      <c r="D13" s="89">
        <f>'MONTHLY STATS'!$C$32*2</f>
        <v>126078</v>
      </c>
      <c r="E13" s="89">
        <f>'MONTHLY STATS'!$C$42*2</f>
        <v>793172</v>
      </c>
      <c r="F13" s="89">
        <f>'MONTHLY STATS'!$C$52*2</f>
        <v>530564</v>
      </c>
      <c r="G13" s="89">
        <f>'MONTHLY STATS'!$C$62*2</f>
        <v>217270</v>
      </c>
      <c r="H13" s="89">
        <f>'MONTHLY STATS'!$C$72*2</f>
        <v>294266</v>
      </c>
      <c r="I13" s="89">
        <f>'MONTHLY STATS'!$C$82*2</f>
        <v>567086</v>
      </c>
      <c r="J13" s="89">
        <f>'MONTHLY STATS'!$C$92*2</f>
        <v>694800</v>
      </c>
      <c r="K13" s="89">
        <f>'MONTHLY STATS'!$C$102*2</f>
        <v>844538</v>
      </c>
      <c r="L13" s="89">
        <f>'MONTHLY STATS'!$C$112*2</f>
        <v>112394</v>
      </c>
      <c r="M13" s="89">
        <f>'MONTHLY STATS'!$C$122*2</f>
        <v>811392</v>
      </c>
      <c r="N13" s="89">
        <f>'MONTHLY STATS'!$C$132*2</f>
        <v>140964</v>
      </c>
      <c r="O13" s="90">
        <f t="shared" si="0"/>
        <v>5860532</v>
      </c>
      <c r="P13" s="83"/>
    </row>
    <row r="14" spans="1:16" ht="15.75" x14ac:dyDescent="0.25">
      <c r="A14" s="88">
        <f>DATE(2019,11,1)</f>
        <v>43770</v>
      </c>
      <c r="B14" s="89">
        <f>'MONTHLY STATS'!$C$13*2</f>
        <v>544836</v>
      </c>
      <c r="C14" s="89">
        <f>'MONTHLY STATS'!$C$23*2</f>
        <v>233310</v>
      </c>
      <c r="D14" s="89">
        <f>'MONTHLY STATS'!$C$33*2</f>
        <v>128624</v>
      </c>
      <c r="E14" s="89">
        <f>'MONTHLY STATS'!$C$43*2</f>
        <v>839574</v>
      </c>
      <c r="F14" s="89">
        <f>'MONTHLY STATS'!$C$53*2</f>
        <v>577528</v>
      </c>
      <c r="G14" s="89">
        <f>'MONTHLY STATS'!$C$63*2</f>
        <v>217956</v>
      </c>
      <c r="H14" s="89">
        <f>'MONTHLY STATS'!$C$73*2</f>
        <v>295218</v>
      </c>
      <c r="I14" s="89">
        <f>'MONTHLY STATS'!$C$83*2</f>
        <v>583098</v>
      </c>
      <c r="J14" s="89">
        <f>'MONTHLY STATS'!$C$93*2</f>
        <v>735812</v>
      </c>
      <c r="K14" s="89">
        <f>'MONTHLY STATS'!$C$103*2</f>
        <v>869686</v>
      </c>
      <c r="L14" s="89">
        <f>'MONTHLY STATS'!$C$113*2</f>
        <v>112080</v>
      </c>
      <c r="M14" s="89">
        <f>'MONTHLY STATS'!$C$123*2</f>
        <v>821468</v>
      </c>
      <c r="N14" s="89">
        <f>'MONTHLY STATS'!$C$133*2</f>
        <v>146112</v>
      </c>
      <c r="O14" s="90">
        <f t="shared" si="0"/>
        <v>6105302</v>
      </c>
      <c r="P14" s="83"/>
    </row>
    <row r="15" spans="1:16" ht="15.75" x14ac:dyDescent="0.25">
      <c r="A15" s="88">
        <f>DATE(2019,12,1)</f>
        <v>43800</v>
      </c>
      <c r="B15" s="89">
        <f>'MONTHLY STATS'!$C$14*2</f>
        <v>564690</v>
      </c>
      <c r="C15" s="89">
        <f>'MONTHLY STATS'!$C$24*2</f>
        <v>230978</v>
      </c>
      <c r="D15" s="89">
        <f>'MONTHLY STATS'!$C$34*2</f>
        <v>136940</v>
      </c>
      <c r="E15" s="89">
        <f>'MONTHLY STATS'!$C$44*2</f>
        <v>796040</v>
      </c>
      <c r="F15" s="89">
        <f>'MONTHLY STATS'!$C$54*2</f>
        <v>604618</v>
      </c>
      <c r="G15" s="89">
        <f>'MONTHLY STATS'!$C$64*2</f>
        <v>231708</v>
      </c>
      <c r="H15" s="89">
        <f>'MONTHLY STATS'!$C$74*2</f>
        <v>297648</v>
      </c>
      <c r="I15" s="89">
        <f>'MONTHLY STATS'!$C$84*2</f>
        <v>629628</v>
      </c>
      <c r="J15" s="89">
        <f>'MONTHLY STATS'!$C$94*2</f>
        <v>751566</v>
      </c>
      <c r="K15" s="89">
        <f>'MONTHLY STATS'!$C$104*2</f>
        <v>849840</v>
      </c>
      <c r="L15" s="89">
        <f>'MONTHLY STATS'!$C$114*2</f>
        <v>115594</v>
      </c>
      <c r="M15" s="89">
        <f>'MONTHLY STATS'!$C$124*2</f>
        <v>873976</v>
      </c>
      <c r="N15" s="89">
        <f>'MONTHLY STATS'!$C$134*2</f>
        <v>149990</v>
      </c>
      <c r="O15" s="90">
        <f t="shared" si="0"/>
        <v>6233216</v>
      </c>
      <c r="P15" s="83"/>
    </row>
    <row r="16" spans="1:16" ht="15.75" x14ac:dyDescent="0.25">
      <c r="A16" s="88">
        <f>DATE(2020,1,1)</f>
        <v>43831</v>
      </c>
      <c r="B16" s="89">
        <f>'MONTHLY STATS'!$C$15*2</f>
        <v>489882</v>
      </c>
      <c r="C16" s="89">
        <f>'MONTHLY STATS'!$C$25*2</f>
        <v>208334</v>
      </c>
      <c r="D16" s="89">
        <f>'MONTHLY STATS'!$C$35*2</f>
        <v>128374</v>
      </c>
      <c r="E16" s="89">
        <f>'MONTHLY STATS'!$C$45*2</f>
        <v>785614</v>
      </c>
      <c r="F16" s="89">
        <f>'MONTHLY STATS'!$C$55*2</f>
        <v>536592</v>
      </c>
      <c r="G16" s="89">
        <f>'MONTHLY STATS'!$C$65*2</f>
        <v>218088</v>
      </c>
      <c r="H16" s="89">
        <f>'MONTHLY STATS'!$C$75*2</f>
        <v>276072</v>
      </c>
      <c r="I16" s="89">
        <f>'MONTHLY STATS'!$C$85*2</f>
        <v>570534</v>
      </c>
      <c r="J16" s="89">
        <f>'MONTHLY STATS'!$C$95*2</f>
        <v>661226</v>
      </c>
      <c r="K16" s="89">
        <f>'MONTHLY STATS'!$C$105*2</f>
        <v>825448</v>
      </c>
      <c r="L16" s="89">
        <f>'MONTHLY STATS'!$C$115*2</f>
        <v>97868</v>
      </c>
      <c r="M16" s="89">
        <f>'MONTHLY STATS'!$C$125*2</f>
        <v>827652</v>
      </c>
      <c r="N16" s="89">
        <f>'MONTHLY STATS'!$C$135*2</f>
        <v>146556</v>
      </c>
      <c r="O16" s="90">
        <f>SUM(B16:N16)</f>
        <v>5772240</v>
      </c>
      <c r="P16" s="83"/>
    </row>
    <row r="17" spans="1:16" ht="15.75" x14ac:dyDescent="0.25">
      <c r="A17" s="88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90"/>
      <c r="P17" s="83"/>
    </row>
    <row r="18" spans="1:16" ht="15.75" x14ac:dyDescent="0.25">
      <c r="A18" s="88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90"/>
      <c r="P18" s="83"/>
    </row>
    <row r="19" spans="1:16" ht="15.75" x14ac:dyDescent="0.25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/>
      <c r="P19" s="83"/>
    </row>
    <row r="20" spans="1:16" ht="15.75" x14ac:dyDescent="0.25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90"/>
      <c r="P20" s="83"/>
    </row>
    <row r="21" spans="1:16" ht="15.75" x14ac:dyDescent="0.25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  <c r="P21" s="83"/>
    </row>
    <row r="22" spans="1:16" ht="15.75" x14ac:dyDescent="0.2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83"/>
    </row>
    <row r="23" spans="1:16" ht="15.75" x14ac:dyDescent="0.25">
      <c r="A23" s="91" t="s">
        <v>29</v>
      </c>
      <c r="B23" s="90">
        <f t="shared" ref="B23:O23" si="1">SUM(B10:B21)</f>
        <v>3710766</v>
      </c>
      <c r="C23" s="90">
        <f t="shared" si="1"/>
        <v>1653248</v>
      </c>
      <c r="D23" s="90">
        <f t="shared" si="1"/>
        <v>922856</v>
      </c>
      <c r="E23" s="90">
        <f t="shared" si="1"/>
        <v>5772590</v>
      </c>
      <c r="F23" s="90">
        <f t="shared" si="1"/>
        <v>3966160</v>
      </c>
      <c r="G23" s="90">
        <f>SUM(G10:G21)</f>
        <v>1552832</v>
      </c>
      <c r="H23" s="90">
        <f t="shared" si="1"/>
        <v>2059012</v>
      </c>
      <c r="I23" s="90">
        <f>SUM(I10:I21)</f>
        <v>4248754</v>
      </c>
      <c r="J23" s="90">
        <f t="shared" si="1"/>
        <v>5042850</v>
      </c>
      <c r="K23" s="90">
        <f>SUM(K10:K21)</f>
        <v>5957878</v>
      </c>
      <c r="L23" s="90">
        <f t="shared" si="1"/>
        <v>804580</v>
      </c>
      <c r="M23" s="90">
        <f t="shared" si="1"/>
        <v>6008010</v>
      </c>
      <c r="N23" s="90">
        <f t="shared" si="1"/>
        <v>1046396</v>
      </c>
      <c r="O23" s="90">
        <f t="shared" si="1"/>
        <v>42745932</v>
      </c>
      <c r="P23" s="83"/>
    </row>
    <row r="24" spans="1:16" ht="16.5" thickBot="1" x14ac:dyDescent="0.3">
      <c r="A24" s="92"/>
      <c r="B24" s="90"/>
      <c r="C24" s="90"/>
      <c r="D24" s="90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0"/>
      <c r="P24" s="83"/>
    </row>
    <row r="25" spans="1:16" ht="15.75" thickTop="1" x14ac:dyDescent="0.2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5"/>
      <c r="L25" s="95"/>
      <c r="M25" s="95"/>
      <c r="N25" s="95"/>
      <c r="O25" s="95"/>
    </row>
    <row r="26" spans="1:16" ht="24" thickBot="1" x14ac:dyDescent="0.4">
      <c r="A26" s="96" t="s">
        <v>30</v>
      </c>
      <c r="B26" s="97"/>
      <c r="C26" s="98"/>
      <c r="D26" s="98"/>
      <c r="E26" s="98"/>
      <c r="F26" s="98"/>
      <c r="G26" s="98"/>
      <c r="H26" s="98"/>
      <c r="I26" s="98"/>
      <c r="J26" s="98"/>
      <c r="K26" s="99"/>
      <c r="L26" s="99"/>
      <c r="M26" s="99"/>
      <c r="N26" s="99"/>
      <c r="O26" s="99"/>
    </row>
    <row r="27" spans="1:16" ht="16.5" thickTop="1" x14ac:dyDescent="0.25">
      <c r="A27" s="100"/>
      <c r="B27" s="101"/>
      <c r="C27" s="101"/>
      <c r="D27" s="101"/>
      <c r="E27" s="102"/>
      <c r="F27" s="102"/>
      <c r="G27" s="102"/>
      <c r="H27" s="102"/>
      <c r="I27" s="102"/>
      <c r="J27" s="101"/>
      <c r="K27" s="103"/>
      <c r="L27" s="103"/>
      <c r="M27" s="103"/>
      <c r="N27" s="103"/>
      <c r="O27" s="104" t="s">
        <v>25</v>
      </c>
      <c r="P27" s="83"/>
    </row>
    <row r="28" spans="1:16" ht="15.75" x14ac:dyDescent="0.25">
      <c r="A28" s="105" t="s">
        <v>26</v>
      </c>
      <c r="B28" s="84" t="s">
        <v>13</v>
      </c>
      <c r="C28" s="84" t="s">
        <v>15</v>
      </c>
      <c r="D28" s="84" t="s">
        <v>56</v>
      </c>
      <c r="E28" s="275" t="s">
        <v>62</v>
      </c>
      <c r="F28" s="84" t="s">
        <v>16</v>
      </c>
      <c r="G28" s="84" t="s">
        <v>61</v>
      </c>
      <c r="H28" s="84" t="s">
        <v>17</v>
      </c>
      <c r="I28" s="84" t="s">
        <v>55</v>
      </c>
      <c r="J28" s="84" t="s">
        <v>27</v>
      </c>
      <c r="K28" s="106" t="s">
        <v>57</v>
      </c>
      <c r="L28" s="106" t="s">
        <v>53</v>
      </c>
      <c r="M28" s="106" t="s">
        <v>19</v>
      </c>
      <c r="N28" s="106" t="s">
        <v>54</v>
      </c>
      <c r="O28" s="106" t="s">
        <v>28</v>
      </c>
      <c r="P28" s="83"/>
    </row>
    <row r="29" spans="1:16" ht="16.5" thickBot="1" x14ac:dyDescent="0.3">
      <c r="A29" s="107"/>
      <c r="B29" s="108"/>
      <c r="C29" s="108"/>
      <c r="D29" s="108"/>
      <c r="E29" s="276"/>
      <c r="F29" s="84"/>
      <c r="G29" s="84"/>
      <c r="H29" s="84"/>
      <c r="I29" s="84"/>
      <c r="J29" s="108"/>
      <c r="K29" s="109"/>
      <c r="L29" s="109"/>
      <c r="M29" s="109"/>
      <c r="N29" s="109"/>
      <c r="O29" s="109"/>
      <c r="P29" s="83"/>
    </row>
    <row r="30" spans="1:16" ht="15.75" thickTop="1" x14ac:dyDescent="0.2">
      <c r="A30" s="110"/>
      <c r="B30" s="111"/>
      <c r="C30" s="111"/>
      <c r="D30" s="111"/>
      <c r="E30" s="112"/>
      <c r="F30" s="112"/>
      <c r="G30" s="112"/>
      <c r="H30" s="112"/>
      <c r="I30" s="112"/>
      <c r="J30" s="111"/>
      <c r="K30" s="113"/>
      <c r="L30" s="113"/>
      <c r="M30" s="113"/>
      <c r="N30" s="113"/>
      <c r="O30" s="113"/>
      <c r="P30" s="83"/>
    </row>
    <row r="31" spans="1:16" ht="15.75" x14ac:dyDescent="0.25">
      <c r="A31" s="88">
        <f>DATE(2019,7,1)</f>
        <v>43647</v>
      </c>
      <c r="B31" s="89">
        <f>'MONTHLY STATS'!$K$9*0.21</f>
        <v>3064505.5707</v>
      </c>
      <c r="C31" s="89">
        <f>'MONTHLY STATS'!$K$19*0.21</f>
        <v>1462853.8743</v>
      </c>
      <c r="D31" s="89">
        <f>'MONTHLY STATS'!$K$29*0.21</f>
        <v>684695.08169999998</v>
      </c>
      <c r="E31" s="89">
        <f>'MONTHLY STATS'!$K$39*0.21</f>
        <v>4293878.6624999996</v>
      </c>
      <c r="F31" s="89">
        <f>'MONTHLY STATS'!$K$49*0.21</f>
        <v>2956269.6954000001</v>
      </c>
      <c r="G31" s="89">
        <f>'MONTHLY STATS'!$K$59*0.21</f>
        <v>935961.4299000001</v>
      </c>
      <c r="H31" s="89">
        <f>'MONTHLY STATS'!$K$69*0.21</f>
        <v>1101109.2120000001</v>
      </c>
      <c r="I31" s="89">
        <f>'MONTHLY STATS'!$K$79*0.21</f>
        <v>2638122.8495999998</v>
      </c>
      <c r="J31" s="89">
        <f>'MONTHLY STATS'!$K$89*0.21</f>
        <v>3294770.8562999996</v>
      </c>
      <c r="K31" s="89">
        <f>'MONTHLY STATS'!$K$99*0.21</f>
        <v>3827720.7779999999</v>
      </c>
      <c r="L31" s="89">
        <f>'MONTHLY STATS'!$K$109*0.21</f>
        <v>577273.81739999994</v>
      </c>
      <c r="M31" s="89">
        <f>'MONTHLY STATS'!$K$119*0.21</f>
        <v>4787594.2569000004</v>
      </c>
      <c r="N31" s="89">
        <f>'MONTHLY STATS'!$K$129*0.21</f>
        <v>713298.1547999999</v>
      </c>
      <c r="O31" s="90">
        <f t="shared" ref="O31:O36" si="2">SUM(B31:N31)</f>
        <v>30338054.239500001</v>
      </c>
      <c r="P31" s="83"/>
    </row>
    <row r="32" spans="1:16" ht="15.75" x14ac:dyDescent="0.25">
      <c r="A32" s="88">
        <f>DATE(2019,8,1)</f>
        <v>43678</v>
      </c>
      <c r="B32" s="89">
        <f>'MONTHLY STATS'!$K$10*0.21</f>
        <v>3045430.4958000001</v>
      </c>
      <c r="C32" s="89">
        <f>'MONTHLY STATS'!$K$20*0.21</f>
        <v>1462946.0684999998</v>
      </c>
      <c r="D32" s="89">
        <f>'MONTHLY STATS'!$K$30*0.21</f>
        <v>676743.23639999994</v>
      </c>
      <c r="E32" s="89">
        <f>'MONTHLY STATS'!$K$40*0.21</f>
        <v>4480740.0917999996</v>
      </c>
      <c r="F32" s="89">
        <f>'MONTHLY STATS'!$K$50*0.21</f>
        <v>3271877.1245999997</v>
      </c>
      <c r="G32" s="89">
        <f>'MONTHLY STATS'!$K$60*0.21</f>
        <v>1095307.4894999999</v>
      </c>
      <c r="H32" s="89">
        <f>'MONTHLY STATS'!$K$70*0.21</f>
        <v>1189395.375</v>
      </c>
      <c r="I32" s="89">
        <f>'MONTHLY STATS'!$K$80*0.21</f>
        <v>2712053.7380999997</v>
      </c>
      <c r="J32" s="89">
        <f>'MONTHLY STATS'!$K$90*0.21</f>
        <v>3485481.7787999995</v>
      </c>
      <c r="K32" s="89">
        <f>'MONTHLY STATS'!$K$100*0.21</f>
        <v>4099393.2629999998</v>
      </c>
      <c r="L32" s="89">
        <f>'MONTHLY STATS'!$K$110*0.21</f>
        <v>621704.08019999997</v>
      </c>
      <c r="M32" s="89">
        <f>'MONTHLY STATS'!$K$120*0.21</f>
        <v>4872173.9534999998</v>
      </c>
      <c r="N32" s="89">
        <f>'MONTHLY STATS'!$K$130*0.21</f>
        <v>733278.10290000006</v>
      </c>
      <c r="O32" s="90">
        <f t="shared" si="2"/>
        <v>31746524.798099998</v>
      </c>
      <c r="P32" s="83"/>
    </row>
    <row r="33" spans="1:16" ht="15.75" x14ac:dyDescent="0.25">
      <c r="A33" s="88">
        <f>DATE(2019,9,1)</f>
        <v>43709</v>
      </c>
      <c r="B33" s="89">
        <f>'MONTHLY STATS'!$K$11*0.21</f>
        <v>2682516.9797999999</v>
      </c>
      <c r="C33" s="89">
        <f>'MONTHLY STATS'!$K$21*0.21</f>
        <v>1347099.7259999998</v>
      </c>
      <c r="D33" s="89">
        <f>'MONTHLY STATS'!$K$31*0.21</f>
        <v>653521.67790000001</v>
      </c>
      <c r="E33" s="89">
        <f>'MONTHLY STATS'!$K$41*0.21</f>
        <v>3975747.0710999998</v>
      </c>
      <c r="F33" s="89">
        <f>'MONTHLY STATS'!$K$51*0.21</f>
        <v>3075068.3207999999</v>
      </c>
      <c r="G33" s="89">
        <f>'MONTHLY STATS'!$K$61*0.21</f>
        <v>1064622.0311999999</v>
      </c>
      <c r="H33" s="89">
        <f>'MONTHLY STATS'!$K$71*0.21</f>
        <v>1067073.9975000001</v>
      </c>
      <c r="I33" s="89">
        <f>'MONTHLY STATS'!$K$81*0.21</f>
        <v>2580957.3509999998</v>
      </c>
      <c r="J33" s="89">
        <f>'MONTHLY STATS'!$K$91*0.21</f>
        <v>3247928.1302999998</v>
      </c>
      <c r="K33" s="89">
        <f>'MONTHLY STATS'!$K$101*0.21</f>
        <v>3876567.9813000001</v>
      </c>
      <c r="L33" s="89">
        <f>'MONTHLY STATS'!$K$111*0.21</f>
        <v>566536.21919999993</v>
      </c>
      <c r="M33" s="89">
        <f>'MONTHLY STATS'!$K$121*0.21</f>
        <v>4521489.4556999998</v>
      </c>
      <c r="N33" s="89">
        <f>'MONTHLY STATS'!$K$131*0.21</f>
        <v>708002.13749999995</v>
      </c>
      <c r="O33" s="90">
        <f t="shared" si="2"/>
        <v>29367131.079299998</v>
      </c>
      <c r="P33" s="83"/>
    </row>
    <row r="34" spans="1:16" ht="15.75" x14ac:dyDescent="0.25">
      <c r="A34" s="88">
        <f>DATE(2019,10,1)</f>
        <v>43739</v>
      </c>
      <c r="B34" s="89">
        <f>'MONTHLY STATS'!$K$12*0.21</f>
        <v>2808656.8460999997</v>
      </c>
      <c r="C34" s="89">
        <f>'MONTHLY STATS'!$K$22*0.21</f>
        <v>1270314.0954</v>
      </c>
      <c r="D34" s="89">
        <f>'MONTHLY STATS'!$K$32*0.21</f>
        <v>656377.92989999999</v>
      </c>
      <c r="E34" s="89">
        <f>'MONTHLY STATS'!$K$42*0.21</f>
        <v>3996958.6754999999</v>
      </c>
      <c r="F34" s="89">
        <f>'MONTHLY STATS'!$K$52*0.21</f>
        <v>3081834.2771999999</v>
      </c>
      <c r="G34" s="89">
        <f>'MONTHLY STATS'!$K$62*0.21</f>
        <v>1071722.4966</v>
      </c>
      <c r="H34" s="89">
        <f>'MONTHLY STATS'!$K$72*0.21</f>
        <v>1134567.2541</v>
      </c>
      <c r="I34" s="89">
        <f>'MONTHLY STATS'!$K$82*0.21</f>
        <v>2500454.2626</v>
      </c>
      <c r="J34" s="89">
        <f>'MONTHLY STATS'!$K$92*0.21</f>
        <v>3431470.9085999997</v>
      </c>
      <c r="K34" s="89">
        <f>'MONTHLY STATS'!$K$102*0.21</f>
        <v>3910565.9228999997</v>
      </c>
      <c r="L34" s="89">
        <f>'MONTHLY STATS'!$K$112*0.21</f>
        <v>591159.4878</v>
      </c>
      <c r="M34" s="89">
        <f>'MONTHLY STATS'!$K$122*0.21</f>
        <v>4577616.1599000003</v>
      </c>
      <c r="N34" s="89">
        <f>'MONTHLY STATS'!$K$132*0.21</f>
        <v>687542.05590000004</v>
      </c>
      <c r="O34" s="90">
        <f t="shared" si="2"/>
        <v>29719240.372499995</v>
      </c>
      <c r="P34" s="83"/>
    </row>
    <row r="35" spans="1:16" ht="15.75" x14ac:dyDescent="0.25">
      <c r="A35" s="88">
        <f>DATE(2019,11,1)</f>
        <v>43770</v>
      </c>
      <c r="B35" s="89">
        <f>'MONTHLY STATS'!$K$13*0.21</f>
        <v>2933291.6571</v>
      </c>
      <c r="C35" s="89">
        <f>'MONTHLY STATS'!$K$23*0.21</f>
        <v>1336391.2106999999</v>
      </c>
      <c r="D35" s="89">
        <f>'MONTHLY STATS'!$K$33*0.21</f>
        <v>673998.13950000005</v>
      </c>
      <c r="E35" s="89">
        <f>'MONTHLY STATS'!$K$43*0.21</f>
        <v>4250414.3072999995</v>
      </c>
      <c r="F35" s="89">
        <f>'MONTHLY STATS'!$K$53*0.21</f>
        <v>3054671.8629000001</v>
      </c>
      <c r="G35" s="89">
        <f>'MONTHLY STATS'!$K$63*0.21</f>
        <v>1072822.3443</v>
      </c>
      <c r="H35" s="89">
        <f>'MONTHLY STATS'!$K$73*0.21</f>
        <v>1139863.5906</v>
      </c>
      <c r="I35" s="89">
        <f>'MONTHLY STATS'!$K$83*0.21</f>
        <v>2542840.0094999997</v>
      </c>
      <c r="J35" s="89">
        <f>'MONTHLY STATS'!$K$93*0.21</f>
        <v>3481744.8330000001</v>
      </c>
      <c r="K35" s="89">
        <f>'MONTHLY STATS'!$K$103*0.21</f>
        <v>4147627.5014999993</v>
      </c>
      <c r="L35" s="89">
        <f>'MONTHLY STATS'!$K$113*0.21</f>
        <v>613487.69160000002</v>
      </c>
      <c r="M35" s="89">
        <f>'MONTHLY STATS'!$K$123*0.21</f>
        <v>4373399.0936999992</v>
      </c>
      <c r="N35" s="89">
        <f>'MONTHLY STATS'!$K$133*0.21</f>
        <v>709275.04200000002</v>
      </c>
      <c r="O35" s="90">
        <f t="shared" si="2"/>
        <v>30329827.283699997</v>
      </c>
      <c r="P35" s="83"/>
    </row>
    <row r="36" spans="1:16" ht="15.75" x14ac:dyDescent="0.25">
      <c r="A36" s="88">
        <f>DATE(2019,12,1)</f>
        <v>43800</v>
      </c>
      <c r="B36" s="89">
        <f>'MONTHLY STATS'!$K$14*0.21</f>
        <v>3075788.0769000002</v>
      </c>
      <c r="C36" s="89">
        <f>'MONTHLY STATS'!$K$24*0.21</f>
        <v>1317813.4179</v>
      </c>
      <c r="D36" s="89">
        <f>'MONTHLY STATS'!$K$34*0.21</f>
        <v>718635.15989999997</v>
      </c>
      <c r="E36" s="89">
        <f>'MONTHLY STATS'!$K$44*0.21</f>
        <v>4116495.5244</v>
      </c>
      <c r="F36" s="89">
        <f>'MONTHLY STATS'!$K$54*0.21</f>
        <v>3126436.6202999996</v>
      </c>
      <c r="G36" s="89">
        <f>'MONTHLY STATS'!$K$64*0.21</f>
        <v>1127706.2600999998</v>
      </c>
      <c r="H36" s="89">
        <f>'MONTHLY STATS'!$K$74*0.21</f>
        <v>1135280.7542999999</v>
      </c>
      <c r="I36" s="89">
        <f>'MONTHLY STATS'!$K$84*0.21</f>
        <v>2673491.9441999998</v>
      </c>
      <c r="J36" s="89">
        <f>'MONTHLY STATS'!$K$94*0.21</f>
        <v>3293908.8314999999</v>
      </c>
      <c r="K36" s="89">
        <f>'MONTHLY STATS'!$K$104*0.21</f>
        <v>4187187.7844999996</v>
      </c>
      <c r="L36" s="89">
        <f>'MONTHLY STATS'!$K$114*0.21</f>
        <v>585799.54020000005</v>
      </c>
      <c r="M36" s="89">
        <f>'MONTHLY STATS'!$K$124*0.21</f>
        <v>4622112.4277999997</v>
      </c>
      <c r="N36" s="89">
        <f>'MONTHLY STATS'!$K$134*0.21</f>
        <v>742266.73290000006</v>
      </c>
      <c r="O36" s="90">
        <f t="shared" si="2"/>
        <v>30722923.074900001</v>
      </c>
      <c r="P36" s="83"/>
    </row>
    <row r="37" spans="1:16" ht="15.75" x14ac:dyDescent="0.25">
      <c r="A37" s="88">
        <f>DATE(2020,1,1)</f>
        <v>43831</v>
      </c>
      <c r="B37" s="89">
        <f>'MONTHLY STATS'!$K$15*0.21</f>
        <v>2631224.3012999999</v>
      </c>
      <c r="C37" s="89">
        <f>'MONTHLY STATS'!$K$25*0.21</f>
        <v>1183257.3689999999</v>
      </c>
      <c r="D37" s="89">
        <f>'MONTHLY STATS'!$K$35*0.21</f>
        <v>678337.48080000002</v>
      </c>
      <c r="E37" s="89">
        <f>'MONTHLY STATS'!$K$45*0.21</f>
        <v>4016722.5461999997</v>
      </c>
      <c r="F37" s="89">
        <f>'MONTHLY STATS'!$K$55*0.21</f>
        <v>3030307.1672999999</v>
      </c>
      <c r="G37" s="89">
        <f>'MONTHLY STATS'!$K$65*0.21</f>
        <v>1065925.1631</v>
      </c>
      <c r="H37" s="89">
        <f>'MONTHLY STATS'!$K$75*0.21</f>
        <v>1089909.3513</v>
      </c>
      <c r="I37" s="89">
        <f>'MONTHLY STATS'!$K$85*0.21</f>
        <v>2631734.0490000001</v>
      </c>
      <c r="J37" s="89">
        <f>'MONTHLY STATS'!$K$95*0.21</f>
        <v>3163289.7219000002</v>
      </c>
      <c r="K37" s="89">
        <f>'MONTHLY STATS'!$K$105*0.21</f>
        <v>3977640.8783999998</v>
      </c>
      <c r="L37" s="89">
        <f>'MONTHLY STATS'!$K$115*0.21</f>
        <v>537004.50299999991</v>
      </c>
      <c r="M37" s="89">
        <f>'MONTHLY STATS'!$K$125*0.21</f>
        <v>4445968.9742999999</v>
      </c>
      <c r="N37" s="89">
        <f>'MONTHLY STATS'!$K$135*0.21</f>
        <v>716815.55819999997</v>
      </c>
      <c r="O37" s="90">
        <f>SUM(B37:N37)</f>
        <v>29168137.063800003</v>
      </c>
      <c r="P37" s="83"/>
    </row>
    <row r="38" spans="1:16" ht="15.75" x14ac:dyDescent="0.25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90"/>
      <c r="P38" s="83"/>
    </row>
    <row r="39" spans="1:16" ht="15.75" x14ac:dyDescent="0.25">
      <c r="A39" s="88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90"/>
      <c r="P39" s="83"/>
    </row>
    <row r="40" spans="1:16" ht="15.75" x14ac:dyDescent="0.25">
      <c r="A40" s="88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90"/>
      <c r="P40" s="83"/>
    </row>
    <row r="41" spans="1:16" ht="15.75" x14ac:dyDescent="0.25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90"/>
      <c r="P41" s="83"/>
    </row>
    <row r="42" spans="1:16" ht="15.75" x14ac:dyDescent="0.2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90"/>
      <c r="P42" s="83"/>
    </row>
    <row r="43" spans="1:16" ht="15.75" x14ac:dyDescent="0.2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90"/>
      <c r="P43" s="83"/>
    </row>
    <row r="44" spans="1:16" ht="15.75" x14ac:dyDescent="0.25">
      <c r="A44" s="91" t="s">
        <v>29</v>
      </c>
      <c r="B44" s="90">
        <f t="shared" ref="B44:O44" si="3">SUM(B31:B42)</f>
        <v>20241413.927700002</v>
      </c>
      <c r="C44" s="90">
        <f t="shared" si="3"/>
        <v>9380675.7617999986</v>
      </c>
      <c r="D44" s="90">
        <f t="shared" si="3"/>
        <v>4742308.7061000001</v>
      </c>
      <c r="E44" s="90">
        <f t="shared" si="3"/>
        <v>29130956.878799997</v>
      </c>
      <c r="F44" s="90">
        <f t="shared" si="3"/>
        <v>21596465.068500001</v>
      </c>
      <c r="G44" s="90">
        <f t="shared" si="3"/>
        <v>7434067.2147000004</v>
      </c>
      <c r="H44" s="90">
        <f t="shared" si="3"/>
        <v>7857199.5348000005</v>
      </c>
      <c r="I44" s="90">
        <f>SUM(I31:I42)</f>
        <v>18279654.204</v>
      </c>
      <c r="J44" s="90">
        <f t="shared" si="3"/>
        <v>23398595.060400002</v>
      </c>
      <c r="K44" s="90">
        <f>SUM(K31:K42)</f>
        <v>28026704.1096</v>
      </c>
      <c r="L44" s="90">
        <f t="shared" si="3"/>
        <v>4092965.3393999999</v>
      </c>
      <c r="M44" s="90">
        <f t="shared" si="3"/>
        <v>32200354.321799997</v>
      </c>
      <c r="N44" s="90">
        <f t="shared" si="3"/>
        <v>5010477.7841999996</v>
      </c>
      <c r="O44" s="90">
        <f t="shared" si="3"/>
        <v>211391837.9118</v>
      </c>
      <c r="P44" s="83"/>
    </row>
    <row r="45" spans="1:16" ht="16.5" thickBot="1" x14ac:dyDescent="0.3">
      <c r="A45" s="92"/>
      <c r="B45" s="90"/>
      <c r="C45" s="90"/>
      <c r="D45" s="90"/>
      <c r="E45" s="89"/>
      <c r="F45" s="89"/>
      <c r="G45" s="89"/>
      <c r="H45" s="89"/>
      <c r="I45" s="89"/>
      <c r="J45" s="90"/>
      <c r="K45" s="90"/>
      <c r="L45" s="90"/>
      <c r="M45" s="90"/>
      <c r="N45" s="90"/>
      <c r="O45" s="90"/>
      <c r="P45" s="83"/>
    </row>
    <row r="46" spans="1:16" ht="15.75" thickTop="1" x14ac:dyDescent="0.2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  <row r="47" spans="1:16" x14ac:dyDescent="0.2">
      <c r="A47" s="284"/>
      <c r="B47" s="283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</row>
    <row r="48" spans="1:16" x14ac:dyDescent="0.2">
      <c r="A48" s="283"/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</row>
    <row r="49" spans="1:9" ht="15.75" x14ac:dyDescent="0.25">
      <c r="A49" s="115" t="s">
        <v>31</v>
      </c>
      <c r="B49" s="98"/>
      <c r="C49" s="98"/>
      <c r="D49" s="98"/>
      <c r="E49" s="98"/>
      <c r="F49" s="98"/>
      <c r="G49" s="98"/>
      <c r="H49" s="98"/>
      <c r="I49" s="98"/>
    </row>
    <row r="50" spans="1:9" ht="15.75" x14ac:dyDescent="0.25">
      <c r="A50" s="115"/>
      <c r="B50" s="98"/>
      <c r="C50" s="98"/>
      <c r="D50" s="98"/>
      <c r="E50" s="98"/>
      <c r="F50" s="98"/>
      <c r="G50" s="98"/>
      <c r="H50" s="98"/>
      <c r="I50" s="98"/>
    </row>
    <row r="51" spans="1:9" ht="15.75" x14ac:dyDescent="0.25">
      <c r="A51" s="72"/>
    </row>
  </sheetData>
  <phoneticPr fontId="0" type="noConversion"/>
  <printOptions horizontalCentered="1"/>
  <pageMargins left="0.3" right="0.05" top="0.31944444444444398" bottom="0.25" header="0.5" footer="0.5"/>
  <pageSetup scale="5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144"/>
  <sheetViews>
    <sheetView showOutlineSymbols="0" view="pageBreakPreview" topLeftCell="B91" zoomScale="60" zoomScaleNormal="100" workbookViewId="0">
      <selection activeCell="A151" sqref="A151"/>
    </sheetView>
  </sheetViews>
  <sheetFormatPr defaultColWidth="9.6640625" defaultRowHeight="15" x14ac:dyDescent="0.2"/>
  <cols>
    <col min="1" max="1" width="27.6640625" style="118" customWidth="1"/>
    <col min="2" max="2" width="9.6640625" style="118" customWidth="1"/>
    <col min="3" max="3" width="16.6640625" style="209" customWidth="1"/>
    <col min="4" max="5" width="15.6640625" style="209" customWidth="1"/>
    <col min="6" max="6" width="9.6640625" style="118" customWidth="1"/>
    <col min="7" max="7" width="10.5546875" style="221" customWidth="1"/>
    <col min="8" max="16384" width="9.6640625" style="118"/>
  </cols>
  <sheetData>
    <row r="1" spans="1:8" ht="18" x14ac:dyDescent="0.25">
      <c r="A1" s="116" t="s">
        <v>0</v>
      </c>
      <c r="B1" s="117"/>
      <c r="C1" s="200"/>
      <c r="D1" s="200"/>
      <c r="E1" s="200"/>
      <c r="F1" s="117"/>
      <c r="G1" s="210"/>
    </row>
    <row r="2" spans="1:8" ht="18" customHeight="1" x14ac:dyDescent="0.3">
      <c r="A2" s="119" t="s">
        <v>32</v>
      </c>
      <c r="B2" s="117"/>
      <c r="C2" s="200"/>
      <c r="D2" s="200"/>
      <c r="E2" s="200"/>
      <c r="F2" s="117"/>
      <c r="G2" s="210"/>
    </row>
    <row r="3" spans="1:8" ht="18" customHeight="1" x14ac:dyDescent="0.25">
      <c r="A3" s="116" t="s">
        <v>72</v>
      </c>
      <c r="B3" s="117"/>
      <c r="C3" s="200"/>
      <c r="D3" s="200"/>
      <c r="E3" s="200"/>
      <c r="F3" s="117"/>
      <c r="G3" s="210"/>
    </row>
    <row r="4" spans="1:8" x14ac:dyDescent="0.2">
      <c r="A4" s="281" t="s">
        <v>73</v>
      </c>
      <c r="B4" s="117"/>
      <c r="C4" s="200"/>
      <c r="D4" s="200"/>
      <c r="E4" s="200"/>
      <c r="F4" s="117"/>
      <c r="G4" s="210"/>
    </row>
    <row r="5" spans="1:8" ht="15.75" x14ac:dyDescent="0.25">
      <c r="A5" s="117"/>
      <c r="B5" s="117"/>
      <c r="C5" s="200"/>
      <c r="D5" s="200"/>
      <c r="E5" s="200"/>
      <c r="F5" s="117"/>
      <c r="G5" s="211" t="s">
        <v>1</v>
      </c>
    </row>
    <row r="6" spans="1:8" ht="16.5" thickTop="1" x14ac:dyDescent="0.25">
      <c r="A6" s="120"/>
      <c r="B6" s="121" t="s">
        <v>2</v>
      </c>
      <c r="C6" s="201" t="s">
        <v>33</v>
      </c>
      <c r="D6" s="201" t="s">
        <v>33</v>
      </c>
      <c r="E6" s="201" t="s">
        <v>3</v>
      </c>
      <c r="F6" s="122"/>
      <c r="G6" s="212" t="s">
        <v>34</v>
      </c>
      <c r="H6" s="123"/>
    </row>
    <row r="7" spans="1:8" ht="16.5" thickBot="1" x14ac:dyDescent="0.3">
      <c r="A7" s="124" t="s">
        <v>5</v>
      </c>
      <c r="B7" s="125" t="s">
        <v>6</v>
      </c>
      <c r="C7" s="262" t="s">
        <v>35</v>
      </c>
      <c r="D7" s="202" t="s">
        <v>36</v>
      </c>
      <c r="E7" s="202" t="s">
        <v>36</v>
      </c>
      <c r="F7" s="126" t="s">
        <v>8</v>
      </c>
      <c r="G7" s="213" t="s">
        <v>37</v>
      </c>
      <c r="H7" s="123"/>
    </row>
    <row r="8" spans="1:8" ht="15.75" customHeight="1" thickTop="1" x14ac:dyDescent="0.25">
      <c r="A8" s="127"/>
      <c r="B8" s="128"/>
      <c r="C8" s="203"/>
      <c r="D8" s="203"/>
      <c r="E8" s="203"/>
      <c r="F8" s="129"/>
      <c r="G8" s="214"/>
      <c r="H8" s="123"/>
    </row>
    <row r="9" spans="1:8" ht="15.75" x14ac:dyDescent="0.25">
      <c r="A9" s="130" t="s">
        <v>38</v>
      </c>
      <c r="B9" s="131">
        <f>DATE(2019,7,1)</f>
        <v>43647</v>
      </c>
      <c r="C9" s="204">
        <v>11145172</v>
      </c>
      <c r="D9" s="204">
        <v>2192281.5</v>
      </c>
      <c r="E9" s="204">
        <v>1826329</v>
      </c>
      <c r="F9" s="132">
        <f t="shared" ref="F9:F15" si="0">(+D9-E9)/E9</f>
        <v>0.20037600016207374</v>
      </c>
      <c r="G9" s="215">
        <f t="shared" ref="G9:G15" si="1">D9/C9</f>
        <v>0.19670234788660057</v>
      </c>
      <c r="H9" s="123"/>
    </row>
    <row r="10" spans="1:8" ht="15.75" x14ac:dyDescent="0.25">
      <c r="A10" s="130"/>
      <c r="B10" s="131">
        <f>DATE(2019,8,1)</f>
        <v>43678</v>
      </c>
      <c r="C10" s="204">
        <v>9635568</v>
      </c>
      <c r="D10" s="204">
        <v>1845303</v>
      </c>
      <c r="E10" s="204">
        <v>1679235.5</v>
      </c>
      <c r="F10" s="132">
        <f t="shared" si="0"/>
        <v>9.8894705358480092E-2</v>
      </c>
      <c r="G10" s="215">
        <f t="shared" si="1"/>
        <v>0.19150951972940256</v>
      </c>
      <c r="H10" s="123"/>
    </row>
    <row r="11" spans="1:8" ht="15.75" x14ac:dyDescent="0.25">
      <c r="A11" s="130"/>
      <c r="B11" s="131">
        <f>DATE(2019,9,1)</f>
        <v>43709</v>
      </c>
      <c r="C11" s="204">
        <v>9952207.5</v>
      </c>
      <c r="D11" s="204">
        <v>1703371</v>
      </c>
      <c r="E11" s="204">
        <v>2056251</v>
      </c>
      <c r="F11" s="132">
        <f t="shared" si="0"/>
        <v>-0.17161329040083143</v>
      </c>
      <c r="G11" s="215">
        <f t="shared" si="1"/>
        <v>0.17115509297811565</v>
      </c>
      <c r="H11" s="123"/>
    </row>
    <row r="12" spans="1:8" ht="15.75" x14ac:dyDescent="0.25">
      <c r="A12" s="130"/>
      <c r="B12" s="131">
        <f>DATE(2019,10,1)</f>
        <v>43739</v>
      </c>
      <c r="C12" s="204">
        <v>10226229</v>
      </c>
      <c r="D12" s="204">
        <v>1844628</v>
      </c>
      <c r="E12" s="204">
        <v>2198521</v>
      </c>
      <c r="F12" s="132">
        <f t="shared" si="0"/>
        <v>-0.16096866939183205</v>
      </c>
      <c r="G12" s="215">
        <f t="shared" si="1"/>
        <v>0.18038203525463786</v>
      </c>
      <c r="H12" s="123"/>
    </row>
    <row r="13" spans="1:8" ht="15.75" x14ac:dyDescent="0.25">
      <c r="A13" s="130"/>
      <c r="B13" s="131">
        <f>DATE(2019,11,1)</f>
        <v>43770</v>
      </c>
      <c r="C13" s="204">
        <v>9749060.5</v>
      </c>
      <c r="D13" s="204">
        <v>1695412.5</v>
      </c>
      <c r="E13" s="204">
        <v>2373996</v>
      </c>
      <c r="F13" s="132">
        <f t="shared" si="0"/>
        <v>-0.28584020360607176</v>
      </c>
      <c r="G13" s="215">
        <f t="shared" si="1"/>
        <v>0.17390521886698723</v>
      </c>
      <c r="H13" s="123"/>
    </row>
    <row r="14" spans="1:8" ht="15.75" x14ac:dyDescent="0.25">
      <c r="A14" s="130"/>
      <c r="B14" s="131">
        <f>DATE(2019,12,1)</f>
        <v>43800</v>
      </c>
      <c r="C14" s="204">
        <v>10058823</v>
      </c>
      <c r="D14" s="204">
        <v>1854170.5</v>
      </c>
      <c r="E14" s="204">
        <v>2548450</v>
      </c>
      <c r="F14" s="132">
        <f t="shared" si="0"/>
        <v>-0.27243206655025604</v>
      </c>
      <c r="G14" s="215">
        <f t="shared" si="1"/>
        <v>0.18433274946780553</v>
      </c>
      <c r="H14" s="123"/>
    </row>
    <row r="15" spans="1:8" ht="15.75" x14ac:dyDescent="0.25">
      <c r="A15" s="130"/>
      <c r="B15" s="131">
        <f>DATE(2020,1,1)</f>
        <v>43831</v>
      </c>
      <c r="C15" s="204">
        <v>9880479.5</v>
      </c>
      <c r="D15" s="204">
        <v>1814739</v>
      </c>
      <c r="E15" s="204">
        <v>2049686.5</v>
      </c>
      <c r="F15" s="132">
        <f t="shared" si="0"/>
        <v>-0.11462606598618862</v>
      </c>
      <c r="G15" s="215">
        <f t="shared" si="1"/>
        <v>0.18366912253600648</v>
      </c>
      <c r="H15" s="123"/>
    </row>
    <row r="16" spans="1:8" ht="15.75" thickBot="1" x14ac:dyDescent="0.25">
      <c r="A16" s="133"/>
      <c r="B16" s="134"/>
      <c r="C16" s="204"/>
      <c r="D16" s="204"/>
      <c r="E16" s="204"/>
      <c r="F16" s="132"/>
      <c r="G16" s="215"/>
      <c r="H16" s="123"/>
    </row>
    <row r="17" spans="1:8" ht="17.25" thickTop="1" thickBot="1" x14ac:dyDescent="0.3">
      <c r="A17" s="135" t="s">
        <v>14</v>
      </c>
      <c r="B17" s="136"/>
      <c r="C17" s="201">
        <f>SUM(C9:C16)</f>
        <v>70647539.5</v>
      </c>
      <c r="D17" s="201">
        <f>SUM(D9:D16)</f>
        <v>12949905.5</v>
      </c>
      <c r="E17" s="201">
        <f>SUM(E9:E16)</f>
        <v>14732469</v>
      </c>
      <c r="F17" s="137">
        <f>(+D17-E17)/E17</f>
        <v>-0.12099557107501804</v>
      </c>
      <c r="G17" s="212">
        <f>D17/C17</f>
        <v>0.18330299387142845</v>
      </c>
      <c r="H17" s="123"/>
    </row>
    <row r="18" spans="1:8" ht="15.75" customHeight="1" thickTop="1" x14ac:dyDescent="0.25">
      <c r="A18" s="138"/>
      <c r="B18" s="139"/>
      <c r="C18" s="205"/>
      <c r="D18" s="205"/>
      <c r="E18" s="205"/>
      <c r="F18" s="140"/>
      <c r="G18" s="216"/>
      <c r="H18" s="123"/>
    </row>
    <row r="19" spans="1:8" ht="15.75" x14ac:dyDescent="0.25">
      <c r="A19" s="19" t="s">
        <v>15</v>
      </c>
      <c r="B19" s="131">
        <f>DATE(2019,7,1)</f>
        <v>43647</v>
      </c>
      <c r="C19" s="204">
        <v>2591163</v>
      </c>
      <c r="D19" s="204">
        <v>728719</v>
      </c>
      <c r="E19" s="204">
        <v>544502.5</v>
      </c>
      <c r="F19" s="132">
        <f t="shared" ref="F19:F25" si="2">(+D19-E19)/E19</f>
        <v>0.33832076069439532</v>
      </c>
      <c r="G19" s="215">
        <f t="shared" ref="G19:G25" si="3">D19/C19</f>
        <v>0.28123240413667533</v>
      </c>
      <c r="H19" s="123"/>
    </row>
    <row r="20" spans="1:8" ht="15.75" x14ac:dyDescent="0.25">
      <c r="A20" s="19"/>
      <c r="B20" s="131">
        <f>DATE(2019,8,1)</f>
        <v>43678</v>
      </c>
      <c r="C20" s="204">
        <v>2727354</v>
      </c>
      <c r="D20" s="204">
        <v>718107.5</v>
      </c>
      <c r="E20" s="204">
        <v>656165</v>
      </c>
      <c r="F20" s="132">
        <f t="shared" si="2"/>
        <v>9.440079857962555E-2</v>
      </c>
      <c r="G20" s="215">
        <f t="shared" si="3"/>
        <v>0.26329823704586935</v>
      </c>
      <c r="H20" s="123"/>
    </row>
    <row r="21" spans="1:8" ht="15.75" x14ac:dyDescent="0.25">
      <c r="A21" s="19"/>
      <c r="B21" s="131">
        <f>DATE(2019,9,1)</f>
        <v>43709</v>
      </c>
      <c r="C21" s="204">
        <v>2626262</v>
      </c>
      <c r="D21" s="204">
        <v>573243</v>
      </c>
      <c r="E21" s="204">
        <v>251895.5</v>
      </c>
      <c r="F21" s="132">
        <f t="shared" si="2"/>
        <v>1.2757175098403901</v>
      </c>
      <c r="G21" s="215">
        <f t="shared" si="3"/>
        <v>0.21827334820364458</v>
      </c>
      <c r="H21" s="123"/>
    </row>
    <row r="22" spans="1:8" ht="15.75" x14ac:dyDescent="0.25">
      <c r="A22" s="19"/>
      <c r="B22" s="131">
        <f>DATE(2019,10,1)</f>
        <v>43739</v>
      </c>
      <c r="C22" s="204">
        <v>2539016.5</v>
      </c>
      <c r="D22" s="204">
        <v>591260.5</v>
      </c>
      <c r="E22" s="204">
        <v>763257.5</v>
      </c>
      <c r="F22" s="132">
        <f t="shared" si="2"/>
        <v>-0.22534596777627472</v>
      </c>
      <c r="G22" s="215">
        <f t="shared" si="3"/>
        <v>0.23286989273208741</v>
      </c>
      <c r="H22" s="123"/>
    </row>
    <row r="23" spans="1:8" ht="15.75" x14ac:dyDescent="0.25">
      <c r="A23" s="19"/>
      <c r="B23" s="131">
        <f>DATE(2019,11,1)</f>
        <v>43770</v>
      </c>
      <c r="C23" s="204">
        <v>2588437</v>
      </c>
      <c r="D23" s="204">
        <v>527573</v>
      </c>
      <c r="E23" s="204">
        <v>497141.5</v>
      </c>
      <c r="F23" s="132">
        <f t="shared" si="2"/>
        <v>6.1212954460651545E-2</v>
      </c>
      <c r="G23" s="215">
        <f t="shared" si="3"/>
        <v>0.20381913873121116</v>
      </c>
      <c r="H23" s="123"/>
    </row>
    <row r="24" spans="1:8" ht="15.75" x14ac:dyDescent="0.25">
      <c r="A24" s="19"/>
      <c r="B24" s="131">
        <f>DATE(2019,12,1)</f>
        <v>43800</v>
      </c>
      <c r="C24" s="204">
        <v>2806085</v>
      </c>
      <c r="D24" s="204">
        <v>731643</v>
      </c>
      <c r="E24" s="204">
        <v>725952.5</v>
      </c>
      <c r="F24" s="132">
        <f t="shared" si="2"/>
        <v>7.8386671304252007E-3</v>
      </c>
      <c r="G24" s="215">
        <f t="shared" si="3"/>
        <v>0.2607344396196124</v>
      </c>
      <c r="H24" s="123"/>
    </row>
    <row r="25" spans="1:8" ht="15.75" x14ac:dyDescent="0.25">
      <c r="A25" s="19"/>
      <c r="B25" s="131">
        <f>DATE(2020,1,1)</f>
        <v>43831</v>
      </c>
      <c r="C25" s="204">
        <v>2708624</v>
      </c>
      <c r="D25" s="204">
        <v>617104</v>
      </c>
      <c r="E25" s="204">
        <v>538538</v>
      </c>
      <c r="F25" s="132">
        <f t="shared" si="2"/>
        <v>0.14588756967939123</v>
      </c>
      <c r="G25" s="215">
        <f t="shared" si="3"/>
        <v>0.2278293332703247</v>
      </c>
      <c r="H25" s="123"/>
    </row>
    <row r="26" spans="1:8" ht="15.75" thickBot="1" x14ac:dyDescent="0.25">
      <c r="A26" s="133"/>
      <c r="B26" s="131"/>
      <c r="C26" s="204"/>
      <c r="D26" s="204"/>
      <c r="E26" s="204"/>
      <c r="F26" s="132"/>
      <c r="G26" s="215"/>
      <c r="H26" s="123"/>
    </row>
    <row r="27" spans="1:8" ht="17.25" thickTop="1" thickBot="1" x14ac:dyDescent="0.3">
      <c r="A27" s="135" t="s">
        <v>14</v>
      </c>
      <c r="B27" s="136"/>
      <c r="C27" s="201">
        <f>SUM(C19:C26)</f>
        <v>18586941.5</v>
      </c>
      <c r="D27" s="201">
        <f>SUM(D19:D26)</f>
        <v>4487650</v>
      </c>
      <c r="E27" s="201">
        <f>SUM(E19:E26)</f>
        <v>3977452.5</v>
      </c>
      <c r="F27" s="137">
        <f>(+D27-E27)/E27</f>
        <v>0.12827243065756286</v>
      </c>
      <c r="G27" s="212">
        <f>D27/C27</f>
        <v>0.24144101384297142</v>
      </c>
      <c r="H27" s="123"/>
    </row>
    <row r="28" spans="1:8" ht="15.75" customHeight="1" thickTop="1" x14ac:dyDescent="0.25">
      <c r="A28" s="255"/>
      <c r="B28" s="139"/>
      <c r="C28" s="205"/>
      <c r="D28" s="205"/>
      <c r="E28" s="205"/>
      <c r="F28" s="140"/>
      <c r="G28" s="219"/>
      <c r="H28" s="123"/>
    </row>
    <row r="29" spans="1:8" ht="15.75" x14ac:dyDescent="0.25">
      <c r="A29" s="19" t="s">
        <v>56</v>
      </c>
      <c r="B29" s="131">
        <f>DATE(2019,7,1)</f>
        <v>43647</v>
      </c>
      <c r="C29" s="204">
        <v>1246714</v>
      </c>
      <c r="D29" s="204">
        <v>293379.5</v>
      </c>
      <c r="E29" s="204">
        <v>373264</v>
      </c>
      <c r="F29" s="132">
        <f t="shared" ref="F29:F35" si="4">(+D29-E29)/E29</f>
        <v>-0.2140160851300956</v>
      </c>
      <c r="G29" s="215">
        <f t="shared" ref="G29:G35" si="5">D29/C29</f>
        <v>0.23532221503889425</v>
      </c>
      <c r="H29" s="123"/>
    </row>
    <row r="30" spans="1:8" ht="15.75" x14ac:dyDescent="0.25">
      <c r="A30" s="19"/>
      <c r="B30" s="131">
        <f>DATE(2019,8,1)</f>
        <v>43678</v>
      </c>
      <c r="C30" s="204">
        <v>1240704</v>
      </c>
      <c r="D30" s="204">
        <v>306469</v>
      </c>
      <c r="E30" s="204">
        <v>339140.5</v>
      </c>
      <c r="F30" s="132">
        <f t="shared" si="4"/>
        <v>-9.6336179253141391E-2</v>
      </c>
      <c r="G30" s="215">
        <f t="shared" si="5"/>
        <v>0.24701218018157434</v>
      </c>
      <c r="H30" s="123"/>
    </row>
    <row r="31" spans="1:8" ht="15.75" x14ac:dyDescent="0.25">
      <c r="A31" s="19"/>
      <c r="B31" s="131">
        <f>DATE(2019,9,1)</f>
        <v>43709</v>
      </c>
      <c r="C31" s="204">
        <v>1288109</v>
      </c>
      <c r="D31" s="204">
        <v>301048.5</v>
      </c>
      <c r="E31" s="204">
        <v>349109</v>
      </c>
      <c r="F31" s="132">
        <f t="shared" si="4"/>
        <v>-0.13766617302905396</v>
      </c>
      <c r="G31" s="215">
        <f t="shared" si="5"/>
        <v>0.23371352890166905</v>
      </c>
      <c r="H31" s="123"/>
    </row>
    <row r="32" spans="1:8" ht="15.75" x14ac:dyDescent="0.25">
      <c r="A32" s="19"/>
      <c r="B32" s="131">
        <f>DATE(2019,10,1)</f>
        <v>43739</v>
      </c>
      <c r="C32" s="204">
        <v>1303670</v>
      </c>
      <c r="D32" s="204">
        <v>332474</v>
      </c>
      <c r="E32" s="204">
        <v>213321</v>
      </c>
      <c r="F32" s="132">
        <f t="shared" si="4"/>
        <v>0.55856197936443197</v>
      </c>
      <c r="G32" s="215">
        <f t="shared" si="5"/>
        <v>0.25502926354061994</v>
      </c>
      <c r="H32" s="123"/>
    </row>
    <row r="33" spans="1:8" ht="15.75" x14ac:dyDescent="0.25">
      <c r="A33" s="19"/>
      <c r="B33" s="131">
        <f>DATE(2019,11,1)</f>
        <v>43770</v>
      </c>
      <c r="C33" s="204">
        <v>1310179</v>
      </c>
      <c r="D33" s="204">
        <v>408121.5</v>
      </c>
      <c r="E33" s="204">
        <v>301353.5</v>
      </c>
      <c r="F33" s="132">
        <f t="shared" si="4"/>
        <v>0.35429487296480711</v>
      </c>
      <c r="G33" s="215">
        <f t="shared" si="5"/>
        <v>0.3115005659532018</v>
      </c>
      <c r="H33" s="123"/>
    </row>
    <row r="34" spans="1:8" ht="15.75" x14ac:dyDescent="0.25">
      <c r="A34" s="19"/>
      <c r="B34" s="131">
        <f>DATE(2019,12,1)</f>
        <v>43800</v>
      </c>
      <c r="C34" s="204">
        <v>1419526</v>
      </c>
      <c r="D34" s="204">
        <v>350849</v>
      </c>
      <c r="E34" s="204">
        <v>461887</v>
      </c>
      <c r="F34" s="132">
        <f t="shared" si="4"/>
        <v>-0.24040079066957937</v>
      </c>
      <c r="G34" s="215">
        <f t="shared" si="5"/>
        <v>0.24715926302160016</v>
      </c>
      <c r="H34" s="123"/>
    </row>
    <row r="35" spans="1:8" ht="15.75" x14ac:dyDescent="0.25">
      <c r="A35" s="19"/>
      <c r="B35" s="131">
        <f>DATE(2020,1,1)</f>
        <v>43831</v>
      </c>
      <c r="C35" s="204">
        <v>1523821</v>
      </c>
      <c r="D35" s="204">
        <v>350509</v>
      </c>
      <c r="E35" s="204">
        <v>327327.5</v>
      </c>
      <c r="F35" s="132">
        <f t="shared" si="4"/>
        <v>7.0820508512117075E-2</v>
      </c>
      <c r="G35" s="215">
        <f t="shared" si="5"/>
        <v>0.23001979891338944</v>
      </c>
      <c r="H35" s="123"/>
    </row>
    <row r="36" spans="1:8" ht="15.75" thickBot="1" x14ac:dyDescent="0.25">
      <c r="A36" s="133"/>
      <c r="B36" s="131"/>
      <c r="C36" s="204"/>
      <c r="D36" s="204"/>
      <c r="E36" s="204"/>
      <c r="F36" s="132"/>
      <c r="G36" s="215"/>
      <c r="H36" s="123"/>
    </row>
    <row r="37" spans="1:8" ht="17.25" thickTop="1" thickBot="1" x14ac:dyDescent="0.3">
      <c r="A37" s="141" t="s">
        <v>14</v>
      </c>
      <c r="B37" s="142"/>
      <c r="C37" s="206">
        <f>SUM(C29:C36)</f>
        <v>9332723</v>
      </c>
      <c r="D37" s="206">
        <f>SUM(D29:D36)</f>
        <v>2342850.5</v>
      </c>
      <c r="E37" s="206">
        <f>SUM(E29:E36)</f>
        <v>2365402.5</v>
      </c>
      <c r="F37" s="143">
        <f>(+D37-E37)/E37</f>
        <v>-9.5341067746398337E-3</v>
      </c>
      <c r="G37" s="217">
        <f>D37/C37</f>
        <v>0.25103611239720713</v>
      </c>
      <c r="H37" s="123"/>
    </row>
    <row r="38" spans="1:8" ht="15.75" thickTop="1" x14ac:dyDescent="0.2">
      <c r="A38" s="133"/>
      <c r="B38" s="134"/>
      <c r="C38" s="204"/>
      <c r="D38" s="204"/>
      <c r="E38" s="204"/>
      <c r="F38" s="132"/>
      <c r="G38" s="218"/>
      <c r="H38" s="123"/>
    </row>
    <row r="39" spans="1:8" ht="15.75" x14ac:dyDescent="0.25">
      <c r="A39" s="177" t="s">
        <v>65</v>
      </c>
      <c r="B39" s="131">
        <f>DATE(2019,7,1)</f>
        <v>43647</v>
      </c>
      <c r="C39" s="204">
        <v>16460624.75</v>
      </c>
      <c r="D39" s="204">
        <v>3167330.9</v>
      </c>
      <c r="E39" s="204">
        <v>2640847.2400000002</v>
      </c>
      <c r="F39" s="132">
        <f t="shared" ref="F39:F45" si="6">(+D39-E39)/E39</f>
        <v>0.19936164880176849</v>
      </c>
      <c r="G39" s="215">
        <f t="shared" ref="G39:G45" si="7">D39/C39</f>
        <v>0.19241863222718808</v>
      </c>
      <c r="H39" s="123"/>
    </row>
    <row r="40" spans="1:8" ht="15.75" x14ac:dyDescent="0.25">
      <c r="A40" s="177"/>
      <c r="B40" s="131">
        <f>DATE(2019,8,1)</f>
        <v>43678</v>
      </c>
      <c r="C40" s="204">
        <v>17103013</v>
      </c>
      <c r="D40" s="204">
        <v>3869820.12</v>
      </c>
      <c r="E40" s="204">
        <v>3019576.86</v>
      </c>
      <c r="F40" s="132">
        <f t="shared" si="6"/>
        <v>0.28157695578578523</v>
      </c>
      <c r="G40" s="215">
        <f t="shared" si="7"/>
        <v>0.2262654024761602</v>
      </c>
      <c r="H40" s="123"/>
    </row>
    <row r="41" spans="1:8" ht="15.75" x14ac:dyDescent="0.25">
      <c r="A41" s="177"/>
      <c r="B41" s="131">
        <f>DATE(2019,9,1)</f>
        <v>43709</v>
      </c>
      <c r="C41" s="204">
        <v>13722156.5</v>
      </c>
      <c r="D41" s="204">
        <v>2776000.96</v>
      </c>
      <c r="E41" s="204">
        <v>3074145.25</v>
      </c>
      <c r="F41" s="132">
        <f t="shared" si="6"/>
        <v>-9.698445120639633E-2</v>
      </c>
      <c r="G41" s="215">
        <f t="shared" si="7"/>
        <v>0.20230063401477749</v>
      </c>
      <c r="H41" s="123"/>
    </row>
    <row r="42" spans="1:8" ht="15.75" x14ac:dyDescent="0.25">
      <c r="A42" s="177"/>
      <c r="B42" s="131">
        <f>DATE(2019,10,1)</f>
        <v>43739</v>
      </c>
      <c r="C42" s="204">
        <v>13658392</v>
      </c>
      <c r="D42" s="204">
        <v>3235048.5</v>
      </c>
      <c r="E42" s="204">
        <v>2577292.69</v>
      </c>
      <c r="F42" s="132">
        <f t="shared" si="6"/>
        <v>0.25521191774303292</v>
      </c>
      <c r="G42" s="215">
        <f t="shared" si="7"/>
        <v>0.23685427245022694</v>
      </c>
      <c r="H42" s="123"/>
    </row>
    <row r="43" spans="1:8" ht="15.75" x14ac:dyDescent="0.25">
      <c r="A43" s="177"/>
      <c r="B43" s="131">
        <f>DATE(2019,11,1)</f>
        <v>43770</v>
      </c>
      <c r="C43" s="204">
        <v>17067350</v>
      </c>
      <c r="D43" s="204">
        <v>3242492.5</v>
      </c>
      <c r="E43" s="204">
        <v>2885158.69</v>
      </c>
      <c r="F43" s="132">
        <f t="shared" si="6"/>
        <v>0.12385239371356729</v>
      </c>
      <c r="G43" s="215">
        <f t="shared" si="7"/>
        <v>0.18998218821316726</v>
      </c>
      <c r="H43" s="123"/>
    </row>
    <row r="44" spans="1:8" ht="15.75" x14ac:dyDescent="0.25">
      <c r="A44" s="177"/>
      <c r="B44" s="131">
        <f>DATE(2019,12,1)</f>
        <v>43800</v>
      </c>
      <c r="C44" s="204">
        <v>14731573</v>
      </c>
      <c r="D44" s="204">
        <v>2919239.74</v>
      </c>
      <c r="E44" s="204">
        <v>2894970.85</v>
      </c>
      <c r="F44" s="132">
        <f t="shared" si="6"/>
        <v>8.3831206797816745E-3</v>
      </c>
      <c r="G44" s="215">
        <f t="shared" si="7"/>
        <v>0.1981621202297949</v>
      </c>
      <c r="H44" s="123"/>
    </row>
    <row r="45" spans="1:8" ht="15.75" x14ac:dyDescent="0.25">
      <c r="A45" s="177"/>
      <c r="B45" s="131">
        <f>DATE(2020,1,1)</f>
        <v>43831</v>
      </c>
      <c r="C45" s="204">
        <v>13593915</v>
      </c>
      <c r="D45" s="204">
        <v>2925730.5</v>
      </c>
      <c r="E45" s="204">
        <v>2972641.43</v>
      </c>
      <c r="F45" s="132">
        <f t="shared" si="6"/>
        <v>-1.5780890869168895E-2</v>
      </c>
      <c r="G45" s="215">
        <f t="shared" si="7"/>
        <v>0.21522353935566024</v>
      </c>
      <c r="H45" s="123"/>
    </row>
    <row r="46" spans="1:8" ht="15.75" customHeight="1" thickBot="1" x14ac:dyDescent="0.25">
      <c r="A46" s="133"/>
      <c r="B46" s="134"/>
      <c r="C46" s="204"/>
      <c r="D46" s="204"/>
      <c r="E46" s="204"/>
      <c r="F46" s="132"/>
      <c r="G46" s="215"/>
      <c r="H46" s="123"/>
    </row>
    <row r="47" spans="1:8" ht="17.25" customHeight="1" thickTop="1" thickBot="1" x14ac:dyDescent="0.3">
      <c r="A47" s="141" t="s">
        <v>14</v>
      </c>
      <c r="B47" s="142"/>
      <c r="C47" s="206">
        <f>SUM(C39:C46)</f>
        <v>106337024.25</v>
      </c>
      <c r="D47" s="206">
        <f>SUM(D39:D46)</f>
        <v>22135663.219999999</v>
      </c>
      <c r="E47" s="206">
        <f>SUM(E39:E46)</f>
        <v>20064633.009999998</v>
      </c>
      <c r="F47" s="143">
        <f>(+D47-E47)/E47</f>
        <v>0.10321794617264227</v>
      </c>
      <c r="G47" s="217">
        <f>D47/C47</f>
        <v>0.20816515579708822</v>
      </c>
      <c r="H47" s="123"/>
    </row>
    <row r="48" spans="1:8" ht="15.75" customHeight="1" thickTop="1" x14ac:dyDescent="0.2">
      <c r="A48" s="133"/>
      <c r="B48" s="134"/>
      <c r="C48" s="204"/>
      <c r="D48" s="204"/>
      <c r="E48" s="204"/>
      <c r="F48" s="132"/>
      <c r="G48" s="218"/>
      <c r="H48" s="123"/>
    </row>
    <row r="49" spans="1:8" ht="15" customHeight="1" x14ac:dyDescent="0.25">
      <c r="A49" s="130" t="s">
        <v>39</v>
      </c>
      <c r="B49" s="131">
        <f>DATE(2019,7,1)</f>
        <v>43647</v>
      </c>
      <c r="C49" s="204">
        <v>14612843</v>
      </c>
      <c r="D49" s="204">
        <v>2665528.5</v>
      </c>
      <c r="E49" s="204">
        <v>3513953.5</v>
      </c>
      <c r="F49" s="132">
        <f t="shared" ref="F49:F55" si="8">(+D49-E49)/E49</f>
        <v>-0.241444572331421</v>
      </c>
      <c r="G49" s="215">
        <f t="shared" ref="G49:G55" si="9">D49/C49</f>
        <v>0.1824099868861932</v>
      </c>
      <c r="H49" s="123"/>
    </row>
    <row r="50" spans="1:8" ht="15" customHeight="1" x14ac:dyDescent="0.25">
      <c r="A50" s="130"/>
      <c r="B50" s="131">
        <f>DATE(2019,8,1)</f>
        <v>43678</v>
      </c>
      <c r="C50" s="204">
        <v>15994186</v>
      </c>
      <c r="D50" s="204">
        <v>3359489.5</v>
      </c>
      <c r="E50" s="204">
        <v>3570821.5</v>
      </c>
      <c r="F50" s="132">
        <f t="shared" si="8"/>
        <v>-5.9183019929727652E-2</v>
      </c>
      <c r="G50" s="215">
        <f t="shared" si="9"/>
        <v>0.21004441864062354</v>
      </c>
      <c r="H50" s="123"/>
    </row>
    <row r="51" spans="1:8" ht="15" customHeight="1" x14ac:dyDescent="0.25">
      <c r="A51" s="130"/>
      <c r="B51" s="131">
        <f>DATE(2019,9,1)</f>
        <v>43709</v>
      </c>
      <c r="C51" s="204">
        <v>14986232</v>
      </c>
      <c r="D51" s="204">
        <v>3201605.5</v>
      </c>
      <c r="E51" s="204">
        <v>3367544</v>
      </c>
      <c r="F51" s="132">
        <f t="shared" si="8"/>
        <v>-4.9275822379752129E-2</v>
      </c>
      <c r="G51" s="215">
        <f t="shared" si="9"/>
        <v>0.21363645644882584</v>
      </c>
      <c r="H51" s="123"/>
    </row>
    <row r="52" spans="1:8" ht="15" customHeight="1" x14ac:dyDescent="0.25">
      <c r="A52" s="130"/>
      <c r="B52" s="131">
        <f>DATE(2019,10,1)</f>
        <v>43739</v>
      </c>
      <c r="C52" s="204">
        <v>15802061</v>
      </c>
      <c r="D52" s="204">
        <v>3223827</v>
      </c>
      <c r="E52" s="204">
        <v>3631888</v>
      </c>
      <c r="F52" s="132">
        <f t="shared" si="8"/>
        <v>-0.11235506160982937</v>
      </c>
      <c r="G52" s="215">
        <f t="shared" si="9"/>
        <v>0.20401307145947609</v>
      </c>
      <c r="H52" s="123"/>
    </row>
    <row r="53" spans="1:8" ht="15" customHeight="1" x14ac:dyDescent="0.25">
      <c r="A53" s="130"/>
      <c r="B53" s="131">
        <f>DATE(2019,11,1)</f>
        <v>43770</v>
      </c>
      <c r="C53" s="204">
        <v>15611065</v>
      </c>
      <c r="D53" s="204">
        <v>2721670</v>
      </c>
      <c r="E53" s="204">
        <v>3478954.5</v>
      </c>
      <c r="F53" s="132">
        <f t="shared" si="8"/>
        <v>-0.21767588509708879</v>
      </c>
      <c r="G53" s="215">
        <f t="shared" si="9"/>
        <v>0.17434236549524329</v>
      </c>
      <c r="H53" s="123"/>
    </row>
    <row r="54" spans="1:8" ht="15" customHeight="1" x14ac:dyDescent="0.25">
      <c r="A54" s="130"/>
      <c r="B54" s="131">
        <f>DATE(2019,12,1)</f>
        <v>43800</v>
      </c>
      <c r="C54" s="204">
        <v>16030300</v>
      </c>
      <c r="D54" s="204">
        <v>2841867</v>
      </c>
      <c r="E54" s="204">
        <v>3863094</v>
      </c>
      <c r="F54" s="132">
        <f t="shared" si="8"/>
        <v>-0.26435468564834302</v>
      </c>
      <c r="G54" s="215">
        <f t="shared" si="9"/>
        <v>0.17728096167882074</v>
      </c>
      <c r="H54" s="123"/>
    </row>
    <row r="55" spans="1:8" ht="15" customHeight="1" x14ac:dyDescent="0.25">
      <c r="A55" s="130"/>
      <c r="B55" s="131">
        <f>DATE(2020,1,1)</f>
        <v>43831</v>
      </c>
      <c r="C55" s="204">
        <v>15798016</v>
      </c>
      <c r="D55" s="204">
        <v>3701292</v>
      </c>
      <c r="E55" s="204">
        <v>2474875.5</v>
      </c>
      <c r="F55" s="132">
        <f t="shared" si="8"/>
        <v>0.49554674568478291</v>
      </c>
      <c r="G55" s="215">
        <f t="shared" si="9"/>
        <v>0.23428840684804977</v>
      </c>
      <c r="H55" s="123"/>
    </row>
    <row r="56" spans="1:8" ht="15.75" thickBot="1" x14ac:dyDescent="0.25">
      <c r="A56" s="133"/>
      <c r="B56" s="131"/>
      <c r="C56" s="204"/>
      <c r="D56" s="204"/>
      <c r="E56" s="204"/>
      <c r="F56" s="132"/>
      <c r="G56" s="215"/>
      <c r="H56" s="123"/>
    </row>
    <row r="57" spans="1:8" ht="17.25" customHeight="1" thickTop="1" thickBot="1" x14ac:dyDescent="0.3">
      <c r="A57" s="141" t="s">
        <v>14</v>
      </c>
      <c r="B57" s="142"/>
      <c r="C57" s="207">
        <f>SUM(C49:C56)</f>
        <v>108834703</v>
      </c>
      <c r="D57" s="261">
        <f>SUM(D49:D56)</f>
        <v>21715279.5</v>
      </c>
      <c r="E57" s="206">
        <f>SUM(E49:E56)</f>
        <v>23901131</v>
      </c>
      <c r="F57" s="268">
        <f>(+D57-E57)/E57</f>
        <v>-9.1453893960080801E-2</v>
      </c>
      <c r="G57" s="267">
        <f>D57/C57</f>
        <v>0.19952532511619939</v>
      </c>
      <c r="H57" s="123"/>
    </row>
    <row r="58" spans="1:8" ht="15.75" customHeight="1" thickTop="1" x14ac:dyDescent="0.25">
      <c r="A58" s="130"/>
      <c r="B58" s="134"/>
      <c r="C58" s="204"/>
      <c r="D58" s="204"/>
      <c r="E58" s="204"/>
      <c r="F58" s="132"/>
      <c r="G58" s="218"/>
      <c r="H58" s="123"/>
    </row>
    <row r="59" spans="1:8" ht="15.75" x14ac:dyDescent="0.25">
      <c r="A59" s="130" t="s">
        <v>66</v>
      </c>
      <c r="B59" s="131">
        <f>DATE(2019,7,1)</f>
        <v>43647</v>
      </c>
      <c r="C59" s="204">
        <v>2326207</v>
      </c>
      <c r="D59" s="204">
        <v>550912.5</v>
      </c>
      <c r="E59" s="204">
        <v>682875.5</v>
      </c>
      <c r="F59" s="132">
        <f t="shared" ref="F59:F65" si="10">(+D59-E59)/E59</f>
        <v>-0.19324606022620522</v>
      </c>
      <c r="G59" s="215">
        <f t="shared" ref="G59:G65" si="11">D59/C59</f>
        <v>0.23682866572063449</v>
      </c>
      <c r="H59" s="123"/>
    </row>
    <row r="60" spans="1:8" ht="15.75" x14ac:dyDescent="0.25">
      <c r="A60" s="130"/>
      <c r="B60" s="131">
        <f>DATE(2019,8,1)</f>
        <v>43678</v>
      </c>
      <c r="C60" s="204">
        <v>2456667</v>
      </c>
      <c r="D60" s="204">
        <v>544892.5</v>
      </c>
      <c r="E60" s="204">
        <v>651283.5</v>
      </c>
      <c r="F60" s="132">
        <f t="shared" si="10"/>
        <v>-0.16335589647212007</v>
      </c>
      <c r="G60" s="215">
        <f t="shared" si="11"/>
        <v>0.22180153028473129</v>
      </c>
      <c r="H60" s="123"/>
    </row>
    <row r="61" spans="1:8" ht="15.75" x14ac:dyDescent="0.25">
      <c r="A61" s="130"/>
      <c r="B61" s="131">
        <f>DATE(2019,9,1)</f>
        <v>43709</v>
      </c>
      <c r="C61" s="204">
        <v>2398271</v>
      </c>
      <c r="D61" s="204">
        <v>648210.4</v>
      </c>
      <c r="E61" s="204">
        <v>584999.5</v>
      </c>
      <c r="F61" s="132">
        <f t="shared" si="10"/>
        <v>0.10805291286573754</v>
      </c>
      <c r="G61" s="215">
        <f t="shared" si="11"/>
        <v>0.27028238259979792</v>
      </c>
      <c r="H61" s="123"/>
    </row>
    <row r="62" spans="1:8" ht="15.75" x14ac:dyDescent="0.25">
      <c r="A62" s="130"/>
      <c r="B62" s="131">
        <f>DATE(2019,10,1)</f>
        <v>43739</v>
      </c>
      <c r="C62" s="204">
        <v>2701389</v>
      </c>
      <c r="D62" s="204">
        <v>633881.5</v>
      </c>
      <c r="E62" s="204">
        <v>681963.5</v>
      </c>
      <c r="F62" s="132">
        <f t="shared" si="10"/>
        <v>-7.0505239649922613E-2</v>
      </c>
      <c r="G62" s="215">
        <f t="shared" si="11"/>
        <v>0.23465021142826895</v>
      </c>
      <c r="H62" s="123"/>
    </row>
    <row r="63" spans="1:8" ht="15.75" x14ac:dyDescent="0.25">
      <c r="A63" s="130"/>
      <c r="B63" s="131">
        <f>DATE(2019,11,1)</f>
        <v>43770</v>
      </c>
      <c r="C63" s="204">
        <v>2978379</v>
      </c>
      <c r="D63" s="204">
        <v>745956</v>
      </c>
      <c r="E63" s="204">
        <v>534840</v>
      </c>
      <c r="F63" s="132">
        <f t="shared" si="10"/>
        <v>0.3947273951088176</v>
      </c>
      <c r="G63" s="215">
        <f t="shared" si="11"/>
        <v>0.250457043915499</v>
      </c>
      <c r="H63" s="123"/>
    </row>
    <row r="64" spans="1:8" ht="15.75" x14ac:dyDescent="0.25">
      <c r="A64" s="130"/>
      <c r="B64" s="131">
        <f>DATE(2019,12,1)</f>
        <v>43800</v>
      </c>
      <c r="C64" s="204">
        <v>3204038.5</v>
      </c>
      <c r="D64" s="204">
        <v>827938</v>
      </c>
      <c r="E64" s="204">
        <v>680547.57</v>
      </c>
      <c r="F64" s="132">
        <f t="shared" si="10"/>
        <v>0.21657623434023879</v>
      </c>
      <c r="G64" s="215">
        <f t="shared" si="11"/>
        <v>0.25840451043269297</v>
      </c>
      <c r="H64" s="123"/>
    </row>
    <row r="65" spans="1:8" ht="15.75" x14ac:dyDescent="0.25">
      <c r="A65" s="130"/>
      <c r="B65" s="131">
        <f>DATE(2020,1,1)</f>
        <v>43831</v>
      </c>
      <c r="C65" s="204">
        <v>2935416</v>
      </c>
      <c r="D65" s="204">
        <v>839366</v>
      </c>
      <c r="E65" s="204">
        <v>696823.5</v>
      </c>
      <c r="F65" s="132">
        <f t="shared" si="10"/>
        <v>0.20456040876922205</v>
      </c>
      <c r="G65" s="215">
        <f t="shared" si="11"/>
        <v>0.2859444794196121</v>
      </c>
      <c r="H65" s="123"/>
    </row>
    <row r="66" spans="1:8" ht="15.75" customHeight="1" thickBot="1" x14ac:dyDescent="0.3">
      <c r="A66" s="130"/>
      <c r="B66" s="131"/>
      <c r="C66" s="204"/>
      <c r="D66" s="204"/>
      <c r="E66" s="204"/>
      <c r="F66" s="132"/>
      <c r="G66" s="215"/>
      <c r="H66" s="123"/>
    </row>
    <row r="67" spans="1:8" ht="17.25" thickTop="1" thickBot="1" x14ac:dyDescent="0.3">
      <c r="A67" s="141" t="s">
        <v>14</v>
      </c>
      <c r="B67" s="142"/>
      <c r="C67" s="207">
        <f>SUM(C59:C66)</f>
        <v>19000367.5</v>
      </c>
      <c r="D67" s="261">
        <f>SUM(D59:D66)</f>
        <v>4791156.9000000004</v>
      </c>
      <c r="E67" s="207">
        <f>SUM(E59:E66)</f>
        <v>4513333.07</v>
      </c>
      <c r="F67" s="268">
        <f>(+D67-E67)/E67</f>
        <v>6.1556243621080697E-2</v>
      </c>
      <c r="G67" s="267">
        <f>D67/C67</f>
        <v>0.25216127530164878</v>
      </c>
      <c r="H67" s="123"/>
    </row>
    <row r="68" spans="1:8" ht="15.75" customHeight="1" thickTop="1" x14ac:dyDescent="0.25">
      <c r="A68" s="130"/>
      <c r="B68" s="134"/>
      <c r="C68" s="204"/>
      <c r="D68" s="204"/>
      <c r="E68" s="204"/>
      <c r="F68" s="132"/>
      <c r="G68" s="218"/>
      <c r="H68" s="123"/>
    </row>
    <row r="69" spans="1:8" ht="15.75" x14ac:dyDescent="0.25">
      <c r="A69" s="130" t="s">
        <v>17</v>
      </c>
      <c r="B69" s="131">
        <f>DATE(2019,7,1)</f>
        <v>43647</v>
      </c>
      <c r="C69" s="204">
        <v>1428358</v>
      </c>
      <c r="D69" s="204">
        <v>255421</v>
      </c>
      <c r="E69" s="204">
        <v>395162.5</v>
      </c>
      <c r="F69" s="132">
        <f t="shared" ref="F69:F75" si="12">(+D69-E69)/E69</f>
        <v>-0.35363046847815771</v>
      </c>
      <c r="G69" s="215">
        <f t="shared" ref="G69:G75" si="13">D69/C69</f>
        <v>0.17882141591953837</v>
      </c>
      <c r="H69" s="123"/>
    </row>
    <row r="70" spans="1:8" ht="15.75" x14ac:dyDescent="0.25">
      <c r="A70" s="130"/>
      <c r="B70" s="131">
        <f>DATE(2019,8,1)</f>
        <v>43678</v>
      </c>
      <c r="C70" s="204">
        <v>1645771</v>
      </c>
      <c r="D70" s="204">
        <v>366605.5</v>
      </c>
      <c r="E70" s="204">
        <v>271146</v>
      </c>
      <c r="F70" s="132">
        <f t="shared" si="12"/>
        <v>0.35205940710908512</v>
      </c>
      <c r="G70" s="215">
        <f t="shared" si="13"/>
        <v>0.22275608210376777</v>
      </c>
      <c r="H70" s="123"/>
    </row>
    <row r="71" spans="1:8" ht="15.75" x14ac:dyDescent="0.25">
      <c r="A71" s="130"/>
      <c r="B71" s="131">
        <f>DATE(2019,9,1)</f>
        <v>43709</v>
      </c>
      <c r="C71" s="204">
        <v>1422549</v>
      </c>
      <c r="D71" s="204">
        <v>323382</v>
      </c>
      <c r="E71" s="204">
        <v>347747</v>
      </c>
      <c r="F71" s="132">
        <f t="shared" si="12"/>
        <v>-7.0065306098974253E-2</v>
      </c>
      <c r="G71" s="215">
        <f t="shared" si="13"/>
        <v>0.22732573710993434</v>
      </c>
      <c r="H71" s="123"/>
    </row>
    <row r="72" spans="1:8" ht="15.75" x14ac:dyDescent="0.25">
      <c r="A72" s="130"/>
      <c r="B72" s="131">
        <f>DATE(2019,10,1)</f>
        <v>43739</v>
      </c>
      <c r="C72" s="204">
        <v>1396946</v>
      </c>
      <c r="D72" s="204">
        <v>301934</v>
      </c>
      <c r="E72" s="204">
        <v>240203.5</v>
      </c>
      <c r="F72" s="132">
        <f t="shared" si="12"/>
        <v>0.25699250843555571</v>
      </c>
      <c r="G72" s="215">
        <f t="shared" si="13"/>
        <v>0.21613863384840931</v>
      </c>
      <c r="H72" s="123"/>
    </row>
    <row r="73" spans="1:8" ht="15.75" x14ac:dyDescent="0.25">
      <c r="A73" s="130"/>
      <c r="B73" s="131">
        <f>DATE(2019,11,1)</f>
        <v>43770</v>
      </c>
      <c r="C73" s="204">
        <v>1457385</v>
      </c>
      <c r="D73" s="204">
        <v>378106</v>
      </c>
      <c r="E73" s="204">
        <v>171704.5</v>
      </c>
      <c r="F73" s="132">
        <f t="shared" si="12"/>
        <v>1.2020739118660257</v>
      </c>
      <c r="G73" s="215">
        <f t="shared" si="13"/>
        <v>0.25944139674828548</v>
      </c>
      <c r="H73" s="123"/>
    </row>
    <row r="74" spans="1:8" ht="15.75" x14ac:dyDescent="0.25">
      <c r="A74" s="130"/>
      <c r="B74" s="131">
        <f>DATE(2019,12,1)</f>
        <v>43800</v>
      </c>
      <c r="C74" s="204">
        <v>1230603</v>
      </c>
      <c r="D74" s="204">
        <v>350447.5</v>
      </c>
      <c r="E74" s="204">
        <v>334648.5</v>
      </c>
      <c r="F74" s="132">
        <f t="shared" si="12"/>
        <v>4.7210730064530394E-2</v>
      </c>
      <c r="G74" s="215">
        <f t="shared" si="13"/>
        <v>0.28477705645118695</v>
      </c>
      <c r="H74" s="123"/>
    </row>
    <row r="75" spans="1:8" ht="15.75" x14ac:dyDescent="0.25">
      <c r="A75" s="130"/>
      <c r="B75" s="131">
        <f>DATE(2020,1,1)</f>
        <v>43831</v>
      </c>
      <c r="C75" s="204">
        <v>1325748</v>
      </c>
      <c r="D75" s="204">
        <v>284017</v>
      </c>
      <c r="E75" s="204">
        <v>312324</v>
      </c>
      <c r="F75" s="132">
        <f t="shared" si="12"/>
        <v>-9.0633444756086631E-2</v>
      </c>
      <c r="G75" s="215">
        <f t="shared" si="13"/>
        <v>0.21423151307790017</v>
      </c>
      <c r="H75" s="123"/>
    </row>
    <row r="76" spans="1:8" ht="15.75" customHeight="1" thickBot="1" x14ac:dyDescent="0.3">
      <c r="A76" s="130"/>
      <c r="B76" s="131"/>
      <c r="C76" s="204"/>
      <c r="D76" s="204"/>
      <c r="E76" s="204"/>
      <c r="F76" s="132"/>
      <c r="G76" s="215"/>
      <c r="H76" s="123"/>
    </row>
    <row r="77" spans="1:8" ht="17.25" thickTop="1" thickBot="1" x14ac:dyDescent="0.3">
      <c r="A77" s="141" t="s">
        <v>14</v>
      </c>
      <c r="B77" s="142"/>
      <c r="C77" s="207">
        <f>SUM(C69:C76)</f>
        <v>9907360</v>
      </c>
      <c r="D77" s="261">
        <f>SUM(D69:D76)</f>
        <v>2259913</v>
      </c>
      <c r="E77" s="207">
        <f>SUM(E69:E76)</f>
        <v>2072936</v>
      </c>
      <c r="F77" s="269">
        <f>(+D77-E77)/E77</f>
        <v>9.0199118544904422E-2</v>
      </c>
      <c r="G77" s="267">
        <f>D77/C77</f>
        <v>0.2281044597147979</v>
      </c>
      <c r="H77" s="123"/>
    </row>
    <row r="78" spans="1:8" ht="15.75" customHeight="1" thickTop="1" x14ac:dyDescent="0.25">
      <c r="A78" s="130"/>
      <c r="B78" s="139"/>
      <c r="C78" s="205"/>
      <c r="D78" s="205"/>
      <c r="E78" s="205"/>
      <c r="F78" s="140"/>
      <c r="G78" s="216"/>
      <c r="H78" s="123"/>
    </row>
    <row r="79" spans="1:8" ht="15.75" x14ac:dyDescent="0.25">
      <c r="A79" s="130" t="s">
        <v>55</v>
      </c>
      <c r="B79" s="131">
        <f>DATE(2019,7,1)</f>
        <v>43647</v>
      </c>
      <c r="C79" s="204">
        <v>11352765</v>
      </c>
      <c r="D79" s="204">
        <v>1702644.86</v>
      </c>
      <c r="E79" s="204">
        <v>2057880.1</v>
      </c>
      <c r="F79" s="132">
        <f t="shared" ref="F79:F85" si="14">(+D79-E79)/E79</f>
        <v>-0.17262193263834952</v>
      </c>
      <c r="G79" s="215">
        <f t="shared" ref="G79:G85" si="15">D79/C79</f>
        <v>0.14997622693678589</v>
      </c>
      <c r="H79" s="123"/>
    </row>
    <row r="80" spans="1:8" ht="15.75" x14ac:dyDescent="0.25">
      <c r="A80" s="130"/>
      <c r="B80" s="131">
        <f>DATE(2019,8,1)</f>
        <v>43678</v>
      </c>
      <c r="C80" s="204">
        <v>11116688</v>
      </c>
      <c r="D80" s="204">
        <v>2308275.88</v>
      </c>
      <c r="E80" s="204">
        <v>2105874.34</v>
      </c>
      <c r="F80" s="132">
        <f t="shared" si="14"/>
        <v>9.6112828840490105E-2</v>
      </c>
      <c r="G80" s="215">
        <f t="shared" si="15"/>
        <v>0.20764061022491589</v>
      </c>
      <c r="H80" s="123"/>
    </row>
    <row r="81" spans="1:8" ht="15.75" x14ac:dyDescent="0.25">
      <c r="A81" s="130"/>
      <c r="B81" s="131">
        <f>DATE(2019,9,1)</f>
        <v>43709</v>
      </c>
      <c r="C81" s="204">
        <v>10317715</v>
      </c>
      <c r="D81" s="204">
        <v>1996051.56</v>
      </c>
      <c r="E81" s="204">
        <v>2555133.64</v>
      </c>
      <c r="F81" s="132">
        <f t="shared" si="14"/>
        <v>-0.21880737322216934</v>
      </c>
      <c r="G81" s="215">
        <f t="shared" si="15"/>
        <v>0.19345868343911418</v>
      </c>
      <c r="H81" s="123"/>
    </row>
    <row r="82" spans="1:8" ht="15.75" x14ac:dyDescent="0.25">
      <c r="A82" s="130"/>
      <c r="B82" s="131">
        <f>DATE(2019,10,1)</f>
        <v>43739</v>
      </c>
      <c r="C82" s="204">
        <v>10237727</v>
      </c>
      <c r="D82" s="204">
        <v>2026195.69</v>
      </c>
      <c r="E82" s="204">
        <v>2662687.6</v>
      </c>
      <c r="F82" s="132">
        <f t="shared" si="14"/>
        <v>-0.23904115150421706</v>
      </c>
      <c r="G82" s="215">
        <f t="shared" si="15"/>
        <v>0.19791460448203005</v>
      </c>
      <c r="H82" s="123"/>
    </row>
    <row r="83" spans="1:8" ht="15.75" x14ac:dyDescent="0.25">
      <c r="A83" s="130"/>
      <c r="B83" s="131">
        <f>DATE(2019,11,1)</f>
        <v>43770</v>
      </c>
      <c r="C83" s="204">
        <v>9911473</v>
      </c>
      <c r="D83" s="204">
        <v>1903112.96</v>
      </c>
      <c r="E83" s="204">
        <v>2453062.8199999998</v>
      </c>
      <c r="F83" s="132">
        <f t="shared" si="14"/>
        <v>-0.22418906499915886</v>
      </c>
      <c r="G83" s="215">
        <f t="shared" si="15"/>
        <v>0.1920111127780906</v>
      </c>
      <c r="H83" s="123"/>
    </row>
    <row r="84" spans="1:8" ht="15.75" x14ac:dyDescent="0.25">
      <c r="A84" s="130"/>
      <c r="B84" s="131">
        <f>DATE(2019,12,1)</f>
        <v>43800</v>
      </c>
      <c r="C84" s="204">
        <v>10227494</v>
      </c>
      <c r="D84" s="204">
        <v>1980334.65</v>
      </c>
      <c r="E84" s="204">
        <v>2360180.63</v>
      </c>
      <c r="F84" s="132">
        <f t="shared" si="14"/>
        <v>-0.16093936844147391</v>
      </c>
      <c r="G84" s="215">
        <f t="shared" si="15"/>
        <v>0.19362853207247052</v>
      </c>
      <c r="H84" s="123"/>
    </row>
    <row r="85" spans="1:8" ht="15.75" x14ac:dyDescent="0.25">
      <c r="A85" s="130"/>
      <c r="B85" s="131">
        <f>DATE(2020,1,1)</f>
        <v>43831</v>
      </c>
      <c r="C85" s="204">
        <v>9698406</v>
      </c>
      <c r="D85" s="204">
        <v>2178926.1</v>
      </c>
      <c r="E85" s="204">
        <v>2536749.79</v>
      </c>
      <c r="F85" s="132">
        <f t="shared" si="14"/>
        <v>-0.14105596516083674</v>
      </c>
      <c r="G85" s="215">
        <f t="shared" si="15"/>
        <v>0.22466847644860405</v>
      </c>
      <c r="H85" s="123"/>
    </row>
    <row r="86" spans="1:8" ht="15.75" customHeight="1" thickBot="1" x14ac:dyDescent="0.3">
      <c r="A86" s="130"/>
      <c r="B86" s="131"/>
      <c r="C86" s="204"/>
      <c r="D86" s="204"/>
      <c r="E86" s="204"/>
      <c r="F86" s="132"/>
      <c r="G86" s="215"/>
      <c r="H86" s="123"/>
    </row>
    <row r="87" spans="1:8" ht="17.25" thickTop="1" thickBot="1" x14ac:dyDescent="0.3">
      <c r="A87" s="141" t="s">
        <v>14</v>
      </c>
      <c r="B87" s="142"/>
      <c r="C87" s="206">
        <f>SUM(C79:C86)</f>
        <v>72862268</v>
      </c>
      <c r="D87" s="206">
        <f>SUM(D79:D86)</f>
        <v>14095541.699999999</v>
      </c>
      <c r="E87" s="206">
        <f>SUM(E79:E86)</f>
        <v>16731568.919999998</v>
      </c>
      <c r="F87" s="143">
        <f>(+D87-E87)/E87</f>
        <v>-0.15754811952207523</v>
      </c>
      <c r="G87" s="217">
        <f>D87/C87</f>
        <v>0.19345461082819984</v>
      </c>
      <c r="H87" s="123"/>
    </row>
    <row r="88" spans="1:8" ht="15.75" customHeight="1" thickTop="1" x14ac:dyDescent="0.25">
      <c r="A88" s="138"/>
      <c r="B88" s="139"/>
      <c r="C88" s="205"/>
      <c r="D88" s="205"/>
      <c r="E88" s="205"/>
      <c r="F88" s="140"/>
      <c r="G88" s="216"/>
      <c r="H88" s="123"/>
    </row>
    <row r="89" spans="1:8" ht="15.75" x14ac:dyDescent="0.25">
      <c r="A89" s="130" t="s">
        <v>18</v>
      </c>
      <c r="B89" s="131">
        <f>DATE(2019,7,1)</f>
        <v>43647</v>
      </c>
      <c r="C89" s="204">
        <v>12048647</v>
      </c>
      <c r="D89" s="204">
        <v>2126440.5</v>
      </c>
      <c r="E89" s="204">
        <v>2729067.84</v>
      </c>
      <c r="F89" s="132">
        <f t="shared" ref="F89:F95" si="16">(+D89-E89)/E89</f>
        <v>-0.22081801381676167</v>
      </c>
      <c r="G89" s="215">
        <f t="shared" ref="G89:G95" si="17">D89/C89</f>
        <v>0.17648790772939069</v>
      </c>
      <c r="H89" s="123"/>
    </row>
    <row r="90" spans="1:8" ht="15.75" x14ac:dyDescent="0.25">
      <c r="A90" s="130"/>
      <c r="B90" s="131">
        <f>DATE(2019,8,1)</f>
        <v>43678</v>
      </c>
      <c r="C90" s="204">
        <v>12757078</v>
      </c>
      <c r="D90" s="204">
        <v>2726871</v>
      </c>
      <c r="E90" s="204">
        <v>2970026</v>
      </c>
      <c r="F90" s="132">
        <f t="shared" si="16"/>
        <v>-8.1869653666331546E-2</v>
      </c>
      <c r="G90" s="215">
        <f t="shared" si="17"/>
        <v>0.21375357272253098</v>
      </c>
      <c r="H90" s="123"/>
    </row>
    <row r="91" spans="1:8" ht="15.75" x14ac:dyDescent="0.25">
      <c r="A91" s="130"/>
      <c r="B91" s="131">
        <f>DATE(2019,9,1)</f>
        <v>43709</v>
      </c>
      <c r="C91" s="204">
        <v>12239206</v>
      </c>
      <c r="D91" s="204">
        <v>2679876</v>
      </c>
      <c r="E91" s="204">
        <v>2637413.5</v>
      </c>
      <c r="F91" s="132">
        <f t="shared" si="16"/>
        <v>1.6100054087081907E-2</v>
      </c>
      <c r="G91" s="215">
        <f t="shared" si="17"/>
        <v>0.21895832131594156</v>
      </c>
      <c r="H91" s="123"/>
    </row>
    <row r="92" spans="1:8" ht="15.75" x14ac:dyDescent="0.25">
      <c r="A92" s="130"/>
      <c r="B92" s="131">
        <f>DATE(2019,10,1)</f>
        <v>43739</v>
      </c>
      <c r="C92" s="204">
        <v>12190070</v>
      </c>
      <c r="D92" s="204">
        <v>3088829</v>
      </c>
      <c r="E92" s="204">
        <v>1894492</v>
      </c>
      <c r="F92" s="132">
        <f t="shared" si="16"/>
        <v>0.63042599282551737</v>
      </c>
      <c r="G92" s="215">
        <f t="shared" si="17"/>
        <v>0.25338894690514491</v>
      </c>
      <c r="H92" s="123"/>
    </row>
    <row r="93" spans="1:8" ht="15.75" x14ac:dyDescent="0.25">
      <c r="A93" s="130"/>
      <c r="B93" s="131">
        <f>DATE(2019,11,1)</f>
        <v>43770</v>
      </c>
      <c r="C93" s="204">
        <v>12234070</v>
      </c>
      <c r="D93" s="204">
        <v>2810591.5</v>
      </c>
      <c r="E93" s="204">
        <v>2412367</v>
      </c>
      <c r="F93" s="132">
        <f t="shared" si="16"/>
        <v>0.16507625083579738</v>
      </c>
      <c r="G93" s="215">
        <f t="shared" si="17"/>
        <v>0.2297347898123846</v>
      </c>
      <c r="H93" s="123"/>
    </row>
    <row r="94" spans="1:8" ht="15.75" x14ac:dyDescent="0.25">
      <c r="A94" s="130"/>
      <c r="B94" s="131">
        <f>DATE(2019,12,1)</f>
        <v>43800</v>
      </c>
      <c r="C94" s="204">
        <v>11492519.5</v>
      </c>
      <c r="D94" s="204">
        <v>1704640.5</v>
      </c>
      <c r="E94" s="204">
        <v>2615452.5</v>
      </c>
      <c r="F94" s="132">
        <f t="shared" si="16"/>
        <v>-0.34824260811465702</v>
      </c>
      <c r="G94" s="215">
        <f t="shared" si="17"/>
        <v>0.14832609159375365</v>
      </c>
      <c r="H94" s="123"/>
    </row>
    <row r="95" spans="1:8" ht="15.75" x14ac:dyDescent="0.25">
      <c r="A95" s="130"/>
      <c r="B95" s="131">
        <f>DATE(2020,1,1)</f>
        <v>43831</v>
      </c>
      <c r="C95" s="204">
        <v>11073267.5</v>
      </c>
      <c r="D95" s="204">
        <v>2631202</v>
      </c>
      <c r="E95" s="204">
        <v>2027761</v>
      </c>
      <c r="F95" s="132">
        <f t="shared" si="16"/>
        <v>0.2975898047156445</v>
      </c>
      <c r="G95" s="215">
        <f t="shared" si="17"/>
        <v>0.23761748734057042</v>
      </c>
      <c r="H95" s="123"/>
    </row>
    <row r="96" spans="1:8" ht="15.75" customHeight="1" thickBot="1" x14ac:dyDescent="0.3">
      <c r="A96" s="130"/>
      <c r="B96" s="131"/>
      <c r="C96" s="204"/>
      <c r="D96" s="204"/>
      <c r="E96" s="204"/>
      <c r="F96" s="132"/>
      <c r="G96" s="215"/>
      <c r="H96" s="123"/>
    </row>
    <row r="97" spans="1:8" ht="17.25" thickTop="1" thickBot="1" x14ac:dyDescent="0.3">
      <c r="A97" s="141" t="s">
        <v>14</v>
      </c>
      <c r="B97" s="142"/>
      <c r="C97" s="206">
        <f>SUM(C89:C96)</f>
        <v>84034858</v>
      </c>
      <c r="D97" s="206">
        <f>SUM(D89:D96)</f>
        <v>17768450.5</v>
      </c>
      <c r="E97" s="206">
        <f>SUM(E89:E96)</f>
        <v>17286579.84</v>
      </c>
      <c r="F97" s="143">
        <f>(+D97-E97)/E97</f>
        <v>2.7875419224627846E-2</v>
      </c>
      <c r="G97" s="217">
        <f>D97/C97</f>
        <v>0.21144142946014141</v>
      </c>
      <c r="H97" s="123"/>
    </row>
    <row r="98" spans="1:8" ht="15.75" customHeight="1" thickTop="1" x14ac:dyDescent="0.25">
      <c r="A98" s="138"/>
      <c r="B98" s="139"/>
      <c r="C98" s="205"/>
      <c r="D98" s="205"/>
      <c r="E98" s="205"/>
      <c r="F98" s="140"/>
      <c r="G98" s="216"/>
      <c r="H98" s="123"/>
    </row>
    <row r="99" spans="1:8" ht="15.75" x14ac:dyDescent="0.25">
      <c r="A99" s="130" t="s">
        <v>58</v>
      </c>
      <c r="B99" s="131">
        <f>DATE(2019,7,1)</f>
        <v>43647</v>
      </c>
      <c r="C99" s="204">
        <v>11570649</v>
      </c>
      <c r="D99" s="204">
        <v>1977732.9</v>
      </c>
      <c r="E99" s="204">
        <v>2887936.73</v>
      </c>
      <c r="F99" s="132">
        <f t="shared" ref="F99:F105" si="18">(+D99-E99)/E99</f>
        <v>-0.31517443597180195</v>
      </c>
      <c r="G99" s="215">
        <f t="shared" ref="G99:G105" si="19">D99/C99</f>
        <v>0.17092670428426271</v>
      </c>
      <c r="H99" s="123"/>
    </row>
    <row r="100" spans="1:8" ht="15.75" x14ac:dyDescent="0.25">
      <c r="A100" s="130"/>
      <c r="B100" s="131">
        <f>DATE(2019,8,1)</f>
        <v>43678</v>
      </c>
      <c r="C100" s="204">
        <v>12902308</v>
      </c>
      <c r="D100" s="204">
        <v>2649402.5</v>
      </c>
      <c r="E100" s="204">
        <v>2450226.84</v>
      </c>
      <c r="F100" s="132">
        <f t="shared" si="18"/>
        <v>8.1288661420425942E-2</v>
      </c>
      <c r="G100" s="215">
        <f t="shared" si="19"/>
        <v>0.20534329981891611</v>
      </c>
      <c r="H100" s="123"/>
    </row>
    <row r="101" spans="1:8" ht="15.75" x14ac:dyDescent="0.25">
      <c r="A101" s="130"/>
      <c r="B101" s="131">
        <f>DATE(2019,9,1)</f>
        <v>43709</v>
      </c>
      <c r="C101" s="204">
        <v>12612498</v>
      </c>
      <c r="D101" s="204">
        <v>2515306.23</v>
      </c>
      <c r="E101" s="204">
        <v>1932757.4</v>
      </c>
      <c r="F101" s="132">
        <f t="shared" si="18"/>
        <v>0.30140814879301464</v>
      </c>
      <c r="G101" s="215">
        <f t="shared" si="19"/>
        <v>0.19942966333869785</v>
      </c>
      <c r="H101" s="123"/>
    </row>
    <row r="102" spans="1:8" ht="15.75" x14ac:dyDescent="0.25">
      <c r="A102" s="130"/>
      <c r="B102" s="131">
        <f>DATE(2019,10,1)</f>
        <v>43739</v>
      </c>
      <c r="C102" s="204">
        <v>13262208</v>
      </c>
      <c r="D102" s="204">
        <v>2541006.48</v>
      </c>
      <c r="E102" s="204">
        <v>1108774.5</v>
      </c>
      <c r="F102" s="132">
        <f t="shared" si="18"/>
        <v>1.291725215542024</v>
      </c>
      <c r="G102" s="215">
        <f t="shared" si="19"/>
        <v>0.19159754393838491</v>
      </c>
      <c r="H102" s="123"/>
    </row>
    <row r="103" spans="1:8" ht="15.75" x14ac:dyDescent="0.25">
      <c r="A103" s="130"/>
      <c r="B103" s="131">
        <f>DATE(2019,11,1)</f>
        <v>43770</v>
      </c>
      <c r="C103" s="204">
        <v>13497353</v>
      </c>
      <c r="D103" s="204">
        <v>2692124.24</v>
      </c>
      <c r="E103" s="204">
        <v>4255264.95</v>
      </c>
      <c r="F103" s="132">
        <f t="shared" si="18"/>
        <v>-0.36734274560271502</v>
      </c>
      <c r="G103" s="215">
        <f t="shared" si="19"/>
        <v>0.19945571846568733</v>
      </c>
      <c r="H103" s="123"/>
    </row>
    <row r="104" spans="1:8" ht="15.75" x14ac:dyDescent="0.25">
      <c r="A104" s="130"/>
      <c r="B104" s="131">
        <f>DATE(2019,12,1)</f>
        <v>43800</v>
      </c>
      <c r="C104" s="204">
        <v>15274965</v>
      </c>
      <c r="D104" s="204">
        <v>2968383.02</v>
      </c>
      <c r="E104" s="204">
        <v>3211966.31</v>
      </c>
      <c r="F104" s="132">
        <f t="shared" si="18"/>
        <v>-7.5836190822312841E-2</v>
      </c>
      <c r="G104" s="215">
        <f t="shared" si="19"/>
        <v>0.19432993921753666</v>
      </c>
      <c r="H104" s="123"/>
    </row>
    <row r="105" spans="1:8" ht="15.75" x14ac:dyDescent="0.25">
      <c r="A105" s="130"/>
      <c r="B105" s="131">
        <f>DATE(2020,1,1)</f>
        <v>43831</v>
      </c>
      <c r="C105" s="204">
        <v>13322495</v>
      </c>
      <c r="D105" s="204">
        <v>2913355</v>
      </c>
      <c r="E105" s="204">
        <v>2271310.91</v>
      </c>
      <c r="F105" s="132">
        <f t="shared" si="18"/>
        <v>0.28267556289772755</v>
      </c>
      <c r="G105" s="215">
        <f t="shared" si="19"/>
        <v>0.21867938400427248</v>
      </c>
      <c r="H105" s="123"/>
    </row>
    <row r="106" spans="1:8" ht="15.75" thickBot="1" x14ac:dyDescent="0.25">
      <c r="A106" s="133"/>
      <c r="B106" s="131"/>
      <c r="C106" s="204"/>
      <c r="D106" s="204"/>
      <c r="E106" s="204"/>
      <c r="F106" s="132"/>
      <c r="G106" s="215"/>
      <c r="H106" s="123"/>
    </row>
    <row r="107" spans="1:8" ht="17.25" thickTop="1" thickBot="1" x14ac:dyDescent="0.3">
      <c r="A107" s="141" t="s">
        <v>14</v>
      </c>
      <c r="B107" s="142"/>
      <c r="C107" s="207">
        <f>SUM(C99:C106)</f>
        <v>92442476</v>
      </c>
      <c r="D107" s="207">
        <f>SUM(D99:D106)</f>
        <v>18257310.370000001</v>
      </c>
      <c r="E107" s="207">
        <f>SUM(E99:E106)</f>
        <v>18118237.640000001</v>
      </c>
      <c r="F107" s="143">
        <f>(+D107-E107)/E107</f>
        <v>7.6758420307374026E-3</v>
      </c>
      <c r="G107" s="267">
        <f>D107/C107</f>
        <v>0.1974991493088091</v>
      </c>
      <c r="H107" s="123"/>
    </row>
    <row r="108" spans="1:8" ht="15.75" customHeight="1" thickTop="1" x14ac:dyDescent="0.25">
      <c r="A108" s="138"/>
      <c r="B108" s="139"/>
      <c r="C108" s="205"/>
      <c r="D108" s="205"/>
      <c r="E108" s="205"/>
      <c r="F108" s="140"/>
      <c r="G108" s="219"/>
      <c r="H108" s="123"/>
    </row>
    <row r="109" spans="1:8" ht="15.75" x14ac:dyDescent="0.25">
      <c r="A109" s="130" t="s">
        <v>59</v>
      </c>
      <c r="B109" s="131">
        <f>DATE(2019,7,1)</f>
        <v>43647</v>
      </c>
      <c r="C109" s="204">
        <v>679874</v>
      </c>
      <c r="D109" s="204">
        <v>135934</v>
      </c>
      <c r="E109" s="204">
        <v>154554.5</v>
      </c>
      <c r="F109" s="132">
        <f t="shared" ref="F109:F115" si="20">(+D109-E109)/E109</f>
        <v>-0.12047853669741095</v>
      </c>
      <c r="G109" s="215">
        <f t="shared" ref="G109:G115" si="21">D109/C109</f>
        <v>0.19993998888029252</v>
      </c>
      <c r="H109" s="123"/>
    </row>
    <row r="110" spans="1:8" ht="15.75" x14ac:dyDescent="0.25">
      <c r="A110" s="130"/>
      <c r="B110" s="131">
        <f>DATE(2019,8,1)</f>
        <v>43678</v>
      </c>
      <c r="C110" s="204">
        <v>642745</v>
      </c>
      <c r="D110" s="204">
        <v>134255.5</v>
      </c>
      <c r="E110" s="204">
        <v>228200</v>
      </c>
      <c r="F110" s="132">
        <f t="shared" si="20"/>
        <v>-0.41167616126205081</v>
      </c>
      <c r="G110" s="215">
        <f t="shared" si="21"/>
        <v>0.20887832655252084</v>
      </c>
      <c r="H110" s="123"/>
    </row>
    <row r="111" spans="1:8" ht="15.75" x14ac:dyDescent="0.25">
      <c r="A111" s="130"/>
      <c r="B111" s="131">
        <f>DATE(2019,9,1)</f>
        <v>43709</v>
      </c>
      <c r="C111" s="204">
        <v>552495</v>
      </c>
      <c r="D111" s="204">
        <v>147952</v>
      </c>
      <c r="E111" s="204">
        <v>133253.5</v>
      </c>
      <c r="F111" s="132">
        <f t="shared" si="20"/>
        <v>0.11030479499600386</v>
      </c>
      <c r="G111" s="215">
        <f t="shared" si="21"/>
        <v>0.26778884876786213</v>
      </c>
      <c r="H111" s="123"/>
    </row>
    <row r="112" spans="1:8" ht="15.75" x14ac:dyDescent="0.25">
      <c r="A112" s="130"/>
      <c r="B112" s="131">
        <f>DATE(2019,10,1)</f>
        <v>43739</v>
      </c>
      <c r="C112" s="204">
        <v>589373</v>
      </c>
      <c r="D112" s="204">
        <v>160874.5</v>
      </c>
      <c r="E112" s="204">
        <v>183569.5</v>
      </c>
      <c r="F112" s="132">
        <f t="shared" si="20"/>
        <v>-0.12363164904845304</v>
      </c>
      <c r="G112" s="215">
        <f t="shared" si="21"/>
        <v>0.27295872053860626</v>
      </c>
      <c r="H112" s="123"/>
    </row>
    <row r="113" spans="1:8" ht="15.75" x14ac:dyDescent="0.25">
      <c r="A113" s="130"/>
      <c r="B113" s="131">
        <f>DATE(2019,11,1)</f>
        <v>43770</v>
      </c>
      <c r="C113" s="204">
        <v>659075</v>
      </c>
      <c r="D113" s="204">
        <v>171123.5</v>
      </c>
      <c r="E113" s="204">
        <v>134566.5</v>
      </c>
      <c r="F113" s="132">
        <f t="shared" si="20"/>
        <v>0.2716649388963821</v>
      </c>
      <c r="G113" s="215">
        <f t="shared" si="21"/>
        <v>0.25964192239123013</v>
      </c>
      <c r="H113" s="123"/>
    </row>
    <row r="114" spans="1:8" ht="15.75" x14ac:dyDescent="0.25">
      <c r="A114" s="130"/>
      <c r="B114" s="131">
        <f>DATE(2019,12,1)</f>
        <v>43800</v>
      </c>
      <c r="C114" s="204">
        <v>700359</v>
      </c>
      <c r="D114" s="204">
        <v>110728</v>
      </c>
      <c r="E114" s="204">
        <v>155643.5</v>
      </c>
      <c r="F114" s="132">
        <f t="shared" si="20"/>
        <v>-0.28857934960342063</v>
      </c>
      <c r="G114" s="215">
        <f t="shared" si="21"/>
        <v>0.15810177351900953</v>
      </c>
      <c r="H114" s="123"/>
    </row>
    <row r="115" spans="1:8" ht="15.75" x14ac:dyDescent="0.25">
      <c r="A115" s="130"/>
      <c r="B115" s="131">
        <f>DATE(2020,1,1)</f>
        <v>43831</v>
      </c>
      <c r="C115" s="204">
        <v>660528</v>
      </c>
      <c r="D115" s="204">
        <v>199122</v>
      </c>
      <c r="E115" s="204">
        <v>147951.5</v>
      </c>
      <c r="F115" s="132">
        <f t="shared" si="20"/>
        <v>0.34585996086555393</v>
      </c>
      <c r="G115" s="215">
        <f t="shared" si="21"/>
        <v>0.30145883293365305</v>
      </c>
      <c r="H115" s="123"/>
    </row>
    <row r="116" spans="1:8" ht="15.75" thickBot="1" x14ac:dyDescent="0.25">
      <c r="A116" s="133"/>
      <c r="B116" s="134"/>
      <c r="C116" s="204"/>
      <c r="D116" s="204"/>
      <c r="E116" s="204"/>
      <c r="F116" s="132"/>
      <c r="G116" s="215"/>
      <c r="H116" s="123"/>
    </row>
    <row r="117" spans="1:8" ht="17.25" thickTop="1" thickBot="1" x14ac:dyDescent="0.3">
      <c r="A117" s="144" t="s">
        <v>14</v>
      </c>
      <c r="B117" s="145"/>
      <c r="C117" s="207">
        <f>SUM(C109:C116)</f>
        <v>4484449</v>
      </c>
      <c r="D117" s="207">
        <f>SUM(D109:D116)</f>
        <v>1059989.5</v>
      </c>
      <c r="E117" s="207">
        <f>SUM(E109:E116)</f>
        <v>1137739</v>
      </c>
      <c r="F117" s="143">
        <f>(+D117-E117)/E117</f>
        <v>-6.8336850543050734E-2</v>
      </c>
      <c r="G117" s="217">
        <f>D117/C117</f>
        <v>0.23637006463893334</v>
      </c>
      <c r="H117" s="123"/>
    </row>
    <row r="118" spans="1:8" ht="15.75" customHeight="1" thickTop="1" x14ac:dyDescent="0.25">
      <c r="A118" s="130"/>
      <c r="B118" s="134"/>
      <c r="C118" s="204"/>
      <c r="D118" s="204"/>
      <c r="E118" s="204"/>
      <c r="F118" s="132"/>
      <c r="G118" s="218"/>
      <c r="H118" s="123"/>
    </row>
    <row r="119" spans="1:8" ht="15.75" x14ac:dyDescent="0.25">
      <c r="A119" s="130" t="s">
        <v>40</v>
      </c>
      <c r="B119" s="131">
        <f>DATE(2019,7,1)</f>
        <v>43647</v>
      </c>
      <c r="C119" s="204">
        <v>18492660</v>
      </c>
      <c r="D119" s="204">
        <v>3678875.65</v>
      </c>
      <c r="E119" s="204">
        <v>4013253.36</v>
      </c>
      <c r="F119" s="132">
        <f t="shared" ref="F119:F125" si="22">(+D119-E119)/E119</f>
        <v>-8.3318365427095781E-2</v>
      </c>
      <c r="G119" s="215">
        <f t="shared" ref="G119:G125" si="23">D119/C119</f>
        <v>0.19893707287107426</v>
      </c>
      <c r="H119" s="123"/>
    </row>
    <row r="120" spans="1:8" ht="15.75" x14ac:dyDescent="0.25">
      <c r="A120" s="130"/>
      <c r="B120" s="131">
        <f>DATE(2019,8,1)</f>
        <v>43678</v>
      </c>
      <c r="C120" s="204">
        <v>18036604</v>
      </c>
      <c r="D120" s="204">
        <v>3806318.41</v>
      </c>
      <c r="E120" s="204">
        <v>4154776.6</v>
      </c>
      <c r="F120" s="132">
        <f t="shared" si="22"/>
        <v>-8.3869296366018795E-2</v>
      </c>
      <c r="G120" s="215">
        <f t="shared" si="23"/>
        <v>0.21103298658661021</v>
      </c>
      <c r="H120" s="123"/>
    </row>
    <row r="121" spans="1:8" ht="15.75" x14ac:dyDescent="0.25">
      <c r="A121" s="130"/>
      <c r="B121" s="131">
        <f>DATE(2019,9,1)</f>
        <v>43709</v>
      </c>
      <c r="C121" s="204">
        <v>19700815</v>
      </c>
      <c r="D121" s="204">
        <v>3987675.53</v>
      </c>
      <c r="E121" s="204">
        <v>3317290.2</v>
      </c>
      <c r="F121" s="132">
        <f t="shared" si="22"/>
        <v>0.20208823756209196</v>
      </c>
      <c r="G121" s="215">
        <f t="shared" si="23"/>
        <v>0.20241170377976747</v>
      </c>
      <c r="H121" s="123"/>
    </row>
    <row r="122" spans="1:8" ht="15.75" x14ac:dyDescent="0.25">
      <c r="A122" s="130"/>
      <c r="B122" s="131">
        <f>DATE(2019,10,1)</f>
        <v>43739</v>
      </c>
      <c r="C122" s="204">
        <v>15446007</v>
      </c>
      <c r="D122" s="204">
        <v>3485177.78</v>
      </c>
      <c r="E122" s="204">
        <v>3010473</v>
      </c>
      <c r="F122" s="132">
        <f t="shared" si="22"/>
        <v>0.15768445025084091</v>
      </c>
      <c r="G122" s="215">
        <f t="shared" si="23"/>
        <v>0.22563616473823944</v>
      </c>
      <c r="H122" s="123"/>
    </row>
    <row r="123" spans="1:8" ht="15.75" x14ac:dyDescent="0.25">
      <c r="A123" s="130"/>
      <c r="B123" s="131">
        <f>DATE(2019,11,1)</f>
        <v>43770</v>
      </c>
      <c r="C123" s="204">
        <v>16313312</v>
      </c>
      <c r="D123" s="204">
        <v>3099140.29</v>
      </c>
      <c r="E123" s="204">
        <v>3636412.28</v>
      </c>
      <c r="F123" s="132">
        <f t="shared" si="22"/>
        <v>-0.14774782082740073</v>
      </c>
      <c r="G123" s="215">
        <f t="shared" si="23"/>
        <v>0.18997615505668008</v>
      </c>
      <c r="H123" s="123"/>
    </row>
    <row r="124" spans="1:8" ht="15.75" x14ac:dyDescent="0.25">
      <c r="A124" s="130"/>
      <c r="B124" s="131">
        <f>DATE(2019,12,1)</f>
        <v>43800</v>
      </c>
      <c r="C124" s="204">
        <v>17539177</v>
      </c>
      <c r="D124" s="204">
        <v>4022599</v>
      </c>
      <c r="E124" s="204">
        <v>3158388.6</v>
      </c>
      <c r="F124" s="132">
        <f t="shared" si="22"/>
        <v>0.27362383463516804</v>
      </c>
      <c r="G124" s="215">
        <f t="shared" si="23"/>
        <v>0.22934935886672447</v>
      </c>
      <c r="H124" s="123"/>
    </row>
    <row r="125" spans="1:8" ht="15.75" x14ac:dyDescent="0.25">
      <c r="A125" s="130"/>
      <c r="B125" s="131">
        <f>DATE(2020,1,1)</f>
        <v>43831</v>
      </c>
      <c r="C125" s="204">
        <v>17379592</v>
      </c>
      <c r="D125" s="204">
        <v>3993751.63</v>
      </c>
      <c r="E125" s="204">
        <v>3469211.92</v>
      </c>
      <c r="F125" s="132">
        <f t="shared" si="22"/>
        <v>0.15119852061386899</v>
      </c>
      <c r="G125" s="215">
        <f t="shared" si="23"/>
        <v>0.22979547678679682</v>
      </c>
      <c r="H125" s="123"/>
    </row>
    <row r="126" spans="1:8" ht="15.75" thickBot="1" x14ac:dyDescent="0.25">
      <c r="A126" s="133"/>
      <c r="B126" s="134"/>
      <c r="C126" s="204"/>
      <c r="D126" s="204"/>
      <c r="E126" s="204"/>
      <c r="F126" s="132"/>
      <c r="G126" s="215"/>
      <c r="H126" s="123"/>
    </row>
    <row r="127" spans="1:8" ht="17.25" thickTop="1" thickBot="1" x14ac:dyDescent="0.3">
      <c r="A127" s="141" t="s">
        <v>14</v>
      </c>
      <c r="B127" s="142"/>
      <c r="C127" s="206">
        <f>SUM(C119:C126)</f>
        <v>122908167</v>
      </c>
      <c r="D127" s="207">
        <f>SUM(D119:D126)</f>
        <v>26073538.289999999</v>
      </c>
      <c r="E127" s="206">
        <f>SUM(E119:E126)</f>
        <v>24759805.960000001</v>
      </c>
      <c r="F127" s="143">
        <f>(+D127-E127)/E127</f>
        <v>5.3059072115603859E-2</v>
      </c>
      <c r="G127" s="217">
        <f>D127/C127</f>
        <v>0.21213837067474939</v>
      </c>
      <c r="H127" s="123"/>
    </row>
    <row r="128" spans="1:8" ht="15.75" customHeight="1" thickTop="1" x14ac:dyDescent="0.25">
      <c r="A128" s="130"/>
      <c r="B128" s="134"/>
      <c r="C128" s="204"/>
      <c r="D128" s="204"/>
      <c r="E128" s="204"/>
      <c r="F128" s="132"/>
      <c r="G128" s="218"/>
      <c r="H128" s="123"/>
    </row>
    <row r="129" spans="1:8" ht="15.75" x14ac:dyDescent="0.25">
      <c r="A129" s="130" t="s">
        <v>64</v>
      </c>
      <c r="B129" s="131">
        <f>DATE(2019,7,1)</f>
        <v>43647</v>
      </c>
      <c r="C129" s="204">
        <v>622244</v>
      </c>
      <c r="D129" s="204">
        <v>102948</v>
      </c>
      <c r="E129" s="204">
        <v>171143.5</v>
      </c>
      <c r="F129" s="132">
        <f t="shared" ref="F129:F135" si="24">(+D129-E129)/E129</f>
        <v>-0.39846970524735092</v>
      </c>
      <c r="G129" s="215">
        <f t="shared" ref="G129:G135" si="25">D129/C129</f>
        <v>0.16544635223481463</v>
      </c>
      <c r="H129" s="123"/>
    </row>
    <row r="130" spans="1:8" ht="15.75" x14ac:dyDescent="0.25">
      <c r="A130" s="130"/>
      <c r="B130" s="131">
        <f>DATE(2019,8,1)</f>
        <v>43678</v>
      </c>
      <c r="C130" s="204">
        <v>680355</v>
      </c>
      <c r="D130" s="204">
        <v>208443.5</v>
      </c>
      <c r="E130" s="204">
        <v>217353.5</v>
      </c>
      <c r="F130" s="132">
        <f t="shared" si="24"/>
        <v>-4.0993128705081816E-2</v>
      </c>
      <c r="G130" s="215">
        <f t="shared" si="25"/>
        <v>0.30637461325337506</v>
      </c>
      <c r="H130" s="123"/>
    </row>
    <row r="131" spans="1:8" ht="15.75" x14ac:dyDescent="0.25">
      <c r="A131" s="130"/>
      <c r="B131" s="131">
        <f>DATE(2019,9,1)</f>
        <v>43709</v>
      </c>
      <c r="C131" s="204">
        <v>591136</v>
      </c>
      <c r="D131" s="204">
        <v>206651.5</v>
      </c>
      <c r="E131" s="204">
        <v>169120</v>
      </c>
      <c r="F131" s="132">
        <f t="shared" si="24"/>
        <v>0.22192230368968779</v>
      </c>
      <c r="G131" s="215">
        <f t="shared" si="25"/>
        <v>0.34958368294267311</v>
      </c>
      <c r="H131" s="123"/>
    </row>
    <row r="132" spans="1:8" ht="15.75" x14ac:dyDescent="0.25">
      <c r="A132" s="130"/>
      <c r="B132" s="131">
        <f>DATE(2019,10,1)</f>
        <v>43739</v>
      </c>
      <c r="C132" s="204">
        <v>514035</v>
      </c>
      <c r="D132" s="204">
        <v>159975</v>
      </c>
      <c r="E132" s="204">
        <v>142213.5</v>
      </c>
      <c r="F132" s="132">
        <f t="shared" si="24"/>
        <v>0.12489320634117014</v>
      </c>
      <c r="G132" s="215">
        <f t="shared" si="25"/>
        <v>0.31121421693075374</v>
      </c>
      <c r="H132" s="123"/>
    </row>
    <row r="133" spans="1:8" ht="15.75" x14ac:dyDescent="0.25">
      <c r="A133" s="130"/>
      <c r="B133" s="131">
        <f>DATE(2019,11,1)</f>
        <v>43770</v>
      </c>
      <c r="C133" s="204">
        <v>627782</v>
      </c>
      <c r="D133" s="204">
        <v>185433.5</v>
      </c>
      <c r="E133" s="204">
        <v>170858.5</v>
      </c>
      <c r="F133" s="132">
        <f t="shared" si="24"/>
        <v>8.5304506360526403E-2</v>
      </c>
      <c r="G133" s="215">
        <f t="shared" si="25"/>
        <v>0.29537880984163295</v>
      </c>
      <c r="H133" s="123"/>
    </row>
    <row r="134" spans="1:8" ht="15.75" x14ac:dyDescent="0.25">
      <c r="A134" s="130"/>
      <c r="B134" s="131">
        <f>DATE(2019,12,1)</f>
        <v>43800</v>
      </c>
      <c r="C134" s="204">
        <v>733505</v>
      </c>
      <c r="D134" s="204">
        <v>198005</v>
      </c>
      <c r="E134" s="204">
        <v>191894</v>
      </c>
      <c r="F134" s="132">
        <f t="shared" si="24"/>
        <v>3.1845706483787928E-2</v>
      </c>
      <c r="G134" s="215">
        <f t="shared" si="25"/>
        <v>0.26994362683280959</v>
      </c>
      <c r="H134" s="123"/>
    </row>
    <row r="135" spans="1:8" ht="15.75" x14ac:dyDescent="0.25">
      <c r="A135" s="130"/>
      <c r="B135" s="131">
        <f>DATE(2020,1,1)</f>
        <v>43831</v>
      </c>
      <c r="C135" s="204">
        <v>714996</v>
      </c>
      <c r="D135" s="204">
        <v>233910.5</v>
      </c>
      <c r="E135" s="204">
        <v>225159.5</v>
      </c>
      <c r="F135" s="132">
        <f t="shared" si="24"/>
        <v>3.8865781812448506E-2</v>
      </c>
      <c r="G135" s="215">
        <f t="shared" si="25"/>
        <v>0.32714938265388899</v>
      </c>
      <c r="H135" s="123"/>
    </row>
    <row r="136" spans="1:8" ht="15.75" thickBot="1" x14ac:dyDescent="0.25">
      <c r="A136" s="133"/>
      <c r="B136" s="134"/>
      <c r="C136" s="204"/>
      <c r="D136" s="204"/>
      <c r="E136" s="204"/>
      <c r="F136" s="132"/>
      <c r="G136" s="215"/>
      <c r="H136" s="123"/>
    </row>
    <row r="137" spans="1:8" ht="17.25" thickTop="1" thickBot="1" x14ac:dyDescent="0.3">
      <c r="A137" s="135" t="s">
        <v>14</v>
      </c>
      <c r="B137" s="136"/>
      <c r="C137" s="201">
        <f>SUM(C129:C136)</f>
        <v>4484053</v>
      </c>
      <c r="D137" s="207">
        <f>SUM(D129:D136)</f>
        <v>1295367</v>
      </c>
      <c r="E137" s="207">
        <f>SUM(E129:E136)</f>
        <v>1287742.5</v>
      </c>
      <c r="F137" s="143">
        <f>(+D137-E137)/E137</f>
        <v>5.9208265627639063E-3</v>
      </c>
      <c r="G137" s="217">
        <f>D137/C137</f>
        <v>0.28888307073979724</v>
      </c>
      <c r="H137" s="123"/>
    </row>
    <row r="138" spans="1:8" ht="16.5" thickTop="1" thickBot="1" x14ac:dyDescent="0.25">
      <c r="A138" s="146"/>
      <c r="B138" s="139"/>
      <c r="C138" s="205"/>
      <c r="D138" s="205"/>
      <c r="E138" s="205"/>
      <c r="F138" s="140"/>
      <c r="G138" s="216"/>
      <c r="H138" s="123"/>
    </row>
    <row r="139" spans="1:8" ht="17.25" thickTop="1" thickBot="1" x14ac:dyDescent="0.3">
      <c r="A139" s="147" t="s">
        <v>41</v>
      </c>
      <c r="B139" s="121"/>
      <c r="C139" s="201">
        <f>C137+C127+C97+C77+C57+C37+C17+C47+C117+C27+C87+C107+C67</f>
        <v>723862929.75</v>
      </c>
      <c r="D139" s="201">
        <f>D137+D127+D97+D77+D57+D37+D17+D47+D117+D27+D87+D107+D67</f>
        <v>149232615.97999999</v>
      </c>
      <c r="E139" s="201">
        <f>E137+E127+E97+E77+E57+E37+E17+E47+E117+E27+E87+E107+E67</f>
        <v>150949030.94</v>
      </c>
      <c r="F139" s="137">
        <f>(+D139-E139)/E139</f>
        <v>-1.1370824637372186E-2</v>
      </c>
      <c r="G139" s="212">
        <f>D139/C139</f>
        <v>0.20616142897598078</v>
      </c>
      <c r="H139" s="123"/>
    </row>
    <row r="140" spans="1:8" ht="17.25" thickTop="1" thickBot="1" x14ac:dyDescent="0.3">
      <c r="A140" s="147"/>
      <c r="B140" s="121"/>
      <c r="C140" s="201"/>
      <c r="D140" s="201"/>
      <c r="E140" s="201"/>
      <c r="F140" s="137"/>
      <c r="G140" s="212"/>
      <c r="H140" s="123"/>
    </row>
    <row r="141" spans="1:8" ht="17.25" thickTop="1" thickBot="1" x14ac:dyDescent="0.3">
      <c r="A141" s="265" t="s">
        <v>42</v>
      </c>
      <c r="B141" s="266"/>
      <c r="C141" s="206">
        <f>SUM(C15+C25+C35+C45+C55+C65+C75+C85+C95+C105+C115+C125+C135)</f>
        <v>100615304</v>
      </c>
      <c r="D141" s="206">
        <f>SUM(D15+D25+D35+D45+D55+D65+D75+D85+D95+D105+D115+D125+D135)</f>
        <v>22683024.73</v>
      </c>
      <c r="E141" s="206">
        <f>SUM(E15+E25+E35+E45+E55+E65+E75+E85+E95+E105+E115+E125+E135)</f>
        <v>20050361.049999997</v>
      </c>
      <c r="F141" s="143">
        <f>(+D141-E141)/E141</f>
        <v>0.13130255726741658</v>
      </c>
      <c r="G141" s="217">
        <f>D141/C141</f>
        <v>0.22544308696816143</v>
      </c>
      <c r="H141" s="123"/>
    </row>
    <row r="142" spans="1:8" ht="16.5" thickTop="1" x14ac:dyDescent="0.25">
      <c r="A142" s="256"/>
      <c r="B142" s="258"/>
      <c r="C142" s="259"/>
      <c r="D142" s="259"/>
      <c r="E142" s="259"/>
      <c r="F142" s="260"/>
      <c r="G142" s="257"/>
      <c r="H142" s="257"/>
    </row>
    <row r="143" spans="1:8" ht="18.75" x14ac:dyDescent="0.3">
      <c r="A143" s="263" t="s">
        <v>43</v>
      </c>
      <c r="B143" s="117"/>
      <c r="C143" s="208"/>
      <c r="D143" s="208"/>
      <c r="E143" s="208"/>
      <c r="F143" s="148"/>
      <c r="G143" s="220"/>
    </row>
    <row r="144" spans="1:8" ht="15.75" x14ac:dyDescent="0.25">
      <c r="A144" s="72"/>
    </row>
  </sheetData>
  <phoneticPr fontId="0" type="noConversion"/>
  <printOptions horizontalCentered="1"/>
  <pageMargins left="0.45" right="0.25" top="0.31944444444444398" bottom="0.2" header="0.5" footer="0.5"/>
  <pageSetup scale="64" orientation="landscape" r:id="rId1"/>
  <headerFooter alignWithMargins="0"/>
  <rowBreaks count="3" manualBreakCount="3">
    <brk id="47" max="7" man="1"/>
    <brk id="87" max="7" man="1"/>
    <brk id="12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146"/>
  <sheetViews>
    <sheetView showOutlineSymbols="0" view="pageBreakPreview" topLeftCell="A85" zoomScale="60" zoomScaleNormal="100" workbookViewId="0">
      <selection activeCell="Q126" sqref="Q126"/>
    </sheetView>
  </sheetViews>
  <sheetFormatPr defaultColWidth="9.6640625" defaultRowHeight="15" x14ac:dyDescent="0.2"/>
  <cols>
    <col min="1" max="1" width="27.6640625" style="152" customWidth="1"/>
    <col min="2" max="2" width="9.6640625" style="152" customWidth="1"/>
    <col min="3" max="3" width="18.33203125" style="233" customWidth="1"/>
    <col min="4" max="4" width="16.44140625" style="233" customWidth="1"/>
    <col min="5" max="5" width="15.5546875" style="233" customWidth="1"/>
    <col min="6" max="6" width="9.6640625" style="152" customWidth="1"/>
    <col min="7" max="7" width="9.6640625" style="252" customWidth="1"/>
    <col min="8" max="8" width="10.88671875" style="252" customWidth="1"/>
    <col min="9" max="9" width="1.6640625" style="152" customWidth="1"/>
    <col min="10" max="16384" width="9.6640625" style="152"/>
  </cols>
  <sheetData>
    <row r="1" spans="1:9" ht="18" x14ac:dyDescent="0.25">
      <c r="A1" s="149" t="s">
        <v>0</v>
      </c>
      <c r="B1" s="150"/>
      <c r="C1" s="222"/>
      <c r="D1" s="222"/>
      <c r="E1" s="222"/>
      <c r="F1" s="150"/>
      <c r="G1" s="234"/>
      <c r="H1" s="234"/>
      <c r="I1" s="151"/>
    </row>
    <row r="2" spans="1:9" ht="18.75" x14ac:dyDescent="0.3">
      <c r="A2" s="153" t="s">
        <v>44</v>
      </c>
      <c r="B2" s="150"/>
      <c r="C2" s="222"/>
      <c r="D2" s="222"/>
      <c r="E2" s="222"/>
      <c r="F2" s="150"/>
      <c r="G2" s="234"/>
      <c r="H2" s="234"/>
      <c r="I2" s="151"/>
    </row>
    <row r="3" spans="1:9" ht="18" x14ac:dyDescent="0.25">
      <c r="A3" s="149" t="s">
        <v>45</v>
      </c>
      <c r="B3" s="150"/>
      <c r="C3" s="222"/>
      <c r="D3" s="222"/>
      <c r="E3" s="222"/>
      <c r="F3" s="150"/>
      <c r="G3" s="234"/>
      <c r="H3" s="234"/>
      <c r="I3" s="151"/>
    </row>
    <row r="4" spans="1:9" ht="18" x14ac:dyDescent="0.25">
      <c r="A4" s="149" t="s">
        <v>74</v>
      </c>
      <c r="B4" s="150"/>
      <c r="C4" s="222"/>
      <c r="D4" s="222"/>
      <c r="E4" s="222"/>
      <c r="F4" s="150"/>
      <c r="G4" s="234"/>
      <c r="H4" s="234"/>
      <c r="I4" s="151"/>
    </row>
    <row r="5" spans="1:9" x14ac:dyDescent="0.2">
      <c r="A5" s="282" t="s">
        <v>70</v>
      </c>
      <c r="B5" s="150"/>
      <c r="C5" s="222"/>
      <c r="D5" s="222"/>
      <c r="E5" s="222"/>
      <c r="F5" s="150"/>
      <c r="G5" s="234"/>
      <c r="H5" s="234"/>
      <c r="I5" s="151"/>
    </row>
    <row r="6" spans="1:9" ht="16.5" thickBot="1" x14ac:dyDescent="0.3">
      <c r="A6" s="150"/>
      <c r="B6" s="150"/>
      <c r="C6" s="222"/>
      <c r="D6" s="222"/>
      <c r="E6" s="222"/>
      <c r="F6" s="150"/>
      <c r="G6" s="235" t="s">
        <v>46</v>
      </c>
      <c r="H6" s="235"/>
      <c r="I6" s="151"/>
    </row>
    <row r="7" spans="1:9" ht="16.5" thickTop="1" x14ac:dyDescent="0.25">
      <c r="A7" s="154"/>
      <c r="B7" s="155" t="s">
        <v>2</v>
      </c>
      <c r="C7" s="223" t="s">
        <v>47</v>
      </c>
      <c r="D7" s="223" t="s">
        <v>33</v>
      </c>
      <c r="E7" s="223" t="s">
        <v>3</v>
      </c>
      <c r="F7" s="156"/>
      <c r="G7" s="236" t="s">
        <v>34</v>
      </c>
      <c r="H7" s="253" t="s">
        <v>34</v>
      </c>
      <c r="I7" s="157"/>
    </row>
    <row r="8" spans="1:9" ht="16.5" thickBot="1" x14ac:dyDescent="0.3">
      <c r="A8" s="158" t="s">
        <v>5</v>
      </c>
      <c r="B8" s="159" t="s">
        <v>6</v>
      </c>
      <c r="C8" s="224" t="s">
        <v>48</v>
      </c>
      <c r="D8" s="224" t="s">
        <v>49</v>
      </c>
      <c r="E8" s="224" t="s">
        <v>49</v>
      </c>
      <c r="F8" s="160" t="s">
        <v>8</v>
      </c>
      <c r="G8" s="238" t="s">
        <v>37</v>
      </c>
      <c r="H8" s="254" t="s">
        <v>50</v>
      </c>
      <c r="I8" s="157"/>
    </row>
    <row r="9" spans="1:9" ht="15.75" customHeight="1" thickTop="1" x14ac:dyDescent="0.25">
      <c r="A9" s="161"/>
      <c r="B9" s="162"/>
      <c r="C9" s="225"/>
      <c r="D9" s="225"/>
      <c r="E9" s="225"/>
      <c r="F9" s="163"/>
      <c r="G9" s="239"/>
      <c r="H9" s="240"/>
      <c r="I9" s="157"/>
    </row>
    <row r="10" spans="1:9" ht="15.75" x14ac:dyDescent="0.25">
      <c r="A10" s="164" t="s">
        <v>38</v>
      </c>
      <c r="B10" s="165">
        <f>DATE(19,7,1)</f>
        <v>7122</v>
      </c>
      <c r="C10" s="226">
        <v>121214833.89</v>
      </c>
      <c r="D10" s="226">
        <v>12400602.17</v>
      </c>
      <c r="E10" s="226">
        <v>11548721.09</v>
      </c>
      <c r="F10" s="166">
        <f t="shared" ref="F10:F16" si="0">(+D10-E10)/E10</f>
        <v>7.3764105424421508E-2</v>
      </c>
      <c r="G10" s="241">
        <f t="shared" ref="G10:G16" si="1">D10/C10</f>
        <v>0.10230267841024551</v>
      </c>
      <c r="H10" s="242">
        <f t="shared" ref="H10:H16" si="2">1-G10</f>
        <v>0.89769732158975446</v>
      </c>
      <c r="I10" s="157"/>
    </row>
    <row r="11" spans="1:9" ht="15.75" x14ac:dyDescent="0.25">
      <c r="A11" s="164"/>
      <c r="B11" s="165">
        <f>DATE(19,8,1)</f>
        <v>7153</v>
      </c>
      <c r="C11" s="226">
        <v>127273364.16</v>
      </c>
      <c r="D11" s="226">
        <v>12656746.98</v>
      </c>
      <c r="E11" s="226">
        <v>12278666.34</v>
      </c>
      <c r="F11" s="166">
        <f t="shared" si="0"/>
        <v>3.0791669838631727E-2</v>
      </c>
      <c r="G11" s="241">
        <f t="shared" si="1"/>
        <v>9.9445371492567297E-2</v>
      </c>
      <c r="H11" s="242">
        <f t="shared" si="2"/>
        <v>0.90055462850743273</v>
      </c>
      <c r="I11" s="157"/>
    </row>
    <row r="12" spans="1:9" ht="15.75" x14ac:dyDescent="0.25">
      <c r="A12" s="164"/>
      <c r="B12" s="165">
        <f>DATE(19,9,1)</f>
        <v>7184</v>
      </c>
      <c r="C12" s="226">
        <v>113582337.68000001</v>
      </c>
      <c r="D12" s="226">
        <v>11070519.380000001</v>
      </c>
      <c r="E12" s="226">
        <v>11479851.300000001</v>
      </c>
      <c r="F12" s="166">
        <f t="shared" si="0"/>
        <v>-3.5656552450291749E-2</v>
      </c>
      <c r="G12" s="241">
        <f t="shared" si="1"/>
        <v>9.7466909082197364E-2</v>
      </c>
      <c r="H12" s="242">
        <f t="shared" si="2"/>
        <v>0.90253309091780265</v>
      </c>
      <c r="I12" s="157"/>
    </row>
    <row r="13" spans="1:9" ht="15.75" x14ac:dyDescent="0.25">
      <c r="A13" s="164"/>
      <c r="B13" s="165">
        <f>DATE(19,10,1)</f>
        <v>7214</v>
      </c>
      <c r="C13" s="226">
        <v>115818968.11</v>
      </c>
      <c r="D13" s="226">
        <v>11529928.41</v>
      </c>
      <c r="E13" s="226">
        <v>11766741.380000001</v>
      </c>
      <c r="F13" s="166">
        <f t="shared" si="0"/>
        <v>-2.0125620369502901E-2</v>
      </c>
      <c r="G13" s="241">
        <f t="shared" si="1"/>
        <v>9.9551296287231278E-2</v>
      </c>
      <c r="H13" s="242">
        <f t="shared" si="2"/>
        <v>0.90044870371276875</v>
      </c>
      <c r="I13" s="157"/>
    </row>
    <row r="14" spans="1:9" ht="15.75" x14ac:dyDescent="0.25">
      <c r="A14" s="164"/>
      <c r="B14" s="165">
        <f>DATE(19,11,1)</f>
        <v>7245</v>
      </c>
      <c r="C14" s="226">
        <v>121833977.98</v>
      </c>
      <c r="D14" s="226">
        <v>12272643.01</v>
      </c>
      <c r="E14" s="226">
        <v>11316404.939999999</v>
      </c>
      <c r="F14" s="166">
        <f t="shared" si="0"/>
        <v>8.4500163706584391E-2</v>
      </c>
      <c r="G14" s="241">
        <f t="shared" si="1"/>
        <v>0.10073251496404927</v>
      </c>
      <c r="H14" s="242">
        <f t="shared" si="2"/>
        <v>0.89926748503595078</v>
      </c>
      <c r="I14" s="157"/>
    </row>
    <row r="15" spans="1:9" ht="15.75" x14ac:dyDescent="0.25">
      <c r="A15" s="164"/>
      <c r="B15" s="165">
        <f>DATE(19,12,1)</f>
        <v>7275</v>
      </c>
      <c r="C15" s="226">
        <v>127073341.54000001</v>
      </c>
      <c r="D15" s="226">
        <v>12792439.390000001</v>
      </c>
      <c r="E15" s="226">
        <v>12753886.49</v>
      </c>
      <c r="F15" s="166">
        <f t="shared" si="0"/>
        <v>3.0228354337502317E-3</v>
      </c>
      <c r="G15" s="241">
        <f t="shared" si="1"/>
        <v>0.10066973320264196</v>
      </c>
      <c r="H15" s="242">
        <f t="shared" si="2"/>
        <v>0.89933026679735806</v>
      </c>
      <c r="I15" s="157"/>
    </row>
    <row r="16" spans="1:9" ht="15.75" x14ac:dyDescent="0.25">
      <c r="A16" s="164"/>
      <c r="B16" s="165">
        <f>DATE(20,1,1)</f>
        <v>7306</v>
      </c>
      <c r="C16" s="226">
        <v>112289386.34</v>
      </c>
      <c r="D16" s="226">
        <v>10714900.529999999</v>
      </c>
      <c r="E16" s="226">
        <v>10438169.560000001</v>
      </c>
      <c r="F16" s="166">
        <f t="shared" si="0"/>
        <v>2.6511446131365468E-2</v>
      </c>
      <c r="G16" s="241">
        <f t="shared" si="1"/>
        <v>9.5422202215590085E-2</v>
      </c>
      <c r="H16" s="242">
        <f t="shared" si="2"/>
        <v>0.90457779778440994</v>
      </c>
      <c r="I16" s="157"/>
    </row>
    <row r="17" spans="1:9" ht="15.75" thickBot="1" x14ac:dyDescent="0.25">
      <c r="A17" s="167"/>
      <c r="B17" s="168"/>
      <c r="C17" s="226"/>
      <c r="D17" s="226"/>
      <c r="E17" s="226"/>
      <c r="F17" s="166"/>
      <c r="G17" s="241"/>
      <c r="H17" s="242"/>
      <c r="I17" s="157"/>
    </row>
    <row r="18" spans="1:9" ht="17.25" thickTop="1" thickBot="1" x14ac:dyDescent="0.3">
      <c r="A18" s="169" t="s">
        <v>14</v>
      </c>
      <c r="B18" s="155"/>
      <c r="C18" s="223">
        <f>SUM(C10:C17)</f>
        <v>839086209.70000005</v>
      </c>
      <c r="D18" s="223">
        <f>SUM(D10:D17)</f>
        <v>83437779.870000005</v>
      </c>
      <c r="E18" s="223">
        <f>SUM(E10:E17)</f>
        <v>81582441.100000009</v>
      </c>
      <c r="F18" s="170">
        <f>(+D18-E18)/E18</f>
        <v>2.2741888389019971E-2</v>
      </c>
      <c r="G18" s="236">
        <f>D18/C18</f>
        <v>9.9438864452118289E-2</v>
      </c>
      <c r="H18" s="237">
        <f>1-G18</f>
        <v>0.90056113554788175</v>
      </c>
      <c r="I18" s="157"/>
    </row>
    <row r="19" spans="1:9" ht="15.75" thickTop="1" x14ac:dyDescent="0.2">
      <c r="A19" s="171"/>
      <c r="B19" s="172"/>
      <c r="C19" s="227"/>
      <c r="D19" s="227"/>
      <c r="E19" s="227"/>
      <c r="F19" s="173"/>
      <c r="G19" s="243"/>
      <c r="H19" s="244"/>
      <c r="I19" s="157"/>
    </row>
    <row r="20" spans="1:9" ht="15.75" x14ac:dyDescent="0.25">
      <c r="A20" s="19" t="s">
        <v>51</v>
      </c>
      <c r="B20" s="165">
        <f>DATE(19,7,1)</f>
        <v>7122</v>
      </c>
      <c r="C20" s="226">
        <v>61310653.93</v>
      </c>
      <c r="D20" s="226">
        <v>6237251.8300000001</v>
      </c>
      <c r="E20" s="226">
        <v>6830347.7599999998</v>
      </c>
      <c r="F20" s="166">
        <f t="shared" ref="F20:F26" si="3">(+D20-E20)/E20</f>
        <v>-8.6832464588889352E-2</v>
      </c>
      <c r="G20" s="241">
        <f t="shared" ref="G20:G26" si="4">D20/C20</f>
        <v>0.10173194102808357</v>
      </c>
      <c r="H20" s="242">
        <f t="shared" ref="H20:H26" si="5">1-G20</f>
        <v>0.89826805897191642</v>
      </c>
      <c r="I20" s="157"/>
    </row>
    <row r="21" spans="1:9" ht="15.75" x14ac:dyDescent="0.25">
      <c r="A21" s="19"/>
      <c r="B21" s="165">
        <f>DATE(19,8,1)</f>
        <v>7153</v>
      </c>
      <c r="C21" s="226">
        <v>61567378.380000003</v>
      </c>
      <c r="D21" s="226">
        <v>6248302.3499999996</v>
      </c>
      <c r="E21" s="226">
        <v>6442436.2599999998</v>
      </c>
      <c r="F21" s="166">
        <f t="shared" si="3"/>
        <v>-3.0133617495813635E-2</v>
      </c>
      <c r="G21" s="241">
        <f t="shared" si="4"/>
        <v>0.10148722447518967</v>
      </c>
      <c r="H21" s="242">
        <f t="shared" si="5"/>
        <v>0.89851277552481035</v>
      </c>
      <c r="I21" s="157"/>
    </row>
    <row r="22" spans="1:9" ht="15.75" x14ac:dyDescent="0.25">
      <c r="A22" s="19"/>
      <c r="B22" s="165">
        <f>DATE(19,9,1)</f>
        <v>7184</v>
      </c>
      <c r="C22" s="226">
        <v>56369402.539999999</v>
      </c>
      <c r="D22" s="226">
        <v>5841517.5999999996</v>
      </c>
      <c r="E22" s="226">
        <v>6263081.7199999997</v>
      </c>
      <c r="F22" s="166">
        <f t="shared" si="3"/>
        <v>-6.7309375615172418E-2</v>
      </c>
      <c r="G22" s="241">
        <f t="shared" si="4"/>
        <v>0.10362922679293665</v>
      </c>
      <c r="H22" s="242">
        <f t="shared" si="5"/>
        <v>0.89637077320706338</v>
      </c>
      <c r="I22" s="157"/>
    </row>
    <row r="23" spans="1:9" ht="15.75" x14ac:dyDescent="0.25">
      <c r="A23" s="19"/>
      <c r="B23" s="165">
        <f>DATE(19,10,1)</f>
        <v>7214</v>
      </c>
      <c r="C23" s="226">
        <v>54504425.119999997</v>
      </c>
      <c r="D23" s="226">
        <v>5457854.2400000002</v>
      </c>
      <c r="E23" s="226">
        <v>5583864.3700000001</v>
      </c>
      <c r="F23" s="166">
        <f t="shared" si="3"/>
        <v>-2.2566832152479357E-2</v>
      </c>
      <c r="G23" s="241">
        <f t="shared" si="4"/>
        <v>0.10013598396797475</v>
      </c>
      <c r="H23" s="242">
        <f t="shared" si="5"/>
        <v>0.89986401603202526</v>
      </c>
      <c r="I23" s="157"/>
    </row>
    <row r="24" spans="1:9" ht="15.75" x14ac:dyDescent="0.25">
      <c r="A24" s="19"/>
      <c r="B24" s="165">
        <f>DATE(19,11,1)</f>
        <v>7245</v>
      </c>
      <c r="C24" s="226">
        <v>56168674.75</v>
      </c>
      <c r="D24" s="226">
        <v>5836194.6699999999</v>
      </c>
      <c r="E24" s="226">
        <v>5280741.6900000004</v>
      </c>
      <c r="F24" s="166">
        <f t="shared" si="3"/>
        <v>0.10518465257481653</v>
      </c>
      <c r="G24" s="241">
        <f t="shared" si="4"/>
        <v>0.1039047956174184</v>
      </c>
      <c r="H24" s="242">
        <f t="shared" si="5"/>
        <v>0.89609520438258161</v>
      </c>
      <c r="I24" s="157"/>
    </row>
    <row r="25" spans="1:9" ht="15.75" x14ac:dyDescent="0.25">
      <c r="A25" s="19"/>
      <c r="B25" s="165">
        <f>DATE(19,12,1)</f>
        <v>7275</v>
      </c>
      <c r="C25" s="226">
        <v>56403736.68</v>
      </c>
      <c r="D25" s="226">
        <v>5543658.9900000002</v>
      </c>
      <c r="E25" s="226">
        <v>6010123.4199999999</v>
      </c>
      <c r="F25" s="166">
        <f t="shared" si="3"/>
        <v>-7.761311996484753E-2</v>
      </c>
      <c r="G25" s="241">
        <f t="shared" si="4"/>
        <v>9.828531434807769E-2</v>
      </c>
      <c r="H25" s="242">
        <f t="shared" si="5"/>
        <v>0.90171468565192225</v>
      </c>
      <c r="I25" s="157"/>
    </row>
    <row r="26" spans="1:9" ht="15.75" x14ac:dyDescent="0.25">
      <c r="A26" s="19"/>
      <c r="B26" s="165">
        <f>DATE(20,1,1)</f>
        <v>7306</v>
      </c>
      <c r="C26" s="226">
        <v>50236716.439999998</v>
      </c>
      <c r="D26" s="226">
        <v>5017454.9000000004</v>
      </c>
      <c r="E26" s="226">
        <v>4663941.57</v>
      </c>
      <c r="F26" s="166">
        <f t="shared" si="3"/>
        <v>7.5797118101546032E-2</v>
      </c>
      <c r="G26" s="241">
        <f t="shared" si="4"/>
        <v>9.987625098850908E-2</v>
      </c>
      <c r="H26" s="242">
        <f t="shared" si="5"/>
        <v>0.90012374901149095</v>
      </c>
      <c r="I26" s="157"/>
    </row>
    <row r="27" spans="1:9" ht="15.75" thickBot="1" x14ac:dyDescent="0.25">
      <c r="A27" s="167"/>
      <c r="B27" s="165"/>
      <c r="C27" s="226"/>
      <c r="D27" s="226"/>
      <c r="E27" s="226"/>
      <c r="F27" s="166"/>
      <c r="G27" s="241"/>
      <c r="H27" s="242"/>
      <c r="I27" s="157"/>
    </row>
    <row r="28" spans="1:9" ht="17.25" thickTop="1" thickBot="1" x14ac:dyDescent="0.3">
      <c r="A28" s="169" t="s">
        <v>14</v>
      </c>
      <c r="B28" s="155"/>
      <c r="C28" s="223">
        <f>SUM(C20:C27)</f>
        <v>396560987.84000003</v>
      </c>
      <c r="D28" s="223">
        <f>SUM(D20:D27)</f>
        <v>40182234.580000006</v>
      </c>
      <c r="E28" s="223">
        <f>SUM(E20:E27)</f>
        <v>41074536.789999999</v>
      </c>
      <c r="F28" s="170">
        <f>(+D28-E28)/E28</f>
        <v>-2.1723974991173442E-2</v>
      </c>
      <c r="G28" s="236">
        <f>D28/C28</f>
        <v>0.10132674623105459</v>
      </c>
      <c r="H28" s="237">
        <f>1-G28</f>
        <v>0.89867325376894547</v>
      </c>
      <c r="I28" s="157"/>
    </row>
    <row r="29" spans="1:9" ht="15.75" thickTop="1" x14ac:dyDescent="0.2">
      <c r="A29" s="171"/>
      <c r="B29" s="172"/>
      <c r="C29" s="227"/>
      <c r="D29" s="227"/>
      <c r="E29" s="227"/>
      <c r="F29" s="173"/>
      <c r="G29" s="243"/>
      <c r="H29" s="244"/>
      <c r="I29" s="157"/>
    </row>
    <row r="30" spans="1:9" ht="15.75" x14ac:dyDescent="0.25">
      <c r="A30" s="19" t="s">
        <v>60</v>
      </c>
      <c r="B30" s="165">
        <f>DATE(19,7,1)</f>
        <v>7122</v>
      </c>
      <c r="C30" s="226">
        <v>27697147.809999999</v>
      </c>
      <c r="D30" s="226">
        <v>2967073.27</v>
      </c>
      <c r="E30" s="226">
        <v>2891699.85</v>
      </c>
      <c r="F30" s="166">
        <f t="shared" ref="F30:F36" si="6">(+D30-E30)/E30</f>
        <v>2.6065436909020804E-2</v>
      </c>
      <c r="G30" s="241">
        <f t="shared" ref="G30:G36" si="7">D30/C30</f>
        <v>0.10712558890012293</v>
      </c>
      <c r="H30" s="242">
        <f t="shared" ref="H30:H36" si="8">1-G30</f>
        <v>0.89287441109987709</v>
      </c>
      <c r="I30" s="157"/>
    </row>
    <row r="31" spans="1:9" ht="15.75" x14ac:dyDescent="0.25">
      <c r="A31" s="19"/>
      <c r="B31" s="165">
        <f>DATE(19,8,1)</f>
        <v>7153</v>
      </c>
      <c r="C31" s="226">
        <v>27431300.710000001</v>
      </c>
      <c r="D31" s="226">
        <v>2916117.84</v>
      </c>
      <c r="E31" s="226">
        <v>2785511.76</v>
      </c>
      <c r="F31" s="166">
        <f t="shared" si="6"/>
        <v>4.6887642649909363E-2</v>
      </c>
      <c r="G31" s="241">
        <f t="shared" si="7"/>
        <v>0.10630621824421682</v>
      </c>
      <c r="H31" s="242">
        <f t="shared" si="8"/>
        <v>0.89369378175578318</v>
      </c>
      <c r="I31" s="157"/>
    </row>
    <row r="32" spans="1:9" ht="15.75" x14ac:dyDescent="0.25">
      <c r="A32" s="19"/>
      <c r="B32" s="165">
        <f>DATE(19,9,1)</f>
        <v>7184</v>
      </c>
      <c r="C32" s="226">
        <v>27153283.5</v>
      </c>
      <c r="D32" s="226">
        <v>2810959.49</v>
      </c>
      <c r="E32" s="226">
        <v>2777720.64</v>
      </c>
      <c r="F32" s="166">
        <f t="shared" si="6"/>
        <v>1.1966232140608673E-2</v>
      </c>
      <c r="G32" s="241">
        <f t="shared" si="7"/>
        <v>0.10352189966270563</v>
      </c>
      <c r="H32" s="242">
        <f t="shared" si="8"/>
        <v>0.89647810033729436</v>
      </c>
      <c r="I32" s="157"/>
    </row>
    <row r="33" spans="1:9" ht="15.75" x14ac:dyDescent="0.25">
      <c r="A33" s="19"/>
      <c r="B33" s="165">
        <f>DATE(19,10,1)</f>
        <v>7214</v>
      </c>
      <c r="C33" s="226">
        <v>25839439.73</v>
      </c>
      <c r="D33" s="226">
        <v>2793135.19</v>
      </c>
      <c r="E33" s="226">
        <v>2633608.27</v>
      </c>
      <c r="F33" s="166">
        <f t="shared" si="6"/>
        <v>6.0573518779237404E-2</v>
      </c>
      <c r="G33" s="241">
        <f t="shared" si="7"/>
        <v>0.10809581086841932</v>
      </c>
      <c r="H33" s="242">
        <f t="shared" si="8"/>
        <v>0.89190418913158065</v>
      </c>
      <c r="I33" s="157"/>
    </row>
    <row r="34" spans="1:9" ht="15.75" x14ac:dyDescent="0.25">
      <c r="A34" s="19"/>
      <c r="B34" s="165">
        <f>DATE(19,11,1)</f>
        <v>7245</v>
      </c>
      <c r="C34" s="226">
        <v>26865495.899999999</v>
      </c>
      <c r="D34" s="226">
        <v>2801393.45</v>
      </c>
      <c r="E34" s="226">
        <v>2551021.5099999998</v>
      </c>
      <c r="F34" s="166">
        <f t="shared" si="6"/>
        <v>9.814575808888433E-2</v>
      </c>
      <c r="G34" s="241">
        <f t="shared" si="7"/>
        <v>0.10427477164119649</v>
      </c>
      <c r="H34" s="242">
        <f t="shared" si="8"/>
        <v>0.89572522835880353</v>
      </c>
      <c r="I34" s="157"/>
    </row>
    <row r="35" spans="1:9" ht="15.75" x14ac:dyDescent="0.25">
      <c r="A35" s="19"/>
      <c r="B35" s="165">
        <f>DATE(19,12,1)</f>
        <v>7275</v>
      </c>
      <c r="C35" s="226">
        <v>29175238.5</v>
      </c>
      <c r="D35" s="226">
        <v>3071223.19</v>
      </c>
      <c r="E35" s="226">
        <v>2786245.45</v>
      </c>
      <c r="F35" s="166">
        <f t="shared" si="6"/>
        <v>0.102280199327019</v>
      </c>
      <c r="G35" s="241">
        <f t="shared" si="7"/>
        <v>0.10526814339495459</v>
      </c>
      <c r="H35" s="242">
        <f t="shared" si="8"/>
        <v>0.89473185660504539</v>
      </c>
      <c r="I35" s="157"/>
    </row>
    <row r="36" spans="1:9" ht="15.75" x14ac:dyDescent="0.25">
      <c r="A36" s="19"/>
      <c r="B36" s="165">
        <f>DATE(20,1,1)</f>
        <v>7306</v>
      </c>
      <c r="C36" s="226">
        <v>27348468.940000001</v>
      </c>
      <c r="D36" s="226">
        <v>2879669.48</v>
      </c>
      <c r="E36" s="226">
        <v>2442891.35</v>
      </c>
      <c r="F36" s="166">
        <f t="shared" si="6"/>
        <v>0.1787955612516291</v>
      </c>
      <c r="G36" s="241">
        <f t="shared" si="7"/>
        <v>0.10529545497840216</v>
      </c>
      <c r="H36" s="242">
        <f t="shared" si="8"/>
        <v>0.8947045450215978</v>
      </c>
      <c r="I36" s="157"/>
    </row>
    <row r="37" spans="1:9" ht="15.75" thickBot="1" x14ac:dyDescent="0.25">
      <c r="A37" s="167"/>
      <c r="B37" s="165"/>
      <c r="C37" s="226"/>
      <c r="D37" s="226"/>
      <c r="E37" s="226"/>
      <c r="F37" s="166"/>
      <c r="G37" s="241"/>
      <c r="H37" s="242"/>
      <c r="I37" s="157"/>
    </row>
    <row r="38" spans="1:9" ht="17.25" thickTop="1" thickBot="1" x14ac:dyDescent="0.3">
      <c r="A38" s="174" t="s">
        <v>14</v>
      </c>
      <c r="B38" s="175"/>
      <c r="C38" s="228">
        <f>SUM(C30:C37)</f>
        <v>191510375.09</v>
      </c>
      <c r="D38" s="228">
        <f>SUM(D30:D37)</f>
        <v>20239571.91</v>
      </c>
      <c r="E38" s="228">
        <f>SUM(E30:E37)</f>
        <v>18868698.830000002</v>
      </c>
      <c r="F38" s="176">
        <f>(+D38-E38)/E38</f>
        <v>7.2653291694941849E-2</v>
      </c>
      <c r="G38" s="245">
        <f>D38/C38</f>
        <v>0.10568394480188577</v>
      </c>
      <c r="H38" s="246">
        <f>1-G38</f>
        <v>0.89431605519811419</v>
      </c>
      <c r="I38" s="157"/>
    </row>
    <row r="39" spans="1:9" ht="15.75" thickTop="1" x14ac:dyDescent="0.2">
      <c r="A39" s="167"/>
      <c r="B39" s="168"/>
      <c r="C39" s="226"/>
      <c r="D39" s="226"/>
      <c r="E39" s="226"/>
      <c r="F39" s="166"/>
      <c r="G39" s="241"/>
      <c r="H39" s="242"/>
      <c r="I39" s="157"/>
    </row>
    <row r="40" spans="1:9" ht="15.75" x14ac:dyDescent="0.25">
      <c r="A40" s="177" t="s">
        <v>65</v>
      </c>
      <c r="B40" s="165">
        <f>DATE(19,7,1)</f>
        <v>7122</v>
      </c>
      <c r="C40" s="226">
        <v>184825387.59999999</v>
      </c>
      <c r="D40" s="226">
        <v>17279710.350000001</v>
      </c>
      <c r="E40" s="226">
        <v>17539246.18</v>
      </c>
      <c r="F40" s="166">
        <f t="shared" ref="F40:F46" si="9">(+D40-E40)/E40</f>
        <v>-1.4797433557660356E-2</v>
      </c>
      <c r="G40" s="241">
        <f t="shared" ref="G40:G46" si="10">D40/C40</f>
        <v>9.3492082307419996E-2</v>
      </c>
      <c r="H40" s="242">
        <f t="shared" ref="H40:H46" si="11">1-G40</f>
        <v>0.90650791769257999</v>
      </c>
      <c r="I40" s="157"/>
    </row>
    <row r="41" spans="1:9" ht="15.75" x14ac:dyDescent="0.25">
      <c r="A41" s="177"/>
      <c r="B41" s="165">
        <f>DATE(19,8,1)</f>
        <v>7153</v>
      </c>
      <c r="C41" s="226">
        <v>191102191.72</v>
      </c>
      <c r="D41" s="226">
        <v>17467037.460000001</v>
      </c>
      <c r="E41" s="226">
        <v>17390823.879999999</v>
      </c>
      <c r="F41" s="166">
        <f t="shared" si="9"/>
        <v>4.3824019221797754E-3</v>
      </c>
      <c r="G41" s="241">
        <f t="shared" si="10"/>
        <v>9.1401554858106679E-2</v>
      </c>
      <c r="H41" s="242">
        <f t="shared" si="11"/>
        <v>0.90859844514189336</v>
      </c>
      <c r="I41" s="157"/>
    </row>
    <row r="42" spans="1:9" ht="15.75" x14ac:dyDescent="0.25">
      <c r="A42" s="177"/>
      <c r="B42" s="165">
        <f>DATE(19,9,1)</f>
        <v>7184</v>
      </c>
      <c r="C42" s="226">
        <v>174203675.16999999</v>
      </c>
      <c r="D42" s="226">
        <v>16156127.949999999</v>
      </c>
      <c r="E42" s="226">
        <v>16350217.75</v>
      </c>
      <c r="F42" s="166">
        <f t="shared" si="9"/>
        <v>-1.1870777684291131E-2</v>
      </c>
      <c r="G42" s="241">
        <f t="shared" si="10"/>
        <v>9.2742750313583991E-2</v>
      </c>
      <c r="H42" s="242">
        <f t="shared" si="11"/>
        <v>0.90725724968641597</v>
      </c>
      <c r="I42" s="157"/>
    </row>
    <row r="43" spans="1:9" ht="15.75" x14ac:dyDescent="0.25">
      <c r="A43" s="177"/>
      <c r="B43" s="165">
        <f>DATE(19,10,1)</f>
        <v>7214</v>
      </c>
      <c r="C43" s="226">
        <v>179895954.49000001</v>
      </c>
      <c r="D43" s="226">
        <v>15798088.050000001</v>
      </c>
      <c r="E43" s="226">
        <v>15575678.630000001</v>
      </c>
      <c r="F43" s="166">
        <f t="shared" si="9"/>
        <v>1.4279276382322219E-2</v>
      </c>
      <c r="G43" s="241">
        <f t="shared" si="10"/>
        <v>8.7817917277723881E-2</v>
      </c>
      <c r="H43" s="242">
        <f t="shared" si="11"/>
        <v>0.91218208272227608</v>
      </c>
      <c r="I43" s="157"/>
    </row>
    <row r="44" spans="1:9" ht="15.75" x14ac:dyDescent="0.25">
      <c r="A44" s="177"/>
      <c r="B44" s="165">
        <f>DATE(19,11,1)</f>
        <v>7245</v>
      </c>
      <c r="C44" s="226">
        <v>183677518.47999999</v>
      </c>
      <c r="D44" s="226">
        <v>16997575.629999999</v>
      </c>
      <c r="E44" s="226">
        <v>14866628.689999999</v>
      </c>
      <c r="F44" s="166">
        <f t="shared" si="9"/>
        <v>0.1433376042702523</v>
      </c>
      <c r="G44" s="241">
        <f t="shared" si="10"/>
        <v>9.2540316151161456E-2</v>
      </c>
      <c r="H44" s="242">
        <f t="shared" si="11"/>
        <v>0.90745968384883857</v>
      </c>
      <c r="I44" s="157"/>
    </row>
    <row r="45" spans="1:9" ht="15.75" x14ac:dyDescent="0.25">
      <c r="A45" s="177"/>
      <c r="B45" s="165">
        <f>DATE(19,12,1)</f>
        <v>7275</v>
      </c>
      <c r="C45" s="226">
        <v>181160265.94999999</v>
      </c>
      <c r="D45" s="226">
        <v>16683119.9</v>
      </c>
      <c r="E45" s="226">
        <v>16436113.140000001</v>
      </c>
      <c r="F45" s="166">
        <f t="shared" si="9"/>
        <v>1.5028295187313353E-2</v>
      </c>
      <c r="G45" s="241">
        <f t="shared" si="10"/>
        <v>9.2090391965998331E-2</v>
      </c>
      <c r="H45" s="242">
        <f t="shared" si="11"/>
        <v>0.90790960803400167</v>
      </c>
      <c r="I45" s="157"/>
    </row>
    <row r="46" spans="1:9" ht="15.75" x14ac:dyDescent="0.25">
      <c r="A46" s="177"/>
      <c r="B46" s="165">
        <f>DATE(20,1,1)</f>
        <v>7306</v>
      </c>
      <c r="C46" s="226">
        <v>176836643.66999999</v>
      </c>
      <c r="D46" s="226">
        <v>16201519.720000001</v>
      </c>
      <c r="E46" s="226">
        <v>13439931.689999999</v>
      </c>
      <c r="F46" s="166">
        <f t="shared" si="9"/>
        <v>0.20547634420305608</v>
      </c>
      <c r="G46" s="241">
        <f t="shared" si="10"/>
        <v>9.1618566060517007E-2</v>
      </c>
      <c r="H46" s="242">
        <f t="shared" si="11"/>
        <v>0.90838143393948301</v>
      </c>
      <c r="I46" s="157"/>
    </row>
    <row r="47" spans="1:9" ht="15.75" thickBot="1" x14ac:dyDescent="0.25">
      <c r="A47" s="167"/>
      <c r="B47" s="168"/>
      <c r="C47" s="226"/>
      <c r="D47" s="226"/>
      <c r="E47" s="226"/>
      <c r="F47" s="166"/>
      <c r="G47" s="241"/>
      <c r="H47" s="242"/>
      <c r="I47" s="157"/>
    </row>
    <row r="48" spans="1:9" ht="17.25" thickTop="1" thickBot="1" x14ac:dyDescent="0.3">
      <c r="A48" s="174" t="s">
        <v>14</v>
      </c>
      <c r="B48" s="178"/>
      <c r="C48" s="228">
        <f>SUM(C40:C47)</f>
        <v>1271701637.0800002</v>
      </c>
      <c r="D48" s="228">
        <f>SUM(D40:D47)</f>
        <v>116583179.06</v>
      </c>
      <c r="E48" s="228">
        <f>SUM(E40:E47)</f>
        <v>111598639.96000001</v>
      </c>
      <c r="F48" s="176">
        <f>(+D48-E48)/E48</f>
        <v>4.4664873172169377E-2</v>
      </c>
      <c r="G48" s="245">
        <f>D48/C48</f>
        <v>9.1674946119980491E-2</v>
      </c>
      <c r="H48" s="246">
        <f>1-G48</f>
        <v>0.9083250538800195</v>
      </c>
      <c r="I48" s="157"/>
    </row>
    <row r="49" spans="1:9" ht="15.75" thickTop="1" x14ac:dyDescent="0.2">
      <c r="A49" s="167"/>
      <c r="B49" s="168"/>
      <c r="C49" s="226"/>
      <c r="D49" s="226"/>
      <c r="E49" s="226"/>
      <c r="F49" s="166"/>
      <c r="G49" s="241"/>
      <c r="H49" s="242"/>
      <c r="I49" s="157"/>
    </row>
    <row r="50" spans="1:9" ht="15.75" x14ac:dyDescent="0.25">
      <c r="A50" s="164" t="s">
        <v>16</v>
      </c>
      <c r="B50" s="165">
        <f>DATE(19,7,1)</f>
        <v>7122</v>
      </c>
      <c r="C50" s="226">
        <v>115325495.95</v>
      </c>
      <c r="D50" s="226">
        <v>11411946.24</v>
      </c>
      <c r="E50" s="226">
        <v>11381105.73</v>
      </c>
      <c r="F50" s="166">
        <f t="shared" ref="F50:F56" si="12">(+D50-E50)/E50</f>
        <v>2.7097990943626684E-3</v>
      </c>
      <c r="G50" s="241">
        <f t="shared" ref="G50:G56" si="13">D50/C50</f>
        <v>9.8954235106413171E-2</v>
      </c>
      <c r="H50" s="242">
        <f t="shared" ref="H50:H56" si="14">1-G50</f>
        <v>0.90104576489358679</v>
      </c>
      <c r="I50" s="157"/>
    </row>
    <row r="51" spans="1:9" ht="15.75" x14ac:dyDescent="0.25">
      <c r="A51" s="164"/>
      <c r="B51" s="165">
        <f>DATE(19,8,1)</f>
        <v>7153</v>
      </c>
      <c r="C51" s="226">
        <v>122607190.3</v>
      </c>
      <c r="D51" s="226">
        <v>12220877.76</v>
      </c>
      <c r="E51" s="226">
        <v>11018606.25</v>
      </c>
      <c r="F51" s="166">
        <f t="shared" si="12"/>
        <v>0.10911284809728089</v>
      </c>
      <c r="G51" s="241">
        <f t="shared" si="13"/>
        <v>9.967504948198784E-2</v>
      </c>
      <c r="H51" s="242">
        <f t="shared" si="14"/>
        <v>0.9003249505180122</v>
      </c>
      <c r="I51" s="157"/>
    </row>
    <row r="52" spans="1:9" ht="15.75" x14ac:dyDescent="0.25">
      <c r="A52" s="164"/>
      <c r="B52" s="165">
        <f>DATE(19,9,1)</f>
        <v>7184</v>
      </c>
      <c r="C52" s="226">
        <v>115423599.31</v>
      </c>
      <c r="D52" s="226">
        <v>11441576.98</v>
      </c>
      <c r="E52" s="226">
        <v>11865007.26</v>
      </c>
      <c r="F52" s="166">
        <f t="shared" si="12"/>
        <v>-3.5687317396550781E-2</v>
      </c>
      <c r="G52" s="241">
        <f t="shared" si="13"/>
        <v>9.9126842763503489E-2</v>
      </c>
      <c r="H52" s="242">
        <f t="shared" si="14"/>
        <v>0.90087315723649652</v>
      </c>
      <c r="I52" s="157"/>
    </row>
    <row r="53" spans="1:9" ht="15.75" x14ac:dyDescent="0.25">
      <c r="A53" s="164"/>
      <c r="B53" s="165">
        <f>DATE(19,10,1)</f>
        <v>7214</v>
      </c>
      <c r="C53" s="226">
        <v>115210524.88</v>
      </c>
      <c r="D53" s="226">
        <v>11451574.32</v>
      </c>
      <c r="E53" s="226">
        <v>11049162.109999999</v>
      </c>
      <c r="F53" s="166">
        <f t="shared" si="12"/>
        <v>3.6420156206758821E-2</v>
      </c>
      <c r="G53" s="241">
        <f t="shared" si="13"/>
        <v>9.9396945998880173E-2</v>
      </c>
      <c r="H53" s="242">
        <f t="shared" si="14"/>
        <v>0.90060305400111984</v>
      </c>
      <c r="I53" s="157"/>
    </row>
    <row r="54" spans="1:9" ht="15.75" x14ac:dyDescent="0.25">
      <c r="A54" s="164"/>
      <c r="B54" s="165">
        <f>DATE(19,11,1)</f>
        <v>7245</v>
      </c>
      <c r="C54" s="226">
        <v>117396631.88</v>
      </c>
      <c r="D54" s="226">
        <v>11824386.49</v>
      </c>
      <c r="E54" s="226">
        <v>10320144.720000001</v>
      </c>
      <c r="F54" s="166">
        <f t="shared" si="12"/>
        <v>0.1457578174349477</v>
      </c>
      <c r="G54" s="241">
        <f t="shared" si="13"/>
        <v>0.10072168426506992</v>
      </c>
      <c r="H54" s="242">
        <f t="shared" si="14"/>
        <v>0.89927831573493011</v>
      </c>
      <c r="I54" s="157"/>
    </row>
    <row r="55" spans="1:9" ht="15.75" x14ac:dyDescent="0.25">
      <c r="A55" s="164"/>
      <c r="B55" s="165">
        <f>DATE(19,12,1)</f>
        <v>7275</v>
      </c>
      <c r="C55" s="226">
        <v>119668211.7</v>
      </c>
      <c r="D55" s="226">
        <v>12045926.43</v>
      </c>
      <c r="E55" s="226">
        <v>11723908.33</v>
      </c>
      <c r="F55" s="166">
        <f t="shared" si="12"/>
        <v>2.7466787604948768E-2</v>
      </c>
      <c r="G55" s="241">
        <f t="shared" si="13"/>
        <v>0.10066103820618888</v>
      </c>
      <c r="H55" s="242">
        <f t="shared" si="14"/>
        <v>0.89933896179381112</v>
      </c>
      <c r="I55" s="157"/>
    </row>
    <row r="56" spans="1:9" ht="15.75" x14ac:dyDescent="0.25">
      <c r="A56" s="164"/>
      <c r="B56" s="165">
        <f>DATE(20,1,1)</f>
        <v>7306</v>
      </c>
      <c r="C56" s="226">
        <v>106828720.7</v>
      </c>
      <c r="D56" s="226">
        <v>10728742.130000001</v>
      </c>
      <c r="E56" s="226">
        <v>10040160.470000001</v>
      </c>
      <c r="F56" s="166">
        <f t="shared" si="12"/>
        <v>6.8582734514800056E-2</v>
      </c>
      <c r="G56" s="241">
        <f t="shared" si="13"/>
        <v>0.10042937947491494</v>
      </c>
      <c r="H56" s="242">
        <f t="shared" si="14"/>
        <v>0.89957062052508507</v>
      </c>
      <c r="I56" s="157"/>
    </row>
    <row r="57" spans="1:9" ht="15.75" thickBot="1" x14ac:dyDescent="0.25">
      <c r="A57" s="167"/>
      <c r="B57" s="165"/>
      <c r="C57" s="226"/>
      <c r="D57" s="226"/>
      <c r="E57" s="226"/>
      <c r="F57" s="166"/>
      <c r="G57" s="241"/>
      <c r="H57" s="242"/>
      <c r="I57" s="157"/>
    </row>
    <row r="58" spans="1:9" ht="17.25" thickTop="1" thickBot="1" x14ac:dyDescent="0.3">
      <c r="A58" s="174" t="s">
        <v>14</v>
      </c>
      <c r="B58" s="175"/>
      <c r="C58" s="228">
        <f>SUM(C50:C57)</f>
        <v>812460374.72000003</v>
      </c>
      <c r="D58" s="230">
        <f>SUM(D50:D57)</f>
        <v>81125030.349999994</v>
      </c>
      <c r="E58" s="271">
        <f>SUM(E50:E57)</f>
        <v>77398094.870000005</v>
      </c>
      <c r="F58" s="272">
        <f>(+D58-E58)/E58</f>
        <v>4.8152806425789341E-2</v>
      </c>
      <c r="G58" s="249">
        <f>D58/C58</f>
        <v>9.9851060893841478E-2</v>
      </c>
      <c r="H58" s="270">
        <f>1-G58</f>
        <v>0.90014893910615856</v>
      </c>
      <c r="I58" s="157"/>
    </row>
    <row r="59" spans="1:9" ht="15.75" thickTop="1" x14ac:dyDescent="0.2">
      <c r="A59" s="167"/>
      <c r="B59" s="168"/>
      <c r="C59" s="226"/>
      <c r="D59" s="226"/>
      <c r="E59" s="226"/>
      <c r="F59" s="166"/>
      <c r="G59" s="241"/>
      <c r="H59" s="242"/>
      <c r="I59" s="157"/>
    </row>
    <row r="60" spans="1:9" ht="15.75" x14ac:dyDescent="0.25">
      <c r="A60" s="164" t="s">
        <v>66</v>
      </c>
      <c r="B60" s="165">
        <f>DATE(19,7,1)</f>
        <v>7122</v>
      </c>
      <c r="C60" s="226">
        <v>39783172.600000001</v>
      </c>
      <c r="D60" s="226">
        <v>3906046.69</v>
      </c>
      <c r="E60" s="226">
        <v>4536017.05</v>
      </c>
      <c r="F60" s="166">
        <f t="shared" ref="F60:F66" si="15">(+D60-E60)/E60</f>
        <v>-0.13888183246577521</v>
      </c>
      <c r="G60" s="241">
        <f t="shared" ref="G60:G66" si="16">D60/C60</f>
        <v>9.8183388471134642E-2</v>
      </c>
      <c r="H60" s="242">
        <f t="shared" ref="H60:H66" si="17">1-G60</f>
        <v>0.90181661152886539</v>
      </c>
      <c r="I60" s="157"/>
    </row>
    <row r="61" spans="1:9" ht="15.75" x14ac:dyDescent="0.25">
      <c r="A61" s="164"/>
      <c r="B61" s="165">
        <f>DATE(19,8,1)</f>
        <v>7153</v>
      </c>
      <c r="C61" s="226">
        <v>43743175.450000003</v>
      </c>
      <c r="D61" s="226">
        <v>4670857.45</v>
      </c>
      <c r="E61" s="226">
        <v>4611969.17</v>
      </c>
      <c r="F61" s="166">
        <f t="shared" si="15"/>
        <v>1.2768576247876405E-2</v>
      </c>
      <c r="G61" s="241">
        <f t="shared" si="16"/>
        <v>0.1067791124432417</v>
      </c>
      <c r="H61" s="242">
        <f t="shared" si="17"/>
        <v>0.89322088755675833</v>
      </c>
      <c r="I61" s="157"/>
    </row>
    <row r="62" spans="1:9" ht="15.75" x14ac:dyDescent="0.25">
      <c r="A62" s="164"/>
      <c r="B62" s="165">
        <f>DATE(19,9,1)</f>
        <v>7184</v>
      </c>
      <c r="C62" s="226">
        <v>42075238.560000002</v>
      </c>
      <c r="D62" s="226">
        <v>4421418.32</v>
      </c>
      <c r="E62" s="226">
        <v>4472303.22</v>
      </c>
      <c r="F62" s="166">
        <f t="shared" si="15"/>
        <v>-1.1377783995602929E-2</v>
      </c>
      <c r="G62" s="241">
        <f t="shared" si="16"/>
        <v>0.10508361856807973</v>
      </c>
      <c r="H62" s="242">
        <f t="shared" si="17"/>
        <v>0.89491638143192032</v>
      </c>
      <c r="I62" s="157"/>
    </row>
    <row r="63" spans="1:9" ht="15.75" x14ac:dyDescent="0.25">
      <c r="A63" s="164"/>
      <c r="B63" s="165">
        <f>DATE(19,10,1)</f>
        <v>7214</v>
      </c>
      <c r="C63" s="226">
        <v>41772739.68</v>
      </c>
      <c r="D63" s="226">
        <v>4469558.96</v>
      </c>
      <c r="E63" s="226">
        <v>4257625.9400000004</v>
      </c>
      <c r="F63" s="166">
        <f t="shared" si="15"/>
        <v>4.9777275642960674E-2</v>
      </c>
      <c r="G63" s="241">
        <f t="shared" si="16"/>
        <v>0.10699702711000161</v>
      </c>
      <c r="H63" s="242">
        <f t="shared" si="17"/>
        <v>0.89300297288999841</v>
      </c>
      <c r="I63" s="157"/>
    </row>
    <row r="64" spans="1:9" ht="15.75" x14ac:dyDescent="0.25">
      <c r="A64" s="164"/>
      <c r="B64" s="165">
        <f>DATE(19,11,1)</f>
        <v>7245</v>
      </c>
      <c r="C64" s="226">
        <v>42815164.240000002</v>
      </c>
      <c r="D64" s="226">
        <v>4362721.83</v>
      </c>
      <c r="E64" s="226">
        <v>4366684.07</v>
      </c>
      <c r="F64" s="166">
        <f t="shared" si="15"/>
        <v>-9.0737958974902971E-4</v>
      </c>
      <c r="G64" s="241">
        <f t="shared" si="16"/>
        <v>0.10189665057793085</v>
      </c>
      <c r="H64" s="242">
        <f t="shared" si="17"/>
        <v>0.89810334942206915</v>
      </c>
      <c r="I64" s="157"/>
    </row>
    <row r="65" spans="1:9" ht="15.75" x14ac:dyDescent="0.25">
      <c r="A65" s="164"/>
      <c r="B65" s="165">
        <f>DATE(19,12,1)</f>
        <v>7275</v>
      </c>
      <c r="C65" s="226">
        <v>44549769.780000001</v>
      </c>
      <c r="D65" s="226">
        <v>4542091.8099999996</v>
      </c>
      <c r="E65" s="226">
        <v>4828790.12</v>
      </c>
      <c r="F65" s="166">
        <f t="shared" si="15"/>
        <v>-5.9372700588610487E-2</v>
      </c>
      <c r="G65" s="241">
        <f t="shared" si="16"/>
        <v>0.10195544965619796</v>
      </c>
      <c r="H65" s="242">
        <f t="shared" si="17"/>
        <v>0.89804455034380204</v>
      </c>
      <c r="I65" s="157"/>
    </row>
    <row r="66" spans="1:9" ht="15.75" x14ac:dyDescent="0.25">
      <c r="A66" s="164"/>
      <c r="B66" s="165">
        <f>DATE(20,1,1)</f>
        <v>7306</v>
      </c>
      <c r="C66" s="226">
        <v>41625555.549999997</v>
      </c>
      <c r="D66" s="226">
        <v>4236468.1100000003</v>
      </c>
      <c r="E66" s="226">
        <v>4076690.38</v>
      </c>
      <c r="F66" s="166">
        <f t="shared" si="15"/>
        <v>3.9193000965651079E-2</v>
      </c>
      <c r="G66" s="241">
        <f t="shared" si="16"/>
        <v>0.10177565329815762</v>
      </c>
      <c r="H66" s="242">
        <f t="shared" si="17"/>
        <v>0.89822434670184237</v>
      </c>
      <c r="I66" s="157"/>
    </row>
    <row r="67" spans="1:9" ht="15.75" thickBot="1" x14ac:dyDescent="0.25">
      <c r="A67" s="167"/>
      <c r="B67" s="165"/>
      <c r="C67" s="226"/>
      <c r="D67" s="226"/>
      <c r="E67" s="226"/>
      <c r="F67" s="166"/>
      <c r="G67" s="241"/>
      <c r="H67" s="242"/>
      <c r="I67" s="157"/>
    </row>
    <row r="68" spans="1:9" ht="17.25" thickTop="1" thickBot="1" x14ac:dyDescent="0.3">
      <c r="A68" s="174" t="s">
        <v>14</v>
      </c>
      <c r="B68" s="175"/>
      <c r="C68" s="228">
        <f>SUM(C60:C67)</f>
        <v>296364815.86000001</v>
      </c>
      <c r="D68" s="230">
        <f>SUM(D60:D67)</f>
        <v>30609163.169999998</v>
      </c>
      <c r="E68" s="271">
        <f>SUM(E60:E67)</f>
        <v>31150079.949999999</v>
      </c>
      <c r="F68" s="272">
        <f>(+D68-E68)/E68</f>
        <v>-1.7364860086017248E-2</v>
      </c>
      <c r="G68" s="249">
        <f>D68/C68</f>
        <v>0.10328204136235754</v>
      </c>
      <c r="H68" s="270">
        <f>1-G68</f>
        <v>0.89671795863764248</v>
      </c>
      <c r="I68" s="157"/>
    </row>
    <row r="69" spans="1:9" ht="15.75" thickTop="1" x14ac:dyDescent="0.2">
      <c r="A69" s="167"/>
      <c r="B69" s="168"/>
      <c r="C69" s="226"/>
      <c r="D69" s="226"/>
      <c r="E69" s="226"/>
      <c r="F69" s="166"/>
      <c r="G69" s="241"/>
      <c r="H69" s="242"/>
      <c r="I69" s="157"/>
    </row>
    <row r="70" spans="1:9" ht="15.75" x14ac:dyDescent="0.25">
      <c r="A70" s="164" t="s">
        <v>17</v>
      </c>
      <c r="B70" s="165">
        <f>DATE(19,7,1)</f>
        <v>7122</v>
      </c>
      <c r="C70" s="226">
        <v>45458425.399999999</v>
      </c>
      <c r="D70" s="226">
        <v>4987956.2</v>
      </c>
      <c r="E70" s="226">
        <v>5381167.3099999996</v>
      </c>
      <c r="F70" s="166">
        <f t="shared" ref="F70:F76" si="18">(+D70-E70)/E70</f>
        <v>-7.3071712390224752E-2</v>
      </c>
      <c r="G70" s="241">
        <f t="shared" ref="G70:G76" si="19">D70/C70</f>
        <v>0.10972567034844986</v>
      </c>
      <c r="H70" s="242">
        <f t="shared" ref="H70:H76" si="20">1-G70</f>
        <v>0.89027432965155018</v>
      </c>
      <c r="I70" s="157"/>
    </row>
    <row r="71" spans="1:9" ht="15.75" x14ac:dyDescent="0.25">
      <c r="A71" s="164"/>
      <c r="B71" s="165">
        <f>DATE(19,8,1)</f>
        <v>7153</v>
      </c>
      <c r="C71" s="226">
        <v>47408888.340000004</v>
      </c>
      <c r="D71" s="226">
        <v>5297182</v>
      </c>
      <c r="E71" s="226">
        <v>5291596.82</v>
      </c>
      <c r="F71" s="166">
        <f t="shared" si="18"/>
        <v>1.0554810182986886E-3</v>
      </c>
      <c r="G71" s="241">
        <f t="shared" si="19"/>
        <v>0.1117339424204689</v>
      </c>
      <c r="H71" s="242">
        <f t="shared" si="20"/>
        <v>0.88826605757953114</v>
      </c>
      <c r="I71" s="157"/>
    </row>
    <row r="72" spans="1:9" ht="15.75" x14ac:dyDescent="0.25">
      <c r="A72" s="164"/>
      <c r="B72" s="165">
        <f>DATE(19,9,1)</f>
        <v>7184</v>
      </c>
      <c r="C72" s="226">
        <v>43078381.07</v>
      </c>
      <c r="D72" s="226">
        <v>4757922.75</v>
      </c>
      <c r="E72" s="226">
        <v>5027629.3</v>
      </c>
      <c r="F72" s="166">
        <f t="shared" si="18"/>
        <v>-5.3644875925915984E-2</v>
      </c>
      <c r="G72" s="241">
        <f t="shared" si="19"/>
        <v>0.11044803987105822</v>
      </c>
      <c r="H72" s="242">
        <f t="shared" si="20"/>
        <v>0.88955196012894178</v>
      </c>
      <c r="I72" s="157"/>
    </row>
    <row r="73" spans="1:9" ht="15.75" x14ac:dyDescent="0.25">
      <c r="A73" s="164"/>
      <c r="B73" s="165">
        <f>DATE(19,10,1)</f>
        <v>7214</v>
      </c>
      <c r="C73" s="226">
        <v>45559884.780000001</v>
      </c>
      <c r="D73" s="226">
        <v>5100767.21</v>
      </c>
      <c r="E73" s="226">
        <v>5016135.3</v>
      </c>
      <c r="F73" s="166">
        <f t="shared" si="18"/>
        <v>1.6871935252623697E-2</v>
      </c>
      <c r="G73" s="241">
        <f t="shared" si="19"/>
        <v>0.11195742119697256</v>
      </c>
      <c r="H73" s="242">
        <f t="shared" si="20"/>
        <v>0.88804257880302739</v>
      </c>
      <c r="I73" s="157"/>
    </row>
    <row r="74" spans="1:9" ht="15.75" x14ac:dyDescent="0.25">
      <c r="A74" s="164"/>
      <c r="B74" s="165">
        <f>DATE(19,11,1)</f>
        <v>7245</v>
      </c>
      <c r="C74" s="226">
        <v>45568371.520000003</v>
      </c>
      <c r="D74" s="226">
        <v>5049815.8600000003</v>
      </c>
      <c r="E74" s="226">
        <v>4899996.9800000004</v>
      </c>
      <c r="F74" s="166">
        <f t="shared" si="18"/>
        <v>3.0575300477021901E-2</v>
      </c>
      <c r="G74" s="241">
        <f t="shared" si="19"/>
        <v>0.11081844032507572</v>
      </c>
      <c r="H74" s="242">
        <f t="shared" si="20"/>
        <v>0.88918155967492429</v>
      </c>
      <c r="I74" s="157"/>
    </row>
    <row r="75" spans="1:9" ht="15.75" x14ac:dyDescent="0.25">
      <c r="A75" s="164"/>
      <c r="B75" s="165">
        <f>DATE(19,12,1)</f>
        <v>7275</v>
      </c>
      <c r="C75" s="226">
        <v>45369161.390000001</v>
      </c>
      <c r="D75" s="226">
        <v>5055651.33</v>
      </c>
      <c r="E75" s="226">
        <v>5247804.62</v>
      </c>
      <c r="F75" s="166">
        <f t="shared" si="18"/>
        <v>-3.6615938266390723E-2</v>
      </c>
      <c r="G75" s="241">
        <f t="shared" si="19"/>
        <v>0.11143365173847662</v>
      </c>
      <c r="H75" s="242">
        <f t="shared" si="20"/>
        <v>0.88856634826152336</v>
      </c>
      <c r="I75" s="157"/>
    </row>
    <row r="76" spans="1:9" ht="15.75" x14ac:dyDescent="0.25">
      <c r="A76" s="164"/>
      <c r="B76" s="165">
        <f>DATE(20,1,1)</f>
        <v>7306</v>
      </c>
      <c r="C76" s="226">
        <v>43113578.409999996</v>
      </c>
      <c r="D76" s="226">
        <v>4906027.53</v>
      </c>
      <c r="E76" s="226">
        <v>4473121.8099999996</v>
      </c>
      <c r="F76" s="166">
        <f t="shared" si="18"/>
        <v>9.6779327366450743E-2</v>
      </c>
      <c r="G76" s="241">
        <f t="shared" si="19"/>
        <v>0.11379309514382759</v>
      </c>
      <c r="H76" s="242">
        <f t="shared" si="20"/>
        <v>0.88620690485617237</v>
      </c>
      <c r="I76" s="157"/>
    </row>
    <row r="77" spans="1:9" ht="15.75" thickBot="1" x14ac:dyDescent="0.25">
      <c r="A77" s="167"/>
      <c r="B77" s="165"/>
      <c r="C77" s="226"/>
      <c r="D77" s="226"/>
      <c r="E77" s="226"/>
      <c r="F77" s="166"/>
      <c r="G77" s="241"/>
      <c r="H77" s="242"/>
      <c r="I77" s="157"/>
    </row>
    <row r="78" spans="1:9" ht="17.25" thickTop="1" thickBot="1" x14ac:dyDescent="0.3">
      <c r="A78" s="174" t="s">
        <v>14</v>
      </c>
      <c r="B78" s="175"/>
      <c r="C78" s="228">
        <f>SUM(C70:C77)</f>
        <v>315556690.90999997</v>
      </c>
      <c r="D78" s="230">
        <f>SUM(D70:D77)</f>
        <v>35155322.880000003</v>
      </c>
      <c r="E78" s="271">
        <f>SUM(E70:E77)</f>
        <v>35337452.140000001</v>
      </c>
      <c r="F78" s="272">
        <f>(+D78-E78)/E78</f>
        <v>-5.1540008962286752E-3</v>
      </c>
      <c r="G78" s="249">
        <f>D78/C78</f>
        <v>0.11140731251370191</v>
      </c>
      <c r="H78" s="270">
        <f>1-G78</f>
        <v>0.88859268748629805</v>
      </c>
      <c r="I78" s="157"/>
    </row>
    <row r="79" spans="1:9" ht="15.75" thickTop="1" x14ac:dyDescent="0.2">
      <c r="A79" s="167"/>
      <c r="B79" s="168"/>
      <c r="C79" s="226"/>
      <c r="D79" s="226"/>
      <c r="E79" s="226"/>
      <c r="F79" s="166"/>
      <c r="G79" s="241"/>
      <c r="H79" s="242"/>
      <c r="I79" s="157"/>
    </row>
    <row r="80" spans="1:9" ht="15.75" x14ac:dyDescent="0.25">
      <c r="A80" s="164" t="s">
        <v>67</v>
      </c>
      <c r="B80" s="165">
        <f>DATE(19,7,1)</f>
        <v>7122</v>
      </c>
      <c r="C80" s="226">
        <v>108871593.48999999</v>
      </c>
      <c r="D80" s="226">
        <v>10859844.9</v>
      </c>
      <c r="E80" s="226">
        <v>11368416.640000001</v>
      </c>
      <c r="F80" s="166">
        <f t="shared" ref="F80:F86" si="21">(+D80-E80)/E80</f>
        <v>-4.4735494493628992E-2</v>
      </c>
      <c r="G80" s="241">
        <f t="shared" ref="G80:G86" si="22">D80/C80</f>
        <v>9.9749113169703835E-2</v>
      </c>
      <c r="H80" s="242">
        <f t="shared" ref="H80:H86" si="23">1-G80</f>
        <v>0.90025088683029619</v>
      </c>
      <c r="I80" s="157"/>
    </row>
    <row r="81" spans="1:9" ht="15.75" x14ac:dyDescent="0.25">
      <c r="A81" s="164"/>
      <c r="B81" s="165">
        <f>DATE(19,8,1)</f>
        <v>7153</v>
      </c>
      <c r="C81" s="226">
        <v>110085881.98999999</v>
      </c>
      <c r="D81" s="226">
        <v>10606265.73</v>
      </c>
      <c r="E81" s="226">
        <v>11900739.720000001</v>
      </c>
      <c r="F81" s="166">
        <f t="shared" si="21"/>
        <v>-0.10877256544183962</v>
      </c>
      <c r="G81" s="241">
        <f t="shared" si="22"/>
        <v>9.6345376339569633E-2</v>
      </c>
      <c r="H81" s="242">
        <f t="shared" si="23"/>
        <v>0.90365462366043037</v>
      </c>
      <c r="I81" s="157"/>
    </row>
    <row r="82" spans="1:9" ht="15.75" x14ac:dyDescent="0.25">
      <c r="A82" s="164"/>
      <c r="B82" s="165">
        <f>DATE(19,9,1)</f>
        <v>7184</v>
      </c>
      <c r="C82" s="226">
        <v>102382579.39</v>
      </c>
      <c r="D82" s="226">
        <v>10294221.539999999</v>
      </c>
      <c r="E82" s="226">
        <v>10737435.65</v>
      </c>
      <c r="F82" s="166">
        <f t="shared" si="21"/>
        <v>-4.1277463674485558E-2</v>
      </c>
      <c r="G82" s="241">
        <f t="shared" si="22"/>
        <v>0.10054661253245847</v>
      </c>
      <c r="H82" s="242">
        <f t="shared" si="23"/>
        <v>0.89945338746754155</v>
      </c>
      <c r="I82" s="157"/>
    </row>
    <row r="83" spans="1:9" ht="15.75" x14ac:dyDescent="0.25">
      <c r="A83" s="164"/>
      <c r="B83" s="165">
        <f>DATE(19,10,1)</f>
        <v>7214</v>
      </c>
      <c r="C83" s="226">
        <v>100553757.09</v>
      </c>
      <c r="D83" s="226">
        <v>9880729.3699999992</v>
      </c>
      <c r="E83" s="226">
        <v>10634805.060000001</v>
      </c>
      <c r="F83" s="166">
        <f t="shared" si="21"/>
        <v>-7.0906395156809895E-2</v>
      </c>
      <c r="G83" s="241">
        <f t="shared" si="22"/>
        <v>9.8263154515015438E-2</v>
      </c>
      <c r="H83" s="242">
        <f t="shared" si="23"/>
        <v>0.90173684548498456</v>
      </c>
      <c r="I83" s="157"/>
    </row>
    <row r="84" spans="1:9" ht="15.75" x14ac:dyDescent="0.25">
      <c r="A84" s="164"/>
      <c r="B84" s="165">
        <f>DATE(19,11,1)</f>
        <v>7245</v>
      </c>
      <c r="C84" s="226">
        <v>101636027.59</v>
      </c>
      <c r="D84" s="226">
        <v>10205648.99</v>
      </c>
      <c r="E84" s="226">
        <v>10364939.92</v>
      </c>
      <c r="F84" s="166">
        <f t="shared" si="21"/>
        <v>-1.5368244411396425E-2</v>
      </c>
      <c r="G84" s="241">
        <f t="shared" si="22"/>
        <v>0.10041369415941377</v>
      </c>
      <c r="H84" s="242">
        <f t="shared" si="23"/>
        <v>0.89958630584058619</v>
      </c>
      <c r="I84" s="157"/>
    </row>
    <row r="85" spans="1:9" ht="15.75" x14ac:dyDescent="0.25">
      <c r="A85" s="164"/>
      <c r="B85" s="165">
        <f>DATE(19,12,1)</f>
        <v>7275</v>
      </c>
      <c r="C85" s="226">
        <v>109465965.75</v>
      </c>
      <c r="D85" s="226">
        <v>10750579.369999999</v>
      </c>
      <c r="E85" s="226">
        <v>11597435.08</v>
      </c>
      <c r="F85" s="166">
        <f t="shared" si="21"/>
        <v>-7.3020948525111373E-2</v>
      </c>
      <c r="G85" s="241">
        <f t="shared" si="22"/>
        <v>9.8209331972207076E-2</v>
      </c>
      <c r="H85" s="242">
        <f t="shared" si="23"/>
        <v>0.90179066802779295</v>
      </c>
      <c r="I85" s="157"/>
    </row>
    <row r="86" spans="1:9" ht="15.75" x14ac:dyDescent="0.25">
      <c r="A86" s="164"/>
      <c r="B86" s="165">
        <f>DATE(20,1,1)</f>
        <v>7306</v>
      </c>
      <c r="C86" s="226">
        <v>105337972.19</v>
      </c>
      <c r="D86" s="226">
        <v>10353140.800000001</v>
      </c>
      <c r="E86" s="226">
        <v>9957126.1699999999</v>
      </c>
      <c r="F86" s="166">
        <f t="shared" si="21"/>
        <v>3.9771980713989567E-2</v>
      </c>
      <c r="G86" s="241">
        <f t="shared" si="22"/>
        <v>9.8284982943528235E-2</v>
      </c>
      <c r="H86" s="242">
        <f t="shared" si="23"/>
        <v>0.90171501705647172</v>
      </c>
      <c r="I86" s="157"/>
    </row>
    <row r="87" spans="1:9" ht="15.75" thickBot="1" x14ac:dyDescent="0.25">
      <c r="A87" s="167"/>
      <c r="B87" s="165"/>
      <c r="C87" s="226"/>
      <c r="D87" s="226"/>
      <c r="E87" s="226"/>
      <c r="F87" s="166"/>
      <c r="G87" s="241"/>
      <c r="H87" s="242"/>
      <c r="I87" s="157"/>
    </row>
    <row r="88" spans="1:9" ht="17.25" thickTop="1" thickBot="1" x14ac:dyDescent="0.3">
      <c r="A88" s="174" t="s">
        <v>14</v>
      </c>
      <c r="B88" s="175"/>
      <c r="C88" s="228">
        <f>SUM(C80:C87)</f>
        <v>738333777.49000001</v>
      </c>
      <c r="D88" s="230">
        <f>SUM(D80:D87)</f>
        <v>72950430.700000003</v>
      </c>
      <c r="E88" s="271">
        <f>SUM(E80:E87)</f>
        <v>76560898.239999995</v>
      </c>
      <c r="F88" s="176">
        <f>(+D88-E88)/E88</f>
        <v>-4.7158113645454428E-2</v>
      </c>
      <c r="G88" s="249">
        <f>D88/C88</f>
        <v>9.8804135641739677E-2</v>
      </c>
      <c r="H88" s="270">
        <f>1-G88</f>
        <v>0.90119586435826027</v>
      </c>
      <c r="I88" s="157"/>
    </row>
    <row r="89" spans="1:9" ht="15.75" thickTop="1" x14ac:dyDescent="0.2">
      <c r="A89" s="167"/>
      <c r="B89" s="179"/>
      <c r="C89" s="229"/>
      <c r="D89" s="229"/>
      <c r="E89" s="229"/>
      <c r="F89" s="180"/>
      <c r="G89" s="247"/>
      <c r="H89" s="248"/>
      <c r="I89" s="157"/>
    </row>
    <row r="90" spans="1:9" ht="15.75" x14ac:dyDescent="0.25">
      <c r="A90" s="164" t="s">
        <v>18</v>
      </c>
      <c r="B90" s="165">
        <f>DATE(19,7,1)</f>
        <v>7122</v>
      </c>
      <c r="C90" s="226">
        <v>139620069.69</v>
      </c>
      <c r="D90" s="226">
        <v>13562944.529999999</v>
      </c>
      <c r="E90" s="226">
        <v>14899456.869999999</v>
      </c>
      <c r="F90" s="166">
        <f t="shared" ref="F90:F96" si="24">(+D90-E90)/E90</f>
        <v>-8.9702084556589609E-2</v>
      </c>
      <c r="G90" s="241">
        <f t="shared" ref="G90:G96" si="25">D90/C90</f>
        <v>9.7141797451569506E-2</v>
      </c>
      <c r="H90" s="242">
        <f t="shared" ref="H90:H96" si="26">1-G90</f>
        <v>0.90285820254843052</v>
      </c>
      <c r="I90" s="157"/>
    </row>
    <row r="91" spans="1:9" ht="15.75" x14ac:dyDescent="0.25">
      <c r="A91" s="164"/>
      <c r="B91" s="165">
        <f>DATE(19,8,1)</f>
        <v>7153</v>
      </c>
      <c r="C91" s="226">
        <v>145301923.24000001</v>
      </c>
      <c r="D91" s="226">
        <v>13870661.279999999</v>
      </c>
      <c r="E91" s="226">
        <v>14829432.529999999</v>
      </c>
      <c r="F91" s="166">
        <f t="shared" si="24"/>
        <v>-6.465326627033112E-2</v>
      </c>
      <c r="G91" s="241">
        <f t="shared" si="25"/>
        <v>9.5460961360362501E-2</v>
      </c>
      <c r="H91" s="242">
        <f t="shared" si="26"/>
        <v>0.90453903863963747</v>
      </c>
      <c r="I91" s="157"/>
    </row>
    <row r="92" spans="1:9" ht="15.75" x14ac:dyDescent="0.25">
      <c r="A92" s="164"/>
      <c r="B92" s="165">
        <f>DATE(19,9,1)</f>
        <v>7184</v>
      </c>
      <c r="C92" s="226">
        <v>133117656.17</v>
      </c>
      <c r="D92" s="226">
        <v>12786448.43</v>
      </c>
      <c r="E92" s="226">
        <v>13962276.199999999</v>
      </c>
      <c r="F92" s="166">
        <f t="shared" si="24"/>
        <v>-8.4214618960195012E-2</v>
      </c>
      <c r="G92" s="241">
        <f t="shared" si="25"/>
        <v>9.6053737707572501E-2</v>
      </c>
      <c r="H92" s="242">
        <f t="shared" si="26"/>
        <v>0.90394626229242747</v>
      </c>
      <c r="I92" s="157"/>
    </row>
    <row r="93" spans="1:9" ht="15.75" x14ac:dyDescent="0.25">
      <c r="A93" s="164"/>
      <c r="B93" s="165">
        <f>DATE(19,10,1)</f>
        <v>7214</v>
      </c>
      <c r="C93" s="226">
        <v>141018208.87</v>
      </c>
      <c r="D93" s="226">
        <v>13251508.66</v>
      </c>
      <c r="E93" s="226">
        <v>13179828.550000001</v>
      </c>
      <c r="F93" s="166">
        <f t="shared" si="24"/>
        <v>5.4386223408042283E-3</v>
      </c>
      <c r="G93" s="241">
        <f t="shared" si="25"/>
        <v>9.3970195524296612E-2</v>
      </c>
      <c r="H93" s="242">
        <f t="shared" si="26"/>
        <v>0.90602980447570336</v>
      </c>
      <c r="I93" s="157"/>
    </row>
    <row r="94" spans="1:9" ht="15.75" x14ac:dyDescent="0.25">
      <c r="A94" s="164"/>
      <c r="B94" s="165">
        <f>DATE(19,11,1)</f>
        <v>7245</v>
      </c>
      <c r="C94" s="226">
        <v>143268625.12</v>
      </c>
      <c r="D94" s="226">
        <v>13769145.800000001</v>
      </c>
      <c r="E94" s="226">
        <v>12404366.57</v>
      </c>
      <c r="F94" s="166">
        <f t="shared" si="24"/>
        <v>0.11002409694185621</v>
      </c>
      <c r="G94" s="241">
        <f t="shared" si="25"/>
        <v>9.610719575529629E-2</v>
      </c>
      <c r="H94" s="242">
        <f t="shared" si="26"/>
        <v>0.90389280424470375</v>
      </c>
      <c r="I94" s="157"/>
    </row>
    <row r="95" spans="1:9" ht="15.75" x14ac:dyDescent="0.25">
      <c r="A95" s="164"/>
      <c r="B95" s="165">
        <f>DATE(19,12,1)</f>
        <v>7275</v>
      </c>
      <c r="C95" s="226">
        <v>148416907.90000001</v>
      </c>
      <c r="D95" s="226">
        <v>13980639.65</v>
      </c>
      <c r="E95" s="226">
        <v>14279714.560000001</v>
      </c>
      <c r="F95" s="166">
        <f t="shared" si="24"/>
        <v>-2.0944039794588174E-2</v>
      </c>
      <c r="G95" s="241">
        <f t="shared" si="25"/>
        <v>9.4198429598195396E-2</v>
      </c>
      <c r="H95" s="242">
        <f t="shared" si="26"/>
        <v>0.90580157040180465</v>
      </c>
      <c r="I95" s="157"/>
    </row>
    <row r="96" spans="1:9" ht="15.75" x14ac:dyDescent="0.25">
      <c r="A96" s="164"/>
      <c r="B96" s="165">
        <f>DATE(20,1,1)</f>
        <v>7306</v>
      </c>
      <c r="C96" s="226">
        <v>130743401.33</v>
      </c>
      <c r="D96" s="226">
        <v>12432082.390000001</v>
      </c>
      <c r="E96" s="226">
        <v>12070419.859999999</v>
      </c>
      <c r="F96" s="166">
        <f t="shared" si="24"/>
        <v>2.9962713326858639E-2</v>
      </c>
      <c r="G96" s="241">
        <f t="shared" si="25"/>
        <v>9.5087646975169915E-2</v>
      </c>
      <c r="H96" s="242">
        <f t="shared" si="26"/>
        <v>0.90491235302483009</v>
      </c>
      <c r="I96" s="157"/>
    </row>
    <row r="97" spans="1:9" ht="15.75" customHeight="1" thickBot="1" x14ac:dyDescent="0.3">
      <c r="A97" s="164"/>
      <c r="B97" s="165"/>
      <c r="C97" s="226"/>
      <c r="D97" s="226"/>
      <c r="E97" s="226"/>
      <c r="F97" s="166"/>
      <c r="G97" s="241"/>
      <c r="H97" s="242"/>
      <c r="I97" s="157"/>
    </row>
    <row r="98" spans="1:9" ht="17.25" thickTop="1" thickBot="1" x14ac:dyDescent="0.3">
      <c r="A98" s="174" t="s">
        <v>14</v>
      </c>
      <c r="B98" s="181"/>
      <c r="C98" s="228">
        <f>SUM(C90:C97)</f>
        <v>981486792.32000005</v>
      </c>
      <c r="D98" s="228">
        <f>SUM(D90:D97)</f>
        <v>93653430.739999995</v>
      </c>
      <c r="E98" s="228">
        <f>SUM(E90:E97)</f>
        <v>95625495.140000001</v>
      </c>
      <c r="F98" s="176">
        <f>(+D98-E98)/E98</f>
        <v>-2.0622788902821529E-2</v>
      </c>
      <c r="G98" s="245">
        <f>D98/C98</f>
        <v>9.5419960281508912E-2</v>
      </c>
      <c r="H98" s="246">
        <f>1-G98</f>
        <v>0.9045800397184911</v>
      </c>
      <c r="I98" s="157"/>
    </row>
    <row r="99" spans="1:9" ht="15.75" thickTop="1" x14ac:dyDescent="0.2">
      <c r="A99" s="171"/>
      <c r="B99" s="172"/>
      <c r="C99" s="227"/>
      <c r="D99" s="227"/>
      <c r="E99" s="227"/>
      <c r="F99" s="173"/>
      <c r="G99" s="243"/>
      <c r="H99" s="244"/>
      <c r="I99" s="157"/>
    </row>
    <row r="100" spans="1:9" ht="15.75" x14ac:dyDescent="0.25">
      <c r="A100" s="164" t="s">
        <v>58</v>
      </c>
      <c r="B100" s="165">
        <f>DATE(19,7,1)</f>
        <v>7122</v>
      </c>
      <c r="C100" s="226">
        <v>172895652.09999999</v>
      </c>
      <c r="D100" s="226">
        <v>16249508.9</v>
      </c>
      <c r="E100" s="226">
        <v>16699225.800000001</v>
      </c>
      <c r="F100" s="166">
        <f t="shared" ref="F100:F106" si="27">(+D100-E100)/E100</f>
        <v>-2.6930404162808574E-2</v>
      </c>
      <c r="G100" s="241">
        <f t="shared" ref="G100:G106" si="28">D100/C100</f>
        <v>9.3984485454854313E-2</v>
      </c>
      <c r="H100" s="242">
        <f t="shared" ref="H100:H106" si="29">1-G100</f>
        <v>0.90601551454514573</v>
      </c>
      <c r="I100" s="157"/>
    </row>
    <row r="101" spans="1:9" ht="15.75" x14ac:dyDescent="0.25">
      <c r="A101" s="164"/>
      <c r="B101" s="165">
        <f>DATE(19,8,1)</f>
        <v>7153</v>
      </c>
      <c r="C101" s="226">
        <v>180380059.75</v>
      </c>
      <c r="D101" s="226">
        <v>16871517.800000001</v>
      </c>
      <c r="E101" s="226">
        <v>16622760.619999999</v>
      </c>
      <c r="F101" s="166">
        <f t="shared" si="27"/>
        <v>1.4964853653773038E-2</v>
      </c>
      <c r="G101" s="241">
        <f t="shared" si="28"/>
        <v>9.3533164493809856E-2</v>
      </c>
      <c r="H101" s="242">
        <f t="shared" si="29"/>
        <v>0.90646683550619012</v>
      </c>
      <c r="I101" s="157"/>
    </row>
    <row r="102" spans="1:9" ht="15.75" x14ac:dyDescent="0.25">
      <c r="A102" s="164"/>
      <c r="B102" s="165">
        <f>DATE(19,9,1)</f>
        <v>7184</v>
      </c>
      <c r="C102" s="226">
        <v>169452200.19999999</v>
      </c>
      <c r="D102" s="226">
        <v>15944541.300000001</v>
      </c>
      <c r="E102" s="226">
        <v>16260476.050000001</v>
      </c>
      <c r="F102" s="166">
        <f t="shared" si="27"/>
        <v>-1.9429612578901096E-2</v>
      </c>
      <c r="G102" s="241">
        <f t="shared" si="28"/>
        <v>9.4094625393952261E-2</v>
      </c>
      <c r="H102" s="242">
        <f t="shared" si="29"/>
        <v>0.9059053746060477</v>
      </c>
      <c r="I102" s="157"/>
    </row>
    <row r="103" spans="1:9" ht="15.75" x14ac:dyDescent="0.25">
      <c r="A103" s="164"/>
      <c r="B103" s="165">
        <f>DATE(19,10,1)</f>
        <v>7214</v>
      </c>
      <c r="C103" s="226">
        <v>171753334.46000001</v>
      </c>
      <c r="D103" s="226">
        <v>16080736.01</v>
      </c>
      <c r="E103" s="226">
        <v>15649969.25</v>
      </c>
      <c r="F103" s="166">
        <f t="shared" si="27"/>
        <v>2.7525086670697439E-2</v>
      </c>
      <c r="G103" s="241">
        <f t="shared" si="28"/>
        <v>9.3626921774523544E-2</v>
      </c>
      <c r="H103" s="242">
        <f t="shared" si="29"/>
        <v>0.90637307822547641</v>
      </c>
      <c r="I103" s="157"/>
    </row>
    <row r="104" spans="1:9" ht="15.75" x14ac:dyDescent="0.25">
      <c r="A104" s="164"/>
      <c r="B104" s="165">
        <f>DATE(19,11,1)</f>
        <v>7245</v>
      </c>
      <c r="C104" s="226">
        <v>179944712.21000001</v>
      </c>
      <c r="D104" s="226">
        <v>17058482.91</v>
      </c>
      <c r="E104" s="226">
        <v>15252914.51</v>
      </c>
      <c r="F104" s="166">
        <f t="shared" si="27"/>
        <v>0.1183753045240139</v>
      </c>
      <c r="G104" s="241">
        <f t="shared" si="28"/>
        <v>9.4798467265280462E-2</v>
      </c>
      <c r="H104" s="242">
        <f t="shared" si="29"/>
        <v>0.90520153273471959</v>
      </c>
      <c r="I104" s="157"/>
    </row>
    <row r="105" spans="1:9" ht="15.75" x14ac:dyDescent="0.25">
      <c r="A105" s="164"/>
      <c r="B105" s="165">
        <f>DATE(19,12,1)</f>
        <v>7275</v>
      </c>
      <c r="C105" s="226">
        <v>179257574.59</v>
      </c>
      <c r="D105" s="226">
        <v>16970606.43</v>
      </c>
      <c r="E105" s="226">
        <v>17347128.27</v>
      </c>
      <c r="F105" s="166">
        <f t="shared" si="27"/>
        <v>-2.1705139556220037E-2</v>
      </c>
      <c r="G105" s="241">
        <f t="shared" si="28"/>
        <v>9.4671628068244071E-2</v>
      </c>
      <c r="H105" s="242">
        <f t="shared" si="29"/>
        <v>0.90532837193175597</v>
      </c>
      <c r="I105" s="157"/>
    </row>
    <row r="106" spans="1:9" ht="15.75" x14ac:dyDescent="0.25">
      <c r="A106" s="164"/>
      <c r="B106" s="165">
        <f>DATE(20,1,1)</f>
        <v>7306</v>
      </c>
      <c r="C106" s="226">
        <v>173290650.84999999</v>
      </c>
      <c r="D106" s="226">
        <v>16027792.039999999</v>
      </c>
      <c r="E106" s="226">
        <v>13808864.720000001</v>
      </c>
      <c r="F106" s="166">
        <f t="shared" si="27"/>
        <v>0.16068861307521001</v>
      </c>
      <c r="G106" s="241">
        <f t="shared" si="28"/>
        <v>9.2490806407517168E-2</v>
      </c>
      <c r="H106" s="242">
        <f t="shared" si="29"/>
        <v>0.90750919359248283</v>
      </c>
      <c r="I106" s="157"/>
    </row>
    <row r="107" spans="1:9" ht="15.75" thickBot="1" x14ac:dyDescent="0.25">
      <c r="A107" s="167"/>
      <c r="B107" s="168"/>
      <c r="C107" s="226"/>
      <c r="D107" s="226"/>
      <c r="E107" s="226"/>
      <c r="F107" s="166"/>
      <c r="G107" s="241"/>
      <c r="H107" s="242"/>
      <c r="I107" s="157"/>
    </row>
    <row r="108" spans="1:9" ht="17.25" thickTop="1" thickBot="1" x14ac:dyDescent="0.3">
      <c r="A108" s="174" t="s">
        <v>14</v>
      </c>
      <c r="B108" s="175"/>
      <c r="C108" s="228">
        <f>SUM(C100:C107)</f>
        <v>1226974184.1600001</v>
      </c>
      <c r="D108" s="228">
        <f>SUM(D100:D107)</f>
        <v>115203185.38999999</v>
      </c>
      <c r="E108" s="228">
        <f>SUM(E100:E107)</f>
        <v>111641339.22</v>
      </c>
      <c r="F108" s="176">
        <f>(+D108-E108)/E108</f>
        <v>3.1904366204180211E-2</v>
      </c>
      <c r="G108" s="249">
        <f>D108/C108</f>
        <v>9.3892102113680043E-2</v>
      </c>
      <c r="H108" s="270">
        <f>1-G108</f>
        <v>0.90610789788631996</v>
      </c>
      <c r="I108" s="157"/>
    </row>
    <row r="109" spans="1:9" ht="15.75" thickTop="1" x14ac:dyDescent="0.2">
      <c r="A109" s="167"/>
      <c r="B109" s="168"/>
      <c r="C109" s="226"/>
      <c r="D109" s="226"/>
      <c r="E109" s="226"/>
      <c r="F109" s="166"/>
      <c r="G109" s="241"/>
      <c r="H109" s="242"/>
      <c r="I109" s="157"/>
    </row>
    <row r="110" spans="1:9" ht="15.75" x14ac:dyDescent="0.25">
      <c r="A110" s="164" t="s">
        <v>59</v>
      </c>
      <c r="B110" s="165">
        <f>DATE(19,7,1)</f>
        <v>7122</v>
      </c>
      <c r="C110" s="226">
        <v>23534671.399999999</v>
      </c>
      <c r="D110" s="226">
        <v>2612988.94</v>
      </c>
      <c r="E110" s="226">
        <v>2665233.29</v>
      </c>
      <c r="F110" s="166">
        <f t="shared" ref="F110:F116" si="30">(+D110-E110)/E110</f>
        <v>-1.9602167733692121E-2</v>
      </c>
      <c r="G110" s="241">
        <f t="shared" ref="G110:G116" si="31">D110/C110</f>
        <v>0.11102721153778251</v>
      </c>
      <c r="H110" s="242">
        <f t="shared" ref="H110:H116" si="32">1-G110</f>
        <v>0.8889727884622175</v>
      </c>
      <c r="I110" s="157"/>
    </row>
    <row r="111" spans="1:9" ht="15.75" x14ac:dyDescent="0.25">
      <c r="A111" s="164"/>
      <c r="B111" s="165">
        <f>DATE(19,8,1)</f>
        <v>7153</v>
      </c>
      <c r="C111" s="226">
        <v>25945368.859999999</v>
      </c>
      <c r="D111" s="226">
        <v>2826240.12</v>
      </c>
      <c r="E111" s="226">
        <v>2551392.61</v>
      </c>
      <c r="F111" s="166">
        <f t="shared" si="30"/>
        <v>0.10772450657838985</v>
      </c>
      <c r="G111" s="241">
        <f t="shared" si="31"/>
        <v>0.10893042743968143</v>
      </c>
      <c r="H111" s="242">
        <f t="shared" si="32"/>
        <v>0.8910695725603186</v>
      </c>
      <c r="I111" s="157"/>
    </row>
    <row r="112" spans="1:9" ht="15.75" x14ac:dyDescent="0.25">
      <c r="A112" s="164"/>
      <c r="B112" s="165">
        <f>DATE(19,9,1)</f>
        <v>7184</v>
      </c>
      <c r="C112" s="226">
        <v>23331556.440000001</v>
      </c>
      <c r="D112" s="226">
        <v>2549839.52</v>
      </c>
      <c r="E112" s="226">
        <v>2483855.77</v>
      </c>
      <c r="F112" s="166">
        <f t="shared" si="30"/>
        <v>2.6565048903785585E-2</v>
      </c>
      <c r="G112" s="241">
        <f t="shared" si="31"/>
        <v>0.10928715906961584</v>
      </c>
      <c r="H112" s="242">
        <f t="shared" si="32"/>
        <v>0.89071284093038416</v>
      </c>
      <c r="I112" s="157"/>
    </row>
    <row r="113" spans="1:9" ht="15.75" x14ac:dyDescent="0.25">
      <c r="A113" s="164"/>
      <c r="B113" s="165">
        <f>DATE(19,10,1)</f>
        <v>7214</v>
      </c>
      <c r="C113" s="226">
        <v>23351338.109999999</v>
      </c>
      <c r="D113" s="226">
        <v>2654170.6800000002</v>
      </c>
      <c r="E113" s="226">
        <v>2351894.38</v>
      </c>
      <c r="F113" s="166">
        <f t="shared" si="30"/>
        <v>0.12852460661945214</v>
      </c>
      <c r="G113" s="241">
        <f t="shared" si="31"/>
        <v>0.1136624662576992</v>
      </c>
      <c r="H113" s="242">
        <f t="shared" si="32"/>
        <v>0.88633753374230084</v>
      </c>
      <c r="I113" s="157"/>
    </row>
    <row r="114" spans="1:9" ht="15.75" x14ac:dyDescent="0.25">
      <c r="A114" s="164"/>
      <c r="B114" s="165">
        <f>DATE(19,11,1)</f>
        <v>7245</v>
      </c>
      <c r="C114" s="226">
        <v>24764224.170000002</v>
      </c>
      <c r="D114" s="226">
        <v>2750246.46</v>
      </c>
      <c r="E114" s="226">
        <v>2270138.19</v>
      </c>
      <c r="F114" s="166">
        <f t="shared" si="30"/>
        <v>0.21148856581281514</v>
      </c>
      <c r="G114" s="241">
        <f t="shared" si="31"/>
        <v>0.11105724294531774</v>
      </c>
      <c r="H114" s="242">
        <f t="shared" si="32"/>
        <v>0.88894275705468229</v>
      </c>
      <c r="I114" s="157"/>
    </row>
    <row r="115" spans="1:9" ht="15.75" x14ac:dyDescent="0.25">
      <c r="A115" s="164"/>
      <c r="B115" s="165">
        <f>DATE(19,12,1)</f>
        <v>7275</v>
      </c>
      <c r="C115" s="226">
        <v>24233154.100000001</v>
      </c>
      <c r="D115" s="226">
        <v>2678793.62</v>
      </c>
      <c r="E115" s="226">
        <v>2456280.23</v>
      </c>
      <c r="F115" s="166">
        <f t="shared" si="30"/>
        <v>9.0589578209486349E-2</v>
      </c>
      <c r="G115" s="241">
        <f t="shared" si="31"/>
        <v>0.11054250754754207</v>
      </c>
      <c r="H115" s="242">
        <f t="shared" si="32"/>
        <v>0.88945749245245798</v>
      </c>
      <c r="I115" s="157"/>
    </row>
    <row r="116" spans="1:9" ht="15.75" x14ac:dyDescent="0.25">
      <c r="A116" s="164"/>
      <c r="B116" s="165">
        <f>DATE(20,1,1)</f>
        <v>7306</v>
      </c>
      <c r="C116" s="226">
        <v>21836098.890000001</v>
      </c>
      <c r="D116" s="226">
        <v>2358042.2999999998</v>
      </c>
      <c r="E116" s="226">
        <v>1907536.47</v>
      </c>
      <c r="F116" s="166">
        <f t="shared" si="30"/>
        <v>0.23617154224055273</v>
      </c>
      <c r="G116" s="241">
        <f t="shared" si="31"/>
        <v>0.10798825888629229</v>
      </c>
      <c r="H116" s="242">
        <f t="shared" si="32"/>
        <v>0.89201174111370773</v>
      </c>
      <c r="I116" s="157"/>
    </row>
    <row r="117" spans="1:9" ht="15.75" thickBot="1" x14ac:dyDescent="0.25">
      <c r="A117" s="167"/>
      <c r="B117" s="168"/>
      <c r="C117" s="226"/>
      <c r="D117" s="226"/>
      <c r="E117" s="226"/>
      <c r="F117" s="166"/>
      <c r="G117" s="241"/>
      <c r="H117" s="242"/>
      <c r="I117" s="157"/>
    </row>
    <row r="118" spans="1:9" ht="17.25" thickTop="1" thickBot="1" x14ac:dyDescent="0.3">
      <c r="A118" s="182" t="s">
        <v>14</v>
      </c>
      <c r="B118" s="183"/>
      <c r="C118" s="230">
        <f>SUM(C110:C117)</f>
        <v>166996411.97000003</v>
      </c>
      <c r="D118" s="230">
        <f>SUM(D110:D117)</f>
        <v>18430321.640000001</v>
      </c>
      <c r="E118" s="230">
        <f>SUM(E110:E117)</f>
        <v>16686330.940000001</v>
      </c>
      <c r="F118" s="176">
        <f>(+D118-E118)/E118</f>
        <v>0.10451612797750247</v>
      </c>
      <c r="G118" s="249">
        <f>D118/C118</f>
        <v>0.11036357860976621</v>
      </c>
      <c r="H118" s="246">
        <f>1-G118</f>
        <v>0.8896364213902338</v>
      </c>
      <c r="I118" s="157"/>
    </row>
    <row r="119" spans="1:9" ht="15.75" thickTop="1" x14ac:dyDescent="0.2">
      <c r="A119" s="167"/>
      <c r="B119" s="168"/>
      <c r="C119" s="226"/>
      <c r="D119" s="226"/>
      <c r="E119" s="226"/>
      <c r="F119" s="166"/>
      <c r="G119" s="241"/>
      <c r="H119" s="242"/>
      <c r="I119" s="157"/>
    </row>
    <row r="120" spans="1:9" ht="15.75" x14ac:dyDescent="0.25">
      <c r="A120" s="164" t="s">
        <v>40</v>
      </c>
      <c r="B120" s="165">
        <f>DATE(19,7,1)</f>
        <v>7122</v>
      </c>
      <c r="C120" s="226">
        <v>209413515.11000001</v>
      </c>
      <c r="D120" s="226">
        <v>19119192.239999998</v>
      </c>
      <c r="E120" s="226">
        <v>19406302.420000002</v>
      </c>
      <c r="F120" s="166">
        <f t="shared" ref="F120:F126" si="33">(+D120-E120)/E120</f>
        <v>-1.4794687508533808E-2</v>
      </c>
      <c r="G120" s="241">
        <f t="shared" ref="G120:G126" si="34">D120/C120</f>
        <v>9.1298750369369117E-2</v>
      </c>
      <c r="H120" s="242">
        <f t="shared" ref="H120:H126" si="35">1-G120</f>
        <v>0.90870124963063093</v>
      </c>
      <c r="I120" s="157"/>
    </row>
    <row r="121" spans="1:9" ht="15.75" x14ac:dyDescent="0.25">
      <c r="A121" s="164"/>
      <c r="B121" s="165">
        <f>DATE(19,8,1)</f>
        <v>7153</v>
      </c>
      <c r="C121" s="226">
        <v>212666539.37</v>
      </c>
      <c r="D121" s="226">
        <v>19394509.940000001</v>
      </c>
      <c r="E121" s="226">
        <v>19632454.710000001</v>
      </c>
      <c r="F121" s="166">
        <f t="shared" si="33"/>
        <v>-1.2119970401806139E-2</v>
      </c>
      <c r="G121" s="241">
        <f t="shared" si="34"/>
        <v>9.119680979177068E-2</v>
      </c>
      <c r="H121" s="242">
        <f t="shared" si="35"/>
        <v>0.90880319020822931</v>
      </c>
      <c r="I121" s="157"/>
    </row>
    <row r="122" spans="1:9" ht="15.75" x14ac:dyDescent="0.25">
      <c r="A122" s="164"/>
      <c r="B122" s="165">
        <f>DATE(19,9,1)</f>
        <v>7184</v>
      </c>
      <c r="C122" s="226">
        <v>194172445.72</v>
      </c>
      <c r="D122" s="226">
        <v>17543226.640000001</v>
      </c>
      <c r="E122" s="226">
        <v>18357005.34</v>
      </c>
      <c r="F122" s="166">
        <f t="shared" si="33"/>
        <v>-4.4330689288779125E-2</v>
      </c>
      <c r="G122" s="241">
        <f t="shared" si="34"/>
        <v>9.0348692755807564E-2</v>
      </c>
      <c r="H122" s="242">
        <f t="shared" si="35"/>
        <v>0.90965130724419241</v>
      </c>
      <c r="I122" s="157"/>
    </row>
    <row r="123" spans="1:9" ht="15.75" x14ac:dyDescent="0.25">
      <c r="A123" s="164"/>
      <c r="B123" s="165">
        <f>DATE(19,10,1)</f>
        <v>7214</v>
      </c>
      <c r="C123" s="226">
        <v>194408213.02000001</v>
      </c>
      <c r="D123" s="226">
        <v>18312994.41</v>
      </c>
      <c r="E123" s="226">
        <v>17743741.07</v>
      </c>
      <c r="F123" s="166">
        <f t="shared" si="33"/>
        <v>3.2081923296460715E-2</v>
      </c>
      <c r="G123" s="241">
        <f t="shared" si="34"/>
        <v>9.4198666432451728E-2</v>
      </c>
      <c r="H123" s="242">
        <f t="shared" si="35"/>
        <v>0.90580133356754833</v>
      </c>
      <c r="I123" s="157"/>
    </row>
    <row r="124" spans="1:9" ht="15.75" x14ac:dyDescent="0.25">
      <c r="A124" s="164"/>
      <c r="B124" s="165">
        <f>DATE(19,11,1)</f>
        <v>7245</v>
      </c>
      <c r="C124" s="226">
        <v>194099111.36000001</v>
      </c>
      <c r="D124" s="226">
        <v>17726569.68</v>
      </c>
      <c r="E124" s="226">
        <v>17751037.91</v>
      </c>
      <c r="F124" s="166">
        <f t="shared" si="33"/>
        <v>-1.3784112300394748E-3</v>
      </c>
      <c r="G124" s="241">
        <f t="shared" si="34"/>
        <v>9.1327412865492882E-2</v>
      </c>
      <c r="H124" s="242">
        <f t="shared" si="35"/>
        <v>0.90867258713450716</v>
      </c>
      <c r="I124" s="157"/>
    </row>
    <row r="125" spans="1:9" ht="15.75" x14ac:dyDescent="0.25">
      <c r="A125" s="164"/>
      <c r="B125" s="165">
        <f>DATE(19,12,1)</f>
        <v>7275</v>
      </c>
      <c r="C125" s="226">
        <v>199823652.30000001</v>
      </c>
      <c r="D125" s="226">
        <v>17987460.18</v>
      </c>
      <c r="E125" s="226">
        <v>19880708.100000001</v>
      </c>
      <c r="F125" s="166">
        <f t="shared" si="33"/>
        <v>-9.5230406808296822E-2</v>
      </c>
      <c r="G125" s="241">
        <f t="shared" si="34"/>
        <v>9.0016672065401926E-2</v>
      </c>
      <c r="H125" s="242">
        <f t="shared" si="35"/>
        <v>0.90998332793459813</v>
      </c>
      <c r="I125" s="157"/>
    </row>
    <row r="126" spans="1:9" ht="15.75" x14ac:dyDescent="0.25">
      <c r="A126" s="164"/>
      <c r="B126" s="165">
        <f>DATE(20,1,1)</f>
        <v>7306</v>
      </c>
      <c r="C126" s="226">
        <v>191401212.25999999</v>
      </c>
      <c r="D126" s="226">
        <v>17177529.199999999</v>
      </c>
      <c r="E126" s="226">
        <v>15585305.41</v>
      </c>
      <c r="F126" s="166">
        <f t="shared" si="33"/>
        <v>0.10216186004147089</v>
      </c>
      <c r="G126" s="241">
        <f t="shared" si="34"/>
        <v>8.9746188110167199E-2</v>
      </c>
      <c r="H126" s="242">
        <f t="shared" si="35"/>
        <v>0.91025381188983279</v>
      </c>
      <c r="I126" s="157"/>
    </row>
    <row r="127" spans="1:9" ht="15.75" thickBot="1" x14ac:dyDescent="0.25">
      <c r="A127" s="167"/>
      <c r="B127" s="168"/>
      <c r="C127" s="226"/>
      <c r="D127" s="226"/>
      <c r="E127" s="226"/>
      <c r="F127" s="166"/>
      <c r="G127" s="241"/>
      <c r="H127" s="242"/>
      <c r="I127" s="157"/>
    </row>
    <row r="128" spans="1:9" ht="17.25" thickTop="1" thickBot="1" x14ac:dyDescent="0.3">
      <c r="A128" s="174" t="s">
        <v>14</v>
      </c>
      <c r="B128" s="175"/>
      <c r="C128" s="228">
        <f>SUM(C120:C127)</f>
        <v>1395984689.1400001</v>
      </c>
      <c r="D128" s="228">
        <f>SUM(D120:D127)</f>
        <v>127261482.29000001</v>
      </c>
      <c r="E128" s="228">
        <f>SUM(E120:E127)</f>
        <v>128356554.95999998</v>
      </c>
      <c r="F128" s="176">
        <f>(+D128-E128)/E128</f>
        <v>-8.5314900383640854E-3</v>
      </c>
      <c r="G128" s="245">
        <f>D128/C128</f>
        <v>9.1162520105001837E-2</v>
      </c>
      <c r="H128" s="246">
        <f>1-G128</f>
        <v>0.90883747989499819</v>
      </c>
      <c r="I128" s="157"/>
    </row>
    <row r="129" spans="1:9" ht="15.75" thickTop="1" x14ac:dyDescent="0.2">
      <c r="A129" s="167"/>
      <c r="B129" s="168"/>
      <c r="C129" s="226"/>
      <c r="D129" s="226"/>
      <c r="E129" s="226"/>
      <c r="F129" s="166"/>
      <c r="G129" s="241"/>
      <c r="H129" s="242"/>
      <c r="I129" s="157"/>
    </row>
    <row r="130" spans="1:9" ht="15.75" x14ac:dyDescent="0.25">
      <c r="A130" s="164" t="s">
        <v>64</v>
      </c>
      <c r="B130" s="165">
        <f>DATE(19,7,1)</f>
        <v>7122</v>
      </c>
      <c r="C130" s="226">
        <v>30055377.399999999</v>
      </c>
      <c r="D130" s="226">
        <v>3293709.88</v>
      </c>
      <c r="E130" s="226">
        <v>3425449</v>
      </c>
      <c r="F130" s="166">
        <f t="shared" ref="F130:F136" si="36">(+D130-E130)/E130</f>
        <v>-3.8458934872479526E-2</v>
      </c>
      <c r="G130" s="241">
        <f t="shared" ref="G130:G136" si="37">D130/C130</f>
        <v>0.10958803931039642</v>
      </c>
      <c r="H130" s="242">
        <f t="shared" ref="H130:H136" si="38">1-G130</f>
        <v>0.8904119606896036</v>
      </c>
      <c r="I130" s="157"/>
    </row>
    <row r="131" spans="1:9" ht="15.75" x14ac:dyDescent="0.25">
      <c r="A131" s="164"/>
      <c r="B131" s="165">
        <f>DATE(19,8,1)</f>
        <v>7153</v>
      </c>
      <c r="C131" s="226">
        <v>32273780.59</v>
      </c>
      <c r="D131" s="226">
        <v>3283356.99</v>
      </c>
      <c r="E131" s="226">
        <v>3421840.59</v>
      </c>
      <c r="F131" s="166">
        <f t="shared" si="36"/>
        <v>-4.0470500117598882E-2</v>
      </c>
      <c r="G131" s="241">
        <f t="shared" si="37"/>
        <v>0.1017345018146819</v>
      </c>
      <c r="H131" s="242">
        <f t="shared" si="38"/>
        <v>0.89826549818531809</v>
      </c>
      <c r="I131" s="157"/>
    </row>
    <row r="132" spans="1:9" ht="15.75" x14ac:dyDescent="0.25">
      <c r="A132" s="164"/>
      <c r="B132" s="165">
        <f>DATE(19,9,1)</f>
        <v>7184</v>
      </c>
      <c r="C132" s="226">
        <v>27948254.77</v>
      </c>
      <c r="D132" s="226">
        <v>3164787.25</v>
      </c>
      <c r="E132" s="226">
        <v>3252949</v>
      </c>
      <c r="F132" s="166">
        <f t="shared" si="36"/>
        <v>-2.7102100278854666E-2</v>
      </c>
      <c r="G132" s="241">
        <f t="shared" si="37"/>
        <v>0.11323738373091981</v>
      </c>
      <c r="H132" s="242">
        <f t="shared" si="38"/>
        <v>0.88676261626908015</v>
      </c>
      <c r="I132" s="157"/>
    </row>
    <row r="133" spans="1:9" ht="15.75" x14ac:dyDescent="0.25">
      <c r="A133" s="164"/>
      <c r="B133" s="165">
        <f>DATE(19,10,1)</f>
        <v>7214</v>
      </c>
      <c r="C133" s="226">
        <v>28019367.18</v>
      </c>
      <c r="D133" s="226">
        <v>3114034.79</v>
      </c>
      <c r="E133" s="226">
        <v>3250399.43</v>
      </c>
      <c r="F133" s="166">
        <f t="shared" si="36"/>
        <v>-4.1953194657064076E-2</v>
      </c>
      <c r="G133" s="241">
        <f t="shared" si="37"/>
        <v>0.11113865527351285</v>
      </c>
      <c r="H133" s="242">
        <f t="shared" si="38"/>
        <v>0.88886134472648715</v>
      </c>
      <c r="I133" s="157"/>
    </row>
    <row r="134" spans="1:9" ht="15.75" x14ac:dyDescent="0.25">
      <c r="A134" s="164"/>
      <c r="B134" s="165">
        <f>DATE(19,11,1)</f>
        <v>7245</v>
      </c>
      <c r="C134" s="226">
        <v>29444428.43</v>
      </c>
      <c r="D134" s="226">
        <v>3192066.7</v>
      </c>
      <c r="E134" s="226">
        <v>3195617.35</v>
      </c>
      <c r="F134" s="166">
        <f t="shared" si="36"/>
        <v>-1.1110998630671181E-3</v>
      </c>
      <c r="G134" s="241">
        <f t="shared" si="37"/>
        <v>0.10840987141552744</v>
      </c>
      <c r="H134" s="242">
        <f t="shared" si="38"/>
        <v>0.89159012858447251</v>
      </c>
      <c r="I134" s="157"/>
    </row>
    <row r="135" spans="1:9" ht="15.75" x14ac:dyDescent="0.25">
      <c r="A135" s="164"/>
      <c r="B135" s="165">
        <f>DATE(19,12,1)</f>
        <v>7275</v>
      </c>
      <c r="C135" s="226">
        <v>30319604.32</v>
      </c>
      <c r="D135" s="226">
        <v>3336598.49</v>
      </c>
      <c r="E135" s="226">
        <v>3572083.96</v>
      </c>
      <c r="F135" s="166">
        <f t="shared" si="36"/>
        <v>-6.5923833996331865E-2</v>
      </c>
      <c r="G135" s="241">
        <f t="shared" si="37"/>
        <v>0.11004756047555175</v>
      </c>
      <c r="H135" s="242">
        <f t="shared" si="38"/>
        <v>0.88995243952444825</v>
      </c>
      <c r="I135" s="157"/>
    </row>
    <row r="136" spans="1:9" ht="15.75" x14ac:dyDescent="0.25">
      <c r="A136" s="164"/>
      <c r="B136" s="165">
        <f>DATE(20,1,1)</f>
        <v>7306</v>
      </c>
      <c r="C136" s="226">
        <v>28034607.52</v>
      </c>
      <c r="D136" s="226">
        <v>3179496.92</v>
      </c>
      <c r="E136" s="226">
        <v>3109821.23</v>
      </c>
      <c r="F136" s="166">
        <f t="shared" si="36"/>
        <v>2.2405046736400324E-2</v>
      </c>
      <c r="G136" s="241">
        <f t="shared" si="37"/>
        <v>0.11341328455309155</v>
      </c>
      <c r="H136" s="242">
        <f t="shared" si="38"/>
        <v>0.88658671544690848</v>
      </c>
      <c r="I136" s="157"/>
    </row>
    <row r="137" spans="1:9" ht="15.75" thickBot="1" x14ac:dyDescent="0.25">
      <c r="A137" s="167"/>
      <c r="B137" s="168"/>
      <c r="C137" s="226"/>
      <c r="D137" s="226"/>
      <c r="E137" s="226"/>
      <c r="F137" s="166"/>
      <c r="G137" s="241"/>
      <c r="H137" s="242"/>
      <c r="I137" s="157"/>
    </row>
    <row r="138" spans="1:9" ht="17.25" thickTop="1" thickBot="1" x14ac:dyDescent="0.3">
      <c r="A138" s="169" t="s">
        <v>14</v>
      </c>
      <c r="B138" s="155"/>
      <c r="C138" s="223">
        <f>SUM(C130:C137)</f>
        <v>206095420.21000001</v>
      </c>
      <c r="D138" s="223">
        <f>SUM(D130:D137)</f>
        <v>22564051.020000003</v>
      </c>
      <c r="E138" s="223">
        <f>SUM(E130:E137)</f>
        <v>23228160.559999999</v>
      </c>
      <c r="F138" s="176">
        <f>(+D138-E138)/E138</f>
        <v>-2.8590707313416099E-2</v>
      </c>
      <c r="G138" s="245">
        <f>D138/C138</f>
        <v>0.10948351495151355</v>
      </c>
      <c r="H138" s="246">
        <f>1-G138</f>
        <v>0.89051648504848646</v>
      </c>
      <c r="I138" s="157"/>
    </row>
    <row r="139" spans="1:9" ht="16.5" thickTop="1" thickBot="1" x14ac:dyDescent="0.25">
      <c r="A139" s="171"/>
      <c r="B139" s="172"/>
      <c r="C139" s="227"/>
      <c r="D139" s="227"/>
      <c r="E139" s="227"/>
      <c r="F139" s="173"/>
      <c r="G139" s="243"/>
      <c r="H139" s="244"/>
      <c r="I139" s="157"/>
    </row>
    <row r="140" spans="1:9" ht="17.25" thickTop="1" thickBot="1" x14ac:dyDescent="0.3">
      <c r="A140" s="184" t="s">
        <v>41</v>
      </c>
      <c r="B140" s="155"/>
      <c r="C140" s="223">
        <f>C138+C128+C98+C78+C58+C38+C18+C48+C118+C28+C88+C108+C68</f>
        <v>8839112366.4899998</v>
      </c>
      <c r="D140" s="223">
        <f>D138+D128+D98+D78+D58+D38+D18+D48+D118+D28+D88+D108+D68</f>
        <v>857395183.60000002</v>
      </c>
      <c r="E140" s="223">
        <f>E138+E128+E98+E78+E58+E38+E18+E48+E118+E28+E88+E108+E68</f>
        <v>849108722.70000005</v>
      </c>
      <c r="F140" s="170">
        <f>(+D140-E140)/E140</f>
        <v>9.7590104523371836E-3</v>
      </c>
      <c r="G140" s="236">
        <f>D140/C140</f>
        <v>9.7000145269164686E-2</v>
      </c>
      <c r="H140" s="237">
        <f>1-G140</f>
        <v>0.90299985473083533</v>
      </c>
      <c r="I140" s="157"/>
    </row>
    <row r="141" spans="1:9" ht="17.25" thickTop="1" thickBot="1" x14ac:dyDescent="0.3">
      <c r="A141" s="184"/>
      <c r="B141" s="155"/>
      <c r="C141" s="223"/>
      <c r="D141" s="223"/>
      <c r="E141" s="223"/>
      <c r="F141" s="170"/>
      <c r="G141" s="236"/>
      <c r="H141" s="237"/>
      <c r="I141" s="157"/>
    </row>
    <row r="142" spans="1:9" ht="17.25" thickTop="1" thickBot="1" x14ac:dyDescent="0.3">
      <c r="A142" s="184" t="s">
        <v>42</v>
      </c>
      <c r="B142" s="155"/>
      <c r="C142" s="223">
        <f>SUM(C16+C26+C36+C46+C56+C66+C76+C86+C96+C106+C116+C126+C136)</f>
        <v>1208923013.0900002</v>
      </c>
      <c r="D142" s="223">
        <f>SUM(D16+D26+D36+D46+D56+D66+D76+D86+D96+D106+D116+D126+D136)</f>
        <v>116212866.05</v>
      </c>
      <c r="E142" s="223">
        <f>SUM(E16+E26+E36+E46+E56+E66+E76+E86+E96+E106+E116+E126+E136)</f>
        <v>106013980.69000001</v>
      </c>
      <c r="F142" s="170">
        <f>(+D142-E142)/E142</f>
        <v>9.6203211063482078E-2</v>
      </c>
      <c r="G142" s="236">
        <f>D142/C142</f>
        <v>9.6129252890108027E-2</v>
      </c>
      <c r="H142" s="246">
        <f>1-G142</f>
        <v>0.90387074710989201</v>
      </c>
      <c r="I142" s="157"/>
    </row>
    <row r="143" spans="1:9" ht="16.5" thickTop="1" x14ac:dyDescent="0.25">
      <c r="A143" s="185"/>
      <c r="B143" s="186"/>
      <c r="C143" s="231"/>
      <c r="D143" s="231"/>
      <c r="E143" s="231"/>
      <c r="F143" s="187"/>
      <c r="G143" s="250"/>
      <c r="H143" s="250"/>
      <c r="I143" s="151"/>
    </row>
    <row r="144" spans="1:9" ht="16.5" customHeight="1" x14ac:dyDescent="0.3">
      <c r="A144" s="188" t="s">
        <v>52</v>
      </c>
      <c r="B144" s="189"/>
      <c r="C144" s="232"/>
      <c r="D144" s="232"/>
      <c r="E144" s="232"/>
      <c r="F144" s="190"/>
      <c r="G144" s="251"/>
      <c r="H144" s="251"/>
      <c r="I144" s="151"/>
    </row>
    <row r="145" spans="1:9" ht="15.75" x14ac:dyDescent="0.25">
      <c r="A145" s="191"/>
      <c r="B145" s="189"/>
      <c r="C145" s="232"/>
      <c r="D145" s="232"/>
      <c r="E145" s="232"/>
      <c r="F145" s="190"/>
      <c r="G145" s="257"/>
      <c r="H145" s="257"/>
      <c r="I145" s="151"/>
    </row>
    <row r="146" spans="1:9" ht="15.75" x14ac:dyDescent="0.25">
      <c r="A146" s="72"/>
      <c r="I146" s="151"/>
    </row>
  </sheetData>
  <phoneticPr fontId="0" type="noConversion"/>
  <printOptions horizontalCentered="1"/>
  <pageMargins left="0.75" right="0.25" top="0.31940000000000002" bottom="0.2" header="0.5" footer="0.5"/>
  <pageSetup scale="63" orientation="landscape" r:id="rId1"/>
  <headerFooter alignWithMargins="0"/>
  <rowBreaks count="3" manualBreakCount="3">
    <brk id="48" max="8" man="1"/>
    <brk id="88" max="8" man="1"/>
    <brk id="12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MONTHLY STATS</vt:lpstr>
      <vt:lpstr>YTD TAXES</vt:lpstr>
      <vt:lpstr>TABLE STATS</vt:lpstr>
      <vt:lpstr>SLOT STATS</vt:lpstr>
      <vt:lpstr>'MONTHLY STATS'!Print_Area</vt:lpstr>
      <vt:lpstr>'SLOT STATS'!Print_Area</vt:lpstr>
      <vt:lpstr>'TABLE STATS'!Print_Area</vt:lpstr>
      <vt:lpstr>'MONTHLY STATS'!Print_Titles</vt:lpstr>
      <vt:lpstr>'SLOT STATS'!Print_Titles</vt:lpstr>
      <vt:lpstr>'TABLE STATS'!Print_Titles</vt:lpstr>
    </vt:vector>
  </TitlesOfParts>
  <Company>MGC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Bruns</dc:creator>
  <cp:lastModifiedBy>webteam-prod</cp:lastModifiedBy>
  <cp:lastPrinted>2020-02-06T15:25:59Z</cp:lastPrinted>
  <dcterms:created xsi:type="dcterms:W3CDTF">2003-09-09T14:41:43Z</dcterms:created>
  <dcterms:modified xsi:type="dcterms:W3CDTF">2020-02-07T15:06:00Z</dcterms:modified>
</cp:coreProperties>
</file>