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90" yWindow="150" windowWidth="7530" windowHeight="405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STATS'!$A$1:$M$130</definedName>
    <definedName name="_xlnm.Print_Area" localSheetId="3">'SLOT STATS'!$A$1:$I$131</definedName>
    <definedName name="_xlnm.Print_Area" localSheetId="2">'TABLE STATS'!$A$1:$H$130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Id="162913" fullCalcOnLoad="1"/>
</workbook>
</file>

<file path=xl/calcChain.xml><?xml version="1.0" encoding="utf-8"?>
<calcChain xmlns="http://schemas.openxmlformats.org/spreadsheetml/2006/main">
  <c r="E129" i="4" l="1"/>
  <c r="D129" i="4"/>
  <c r="C129" i="4"/>
  <c r="F123" i="4"/>
  <c r="G123" i="4"/>
  <c r="H123" i="4"/>
  <c r="F114" i="4"/>
  <c r="G114" i="4"/>
  <c r="H114" i="4"/>
  <c r="F105" i="4"/>
  <c r="G105" i="4"/>
  <c r="H105" i="4"/>
  <c r="F96" i="4"/>
  <c r="G96" i="4"/>
  <c r="H96" i="4"/>
  <c r="F87" i="4"/>
  <c r="G87" i="4"/>
  <c r="H87" i="4"/>
  <c r="F78" i="4"/>
  <c r="G78" i="4"/>
  <c r="H78" i="4"/>
  <c r="F69" i="4"/>
  <c r="G69" i="4"/>
  <c r="H69" i="4"/>
  <c r="F60" i="4"/>
  <c r="G60" i="4"/>
  <c r="H60" i="4"/>
  <c r="F51" i="4"/>
  <c r="G51" i="4"/>
  <c r="H51" i="4"/>
  <c r="F42" i="4"/>
  <c r="G42" i="4"/>
  <c r="H42" i="4"/>
  <c r="F33" i="4"/>
  <c r="G33" i="4"/>
  <c r="H33" i="4"/>
  <c r="F24" i="4"/>
  <c r="G24" i="4"/>
  <c r="H24" i="4"/>
  <c r="F15" i="4"/>
  <c r="G15" i="4"/>
  <c r="H15" i="4"/>
  <c r="B123" i="4"/>
  <c r="B114" i="4"/>
  <c r="B105" i="4"/>
  <c r="B96" i="4"/>
  <c r="B87" i="4"/>
  <c r="B78" i="4"/>
  <c r="B69" i="4"/>
  <c r="B60" i="4"/>
  <c r="B51" i="4"/>
  <c r="B42" i="4"/>
  <c r="B33" i="4"/>
  <c r="B24" i="4"/>
  <c r="B15" i="4"/>
  <c r="E128" i="3"/>
  <c r="D128" i="3"/>
  <c r="F128" i="3"/>
  <c r="C128" i="3"/>
  <c r="F122" i="3"/>
  <c r="G122" i="3"/>
  <c r="F113" i="3"/>
  <c r="G113" i="3"/>
  <c r="F104" i="3"/>
  <c r="G104" i="3"/>
  <c r="F95" i="3"/>
  <c r="G95" i="3"/>
  <c r="F86" i="3"/>
  <c r="G86" i="3"/>
  <c r="F77" i="3"/>
  <c r="G77" i="3"/>
  <c r="F68" i="3"/>
  <c r="G68" i="3"/>
  <c r="F59" i="3"/>
  <c r="G59" i="3"/>
  <c r="F50" i="3"/>
  <c r="G50" i="3"/>
  <c r="F41" i="3"/>
  <c r="G41" i="3"/>
  <c r="F32" i="3"/>
  <c r="G32" i="3"/>
  <c r="F23" i="3"/>
  <c r="G23" i="3"/>
  <c r="F14" i="3"/>
  <c r="G14" i="3"/>
  <c r="B122" i="3"/>
  <c r="B113" i="3"/>
  <c r="B104" i="3"/>
  <c r="B95" i="3"/>
  <c r="B86" i="3"/>
  <c r="B77" i="3"/>
  <c r="B68" i="3"/>
  <c r="B59" i="3"/>
  <c r="B50" i="3"/>
  <c r="B41" i="3"/>
  <c r="B32" i="3"/>
  <c r="B23" i="3"/>
  <c r="B14" i="3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O15" i="2"/>
  <c r="A36" i="2"/>
  <c r="A15" i="2"/>
  <c r="F58" i="1"/>
  <c r="F94" i="1"/>
  <c r="F92" i="1"/>
  <c r="L128" i="1"/>
  <c r="K128" i="1"/>
  <c r="F128" i="1"/>
  <c r="D128" i="1"/>
  <c r="C128" i="1"/>
  <c r="H122" i="1"/>
  <c r="M122" i="1"/>
  <c r="I122" i="1"/>
  <c r="J122" i="1"/>
  <c r="G122" i="1"/>
  <c r="F122" i="1"/>
  <c r="E122" i="1"/>
  <c r="H113" i="1"/>
  <c r="M113" i="1"/>
  <c r="I113" i="1"/>
  <c r="J113" i="1"/>
  <c r="G113" i="1"/>
  <c r="F113" i="1"/>
  <c r="E113" i="1"/>
  <c r="H104" i="1"/>
  <c r="M104" i="1"/>
  <c r="I104" i="1"/>
  <c r="J104" i="1"/>
  <c r="G104" i="1"/>
  <c r="F104" i="1"/>
  <c r="E104" i="1"/>
  <c r="H95" i="1"/>
  <c r="M95" i="1"/>
  <c r="I95" i="1"/>
  <c r="J95" i="1"/>
  <c r="G95" i="1"/>
  <c r="F95" i="1"/>
  <c r="E95" i="1"/>
  <c r="H86" i="1"/>
  <c r="M86" i="1"/>
  <c r="I86" i="1"/>
  <c r="J86" i="1"/>
  <c r="G86" i="1"/>
  <c r="F86" i="1"/>
  <c r="E86" i="1"/>
  <c r="H77" i="1"/>
  <c r="M77" i="1"/>
  <c r="I77" i="1"/>
  <c r="J77" i="1"/>
  <c r="G77" i="1"/>
  <c r="F77" i="1"/>
  <c r="E77" i="1"/>
  <c r="H68" i="1"/>
  <c r="M68" i="1"/>
  <c r="I68" i="1"/>
  <c r="J68" i="1"/>
  <c r="G68" i="1"/>
  <c r="F68" i="1"/>
  <c r="E68" i="1"/>
  <c r="H59" i="1"/>
  <c r="M59" i="1"/>
  <c r="I59" i="1"/>
  <c r="J59" i="1"/>
  <c r="G59" i="1"/>
  <c r="F59" i="1"/>
  <c r="E59" i="1"/>
  <c r="M50" i="1"/>
  <c r="I50" i="1"/>
  <c r="J50" i="1"/>
  <c r="G50" i="1"/>
  <c r="G128" i="1"/>
  <c r="F50" i="1"/>
  <c r="E50" i="1"/>
  <c r="H41" i="1"/>
  <c r="M41" i="1"/>
  <c r="I41" i="1"/>
  <c r="J41" i="1"/>
  <c r="G41" i="1"/>
  <c r="F41" i="1"/>
  <c r="E41" i="1"/>
  <c r="H32" i="1"/>
  <c r="M32" i="1"/>
  <c r="I32" i="1"/>
  <c r="J32" i="1"/>
  <c r="G32" i="1"/>
  <c r="F32" i="1"/>
  <c r="E32" i="1"/>
  <c r="H23" i="1"/>
  <c r="M23" i="1"/>
  <c r="I23" i="1"/>
  <c r="J23" i="1"/>
  <c r="G23" i="1"/>
  <c r="F23" i="1"/>
  <c r="E23" i="1"/>
  <c r="H14" i="1"/>
  <c r="M14" i="1"/>
  <c r="I14" i="1"/>
  <c r="J14" i="1"/>
  <c r="G14" i="1"/>
  <c r="F14" i="1"/>
  <c r="E14" i="1"/>
  <c r="B122" i="1"/>
  <c r="B113" i="1"/>
  <c r="B104" i="1"/>
  <c r="B95" i="1"/>
  <c r="B86" i="1"/>
  <c r="B77" i="1"/>
  <c r="B68" i="1"/>
  <c r="B59" i="1"/>
  <c r="B50" i="1"/>
  <c r="B41" i="1"/>
  <c r="B32" i="1"/>
  <c r="B23" i="1"/>
  <c r="B14" i="1"/>
  <c r="F13" i="1"/>
  <c r="F122" i="4"/>
  <c r="G122" i="4"/>
  <c r="H122" i="4"/>
  <c r="F113" i="4"/>
  <c r="G113" i="4"/>
  <c r="H113" i="4"/>
  <c r="F104" i="4"/>
  <c r="G104" i="4"/>
  <c r="H104" i="4"/>
  <c r="F95" i="4"/>
  <c r="G95" i="4"/>
  <c r="H95" i="4"/>
  <c r="F86" i="4"/>
  <c r="G86" i="4"/>
  <c r="H86" i="4"/>
  <c r="F77" i="4"/>
  <c r="G77" i="4"/>
  <c r="H77" i="4"/>
  <c r="F68" i="4"/>
  <c r="G68" i="4"/>
  <c r="H68" i="4"/>
  <c r="F59" i="4"/>
  <c r="G59" i="4"/>
  <c r="H59" i="4"/>
  <c r="F50" i="4"/>
  <c r="G50" i="4"/>
  <c r="H50" i="4"/>
  <c r="F41" i="4"/>
  <c r="G41" i="4"/>
  <c r="H41" i="4"/>
  <c r="F32" i="4"/>
  <c r="G32" i="4"/>
  <c r="H32" i="4"/>
  <c r="F23" i="4"/>
  <c r="G23" i="4"/>
  <c r="H23" i="4"/>
  <c r="F14" i="4"/>
  <c r="G14" i="4"/>
  <c r="H14" i="4"/>
  <c r="B122" i="4"/>
  <c r="B113" i="4"/>
  <c r="B104" i="4"/>
  <c r="B95" i="4"/>
  <c r="B86" i="4"/>
  <c r="B77" i="4"/>
  <c r="B68" i="4"/>
  <c r="B59" i="4"/>
  <c r="B50" i="4"/>
  <c r="B41" i="4"/>
  <c r="B32" i="4"/>
  <c r="B23" i="4"/>
  <c r="B14" i="4"/>
  <c r="F121" i="3"/>
  <c r="G121" i="3"/>
  <c r="F112" i="3"/>
  <c r="G112" i="3"/>
  <c r="F103" i="3"/>
  <c r="G103" i="3"/>
  <c r="F94" i="3"/>
  <c r="G94" i="3"/>
  <c r="F85" i="3"/>
  <c r="G85" i="3"/>
  <c r="F76" i="3"/>
  <c r="G76" i="3"/>
  <c r="F67" i="3"/>
  <c r="G67" i="3"/>
  <c r="F58" i="3"/>
  <c r="G58" i="3"/>
  <c r="F49" i="3"/>
  <c r="G49" i="3"/>
  <c r="F40" i="3"/>
  <c r="G40" i="3"/>
  <c r="F31" i="3"/>
  <c r="G31" i="3"/>
  <c r="F22" i="3"/>
  <c r="G22" i="3"/>
  <c r="F13" i="3"/>
  <c r="G13" i="3"/>
  <c r="B121" i="3"/>
  <c r="B112" i="3"/>
  <c r="B103" i="3"/>
  <c r="B94" i="3"/>
  <c r="B85" i="3"/>
  <c r="B76" i="3"/>
  <c r="B67" i="3"/>
  <c r="B58" i="3"/>
  <c r="B49" i="3"/>
  <c r="B40" i="3"/>
  <c r="B31" i="3"/>
  <c r="B22" i="3"/>
  <c r="B13" i="3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N14" i="2"/>
  <c r="M14" i="2"/>
  <c r="L14" i="2"/>
  <c r="K14" i="2"/>
  <c r="J14" i="2"/>
  <c r="I14" i="2"/>
  <c r="H14" i="2"/>
  <c r="G14" i="2"/>
  <c r="G23" i="2"/>
  <c r="F14" i="2"/>
  <c r="E14" i="2"/>
  <c r="D14" i="2"/>
  <c r="C14" i="2"/>
  <c r="A35" i="2"/>
  <c r="A14" i="2"/>
  <c r="F57" i="1"/>
  <c r="F93" i="1"/>
  <c r="F110" i="1"/>
  <c r="H121" i="1"/>
  <c r="M121" i="1"/>
  <c r="I121" i="1"/>
  <c r="J121" i="1"/>
  <c r="G121" i="1"/>
  <c r="F121" i="1"/>
  <c r="E121" i="1"/>
  <c r="H112" i="1"/>
  <c r="M112" i="1"/>
  <c r="I112" i="1"/>
  <c r="J112" i="1"/>
  <c r="G112" i="1"/>
  <c r="F112" i="1"/>
  <c r="E112" i="1"/>
  <c r="H103" i="1"/>
  <c r="M103" i="1"/>
  <c r="I103" i="1"/>
  <c r="J103" i="1"/>
  <c r="G103" i="1"/>
  <c r="F103" i="1"/>
  <c r="E103" i="1"/>
  <c r="M94" i="1"/>
  <c r="I94" i="1"/>
  <c r="G94" i="1"/>
  <c r="J94" i="1"/>
  <c r="E94" i="1"/>
  <c r="H85" i="1"/>
  <c r="M85" i="1"/>
  <c r="I85" i="1"/>
  <c r="J85" i="1"/>
  <c r="G85" i="1"/>
  <c r="F85" i="1"/>
  <c r="E85" i="1"/>
  <c r="M76" i="1"/>
  <c r="I76" i="1"/>
  <c r="J76" i="1"/>
  <c r="G76" i="1"/>
  <c r="H76" i="1"/>
  <c r="F76" i="1"/>
  <c r="E76" i="1"/>
  <c r="H67" i="1"/>
  <c r="M67" i="1"/>
  <c r="I67" i="1"/>
  <c r="J67" i="1"/>
  <c r="G67" i="1"/>
  <c r="F67" i="1"/>
  <c r="E67" i="1"/>
  <c r="M58" i="1"/>
  <c r="I58" i="1"/>
  <c r="J58" i="1"/>
  <c r="G58" i="1"/>
  <c r="H58" i="1"/>
  <c r="E58" i="1"/>
  <c r="H49" i="1"/>
  <c r="M49" i="1"/>
  <c r="I49" i="1"/>
  <c r="J49" i="1"/>
  <c r="G49" i="1"/>
  <c r="F49" i="1"/>
  <c r="E49" i="1"/>
  <c r="H40" i="1"/>
  <c r="M40" i="1"/>
  <c r="I40" i="1"/>
  <c r="J40" i="1"/>
  <c r="G40" i="1"/>
  <c r="F40" i="1"/>
  <c r="E40" i="1"/>
  <c r="H31" i="1"/>
  <c r="M31" i="1"/>
  <c r="I31" i="1"/>
  <c r="J31" i="1"/>
  <c r="G31" i="1"/>
  <c r="F31" i="1"/>
  <c r="E31" i="1"/>
  <c r="H22" i="1"/>
  <c r="M22" i="1"/>
  <c r="I22" i="1"/>
  <c r="J22" i="1"/>
  <c r="G22" i="1"/>
  <c r="F22" i="1"/>
  <c r="E22" i="1"/>
  <c r="M13" i="1"/>
  <c r="G13" i="1"/>
  <c r="B121" i="1"/>
  <c r="B112" i="1"/>
  <c r="B111" i="1"/>
  <c r="B103" i="1"/>
  <c r="B94" i="1"/>
  <c r="B85" i="1"/>
  <c r="B76" i="1"/>
  <c r="B67" i="1"/>
  <c r="B58" i="1"/>
  <c r="B49" i="1"/>
  <c r="B40" i="1"/>
  <c r="B31" i="1"/>
  <c r="B22" i="1"/>
  <c r="B13" i="1"/>
  <c r="F121" i="4"/>
  <c r="G121" i="4"/>
  <c r="H121" i="4"/>
  <c r="F112" i="4"/>
  <c r="G112" i="4"/>
  <c r="H112" i="4"/>
  <c r="F103" i="4"/>
  <c r="G103" i="4"/>
  <c r="H103" i="4"/>
  <c r="F94" i="4"/>
  <c r="G94" i="4"/>
  <c r="H94" i="4"/>
  <c r="F85" i="4"/>
  <c r="G85" i="4"/>
  <c r="H85" i="4"/>
  <c r="F76" i="4"/>
  <c r="G76" i="4"/>
  <c r="H76" i="4"/>
  <c r="F67" i="4"/>
  <c r="G67" i="4"/>
  <c r="H67" i="4"/>
  <c r="F58" i="4"/>
  <c r="G58" i="4"/>
  <c r="H58" i="4"/>
  <c r="F49" i="4"/>
  <c r="G49" i="4"/>
  <c r="H49" i="4"/>
  <c r="F40" i="4"/>
  <c r="G40" i="4"/>
  <c r="H40" i="4"/>
  <c r="F31" i="4"/>
  <c r="G31" i="4"/>
  <c r="H31" i="4"/>
  <c r="F22" i="4"/>
  <c r="G22" i="4"/>
  <c r="H22" i="4"/>
  <c r="G13" i="4"/>
  <c r="H13" i="4"/>
  <c r="F13" i="4"/>
  <c r="B121" i="4"/>
  <c r="B112" i="4"/>
  <c r="B103" i="4"/>
  <c r="B94" i="4"/>
  <c r="B85" i="4"/>
  <c r="B76" i="4"/>
  <c r="B67" i="4"/>
  <c r="B58" i="4"/>
  <c r="B49" i="4"/>
  <c r="B40" i="4"/>
  <c r="B31" i="4"/>
  <c r="B22" i="4"/>
  <c r="B13" i="4"/>
  <c r="F120" i="3"/>
  <c r="G120" i="3"/>
  <c r="F111" i="3"/>
  <c r="G111" i="3"/>
  <c r="F102" i="3"/>
  <c r="G102" i="3"/>
  <c r="F93" i="3"/>
  <c r="G93" i="3"/>
  <c r="F84" i="3"/>
  <c r="G84" i="3"/>
  <c r="F75" i="3"/>
  <c r="G75" i="3"/>
  <c r="F66" i="3"/>
  <c r="G66" i="3"/>
  <c r="F57" i="3"/>
  <c r="G57" i="3"/>
  <c r="F48" i="3"/>
  <c r="G48" i="3"/>
  <c r="F39" i="3"/>
  <c r="G39" i="3"/>
  <c r="F30" i="3"/>
  <c r="G30" i="3"/>
  <c r="F21" i="3"/>
  <c r="G21" i="3"/>
  <c r="G12" i="3"/>
  <c r="F12" i="3"/>
  <c r="B120" i="3"/>
  <c r="B111" i="3"/>
  <c r="B102" i="3"/>
  <c r="B93" i="3"/>
  <c r="B84" i="3"/>
  <c r="B75" i="3"/>
  <c r="B66" i="3"/>
  <c r="B57" i="3"/>
  <c r="B48" i="3"/>
  <c r="B39" i="3"/>
  <c r="B30" i="3"/>
  <c r="B21" i="3"/>
  <c r="B12" i="3"/>
  <c r="F27" i="1"/>
  <c r="F56" i="1"/>
  <c r="F74" i="1"/>
  <c r="F73" i="1"/>
  <c r="F72" i="1"/>
  <c r="J92" i="1"/>
  <c r="F91" i="1"/>
  <c r="F90" i="1"/>
  <c r="H90" i="1"/>
  <c r="F117" i="1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N13" i="2"/>
  <c r="M13" i="2"/>
  <c r="L13" i="2"/>
  <c r="K13" i="2"/>
  <c r="J13" i="2"/>
  <c r="I13" i="2"/>
  <c r="H13" i="2"/>
  <c r="G13" i="2"/>
  <c r="F13" i="2"/>
  <c r="E13" i="2"/>
  <c r="D13" i="2"/>
  <c r="O13" i="2"/>
  <c r="C13" i="2"/>
  <c r="B13" i="2"/>
  <c r="A13" i="2"/>
  <c r="H120" i="1"/>
  <c r="M120" i="1"/>
  <c r="I120" i="1"/>
  <c r="J120" i="1"/>
  <c r="G120" i="1"/>
  <c r="F120" i="1"/>
  <c r="E120" i="1"/>
  <c r="H111" i="1"/>
  <c r="M111" i="1"/>
  <c r="I111" i="1"/>
  <c r="J111" i="1"/>
  <c r="G111" i="1"/>
  <c r="F111" i="1"/>
  <c r="E111" i="1"/>
  <c r="H102" i="1"/>
  <c r="M102" i="1"/>
  <c r="I102" i="1"/>
  <c r="J102" i="1"/>
  <c r="G102" i="1"/>
  <c r="F102" i="1"/>
  <c r="E102" i="1"/>
  <c r="H93" i="1"/>
  <c r="M93" i="1"/>
  <c r="I93" i="1"/>
  <c r="G93" i="1"/>
  <c r="J93" i="1"/>
  <c r="E93" i="1"/>
  <c r="H84" i="1"/>
  <c r="M84" i="1"/>
  <c r="I84" i="1"/>
  <c r="J84" i="1"/>
  <c r="G84" i="1"/>
  <c r="F84" i="1"/>
  <c r="E84" i="1"/>
  <c r="H75" i="1"/>
  <c r="M75" i="1"/>
  <c r="I75" i="1"/>
  <c r="J75" i="1"/>
  <c r="G75" i="1"/>
  <c r="F75" i="1"/>
  <c r="E75" i="1"/>
  <c r="H66" i="1"/>
  <c r="M66" i="1"/>
  <c r="I66" i="1"/>
  <c r="J66" i="1"/>
  <c r="G66" i="1"/>
  <c r="F66" i="1"/>
  <c r="E66" i="1"/>
  <c r="M57" i="1"/>
  <c r="I57" i="1"/>
  <c r="G57" i="1"/>
  <c r="J57" i="1"/>
  <c r="E57" i="1"/>
  <c r="H48" i="1"/>
  <c r="M48" i="1"/>
  <c r="I48" i="1"/>
  <c r="J48" i="1"/>
  <c r="G48" i="1"/>
  <c r="F48" i="1"/>
  <c r="E48" i="1"/>
  <c r="H39" i="1"/>
  <c r="H30" i="1"/>
  <c r="M39" i="1"/>
  <c r="I39" i="1"/>
  <c r="J39" i="1"/>
  <c r="G39" i="1"/>
  <c r="F39" i="1"/>
  <c r="E39" i="1"/>
  <c r="M30" i="1"/>
  <c r="I30" i="1"/>
  <c r="J30" i="1"/>
  <c r="G30" i="1"/>
  <c r="F30" i="1"/>
  <c r="E30" i="1"/>
  <c r="H21" i="1"/>
  <c r="M21" i="1"/>
  <c r="I21" i="1"/>
  <c r="J21" i="1"/>
  <c r="G21" i="1"/>
  <c r="F21" i="1"/>
  <c r="E21" i="1"/>
  <c r="M12" i="1"/>
  <c r="J12" i="1"/>
  <c r="I12" i="1"/>
  <c r="H12" i="1"/>
  <c r="E12" i="1"/>
  <c r="G12" i="1"/>
  <c r="F12" i="1"/>
  <c r="B120" i="1"/>
  <c r="B102" i="1"/>
  <c r="B93" i="1"/>
  <c r="B84" i="1"/>
  <c r="B75" i="1"/>
  <c r="B66" i="1"/>
  <c r="B57" i="1"/>
  <c r="B48" i="1"/>
  <c r="B39" i="1"/>
  <c r="B30" i="1"/>
  <c r="B21" i="1"/>
  <c r="B12" i="1"/>
  <c r="G120" i="4"/>
  <c r="H120" i="4"/>
  <c r="F120" i="4"/>
  <c r="G111" i="4"/>
  <c r="H111" i="4"/>
  <c r="F111" i="4"/>
  <c r="G102" i="4"/>
  <c r="H102" i="4"/>
  <c r="F102" i="4"/>
  <c r="G93" i="4"/>
  <c r="H93" i="4"/>
  <c r="F93" i="4"/>
  <c r="G84" i="4"/>
  <c r="H84" i="4"/>
  <c r="F84" i="4"/>
  <c r="G75" i="4"/>
  <c r="H75" i="4"/>
  <c r="F75" i="4"/>
  <c r="G66" i="4"/>
  <c r="H66" i="4"/>
  <c r="F66" i="4"/>
  <c r="G57" i="4"/>
  <c r="H57" i="4"/>
  <c r="F57" i="4"/>
  <c r="G48" i="4"/>
  <c r="H48" i="4"/>
  <c r="F48" i="4"/>
  <c r="G39" i="4"/>
  <c r="H39" i="4"/>
  <c r="F39" i="4"/>
  <c r="G30" i="4"/>
  <c r="H30" i="4"/>
  <c r="F30" i="4"/>
  <c r="G21" i="4"/>
  <c r="H21" i="4"/>
  <c r="F21" i="4"/>
  <c r="G12" i="4"/>
  <c r="H12" i="4"/>
  <c r="F12" i="4"/>
  <c r="B120" i="4"/>
  <c r="B111" i="4"/>
  <c r="B102" i="4"/>
  <c r="B93" i="4"/>
  <c r="B84" i="4"/>
  <c r="B75" i="4"/>
  <c r="B66" i="4"/>
  <c r="B57" i="4"/>
  <c r="B48" i="4"/>
  <c r="B39" i="4"/>
  <c r="B30" i="4"/>
  <c r="B21" i="4"/>
  <c r="B12" i="4"/>
  <c r="G119" i="3"/>
  <c r="F119" i="3"/>
  <c r="G110" i="3"/>
  <c r="F110" i="3"/>
  <c r="G101" i="3"/>
  <c r="F101" i="3"/>
  <c r="G92" i="3"/>
  <c r="F92" i="3"/>
  <c r="G83" i="3"/>
  <c r="F83" i="3"/>
  <c r="G74" i="3"/>
  <c r="F74" i="3"/>
  <c r="G65" i="3"/>
  <c r="F65" i="3"/>
  <c r="G56" i="3"/>
  <c r="F56" i="3"/>
  <c r="G47" i="3"/>
  <c r="F47" i="3"/>
  <c r="G38" i="3"/>
  <c r="F38" i="3"/>
  <c r="G29" i="3"/>
  <c r="F29" i="3"/>
  <c r="G20" i="3"/>
  <c r="F20" i="3"/>
  <c r="G11" i="3"/>
  <c r="F11" i="3"/>
  <c r="B119" i="3"/>
  <c r="B110" i="3"/>
  <c r="B101" i="3"/>
  <c r="B92" i="3"/>
  <c r="B83" i="3"/>
  <c r="B74" i="3"/>
  <c r="B65" i="3"/>
  <c r="B56" i="3"/>
  <c r="B47" i="3"/>
  <c r="B38" i="3"/>
  <c r="B29" i="3"/>
  <c r="B20" i="3"/>
  <c r="B11" i="3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33" i="2"/>
  <c r="A12" i="2"/>
  <c r="F55" i="1"/>
  <c r="F54" i="1"/>
  <c r="J73" i="1"/>
  <c r="M119" i="1"/>
  <c r="J119" i="1"/>
  <c r="I119" i="1"/>
  <c r="H119" i="1"/>
  <c r="E119" i="1"/>
  <c r="G119" i="1"/>
  <c r="F119" i="1"/>
  <c r="M110" i="1"/>
  <c r="I110" i="1"/>
  <c r="H110" i="1"/>
  <c r="E110" i="1"/>
  <c r="G110" i="1"/>
  <c r="J110" i="1"/>
  <c r="M101" i="1"/>
  <c r="J101" i="1"/>
  <c r="I101" i="1"/>
  <c r="H101" i="1"/>
  <c r="E101" i="1"/>
  <c r="G101" i="1"/>
  <c r="F101" i="1"/>
  <c r="M92" i="1"/>
  <c r="I92" i="1"/>
  <c r="E92" i="1"/>
  <c r="G92" i="1"/>
  <c r="M83" i="1"/>
  <c r="J83" i="1"/>
  <c r="I83" i="1"/>
  <c r="H83" i="1"/>
  <c r="E83" i="1"/>
  <c r="G83" i="1"/>
  <c r="F83" i="1"/>
  <c r="M74" i="1"/>
  <c r="I74" i="1"/>
  <c r="H74" i="1"/>
  <c r="E74" i="1"/>
  <c r="G74" i="1"/>
  <c r="J74" i="1"/>
  <c r="M65" i="1"/>
  <c r="J65" i="1"/>
  <c r="I65" i="1"/>
  <c r="H65" i="1"/>
  <c r="E65" i="1"/>
  <c r="G65" i="1"/>
  <c r="F65" i="1"/>
  <c r="M56" i="1"/>
  <c r="I56" i="1"/>
  <c r="E56" i="1"/>
  <c r="G56" i="1"/>
  <c r="J56" i="1"/>
  <c r="M47" i="1"/>
  <c r="J47" i="1"/>
  <c r="I47" i="1"/>
  <c r="H47" i="1"/>
  <c r="E47" i="1"/>
  <c r="G47" i="1"/>
  <c r="F47" i="1"/>
  <c r="M38" i="1"/>
  <c r="J38" i="1"/>
  <c r="I38" i="1"/>
  <c r="H38" i="1"/>
  <c r="E38" i="1"/>
  <c r="G38" i="1"/>
  <c r="F38" i="1"/>
  <c r="M29" i="1"/>
  <c r="J29" i="1"/>
  <c r="I29" i="1"/>
  <c r="H29" i="1"/>
  <c r="E29" i="1"/>
  <c r="G29" i="1"/>
  <c r="F29" i="1"/>
  <c r="M20" i="1"/>
  <c r="J20" i="1"/>
  <c r="I20" i="1"/>
  <c r="H20" i="1"/>
  <c r="E20" i="1"/>
  <c r="G20" i="1"/>
  <c r="F20" i="1"/>
  <c r="M11" i="1"/>
  <c r="J11" i="1"/>
  <c r="I11" i="1"/>
  <c r="H11" i="1"/>
  <c r="E11" i="1"/>
  <c r="G11" i="1"/>
  <c r="F11" i="1"/>
  <c r="B119" i="1"/>
  <c r="B110" i="1"/>
  <c r="B101" i="1"/>
  <c r="B92" i="1"/>
  <c r="B83" i="1"/>
  <c r="B74" i="1"/>
  <c r="B65" i="1"/>
  <c r="B56" i="1"/>
  <c r="B47" i="1"/>
  <c r="B38" i="1"/>
  <c r="B29" i="1"/>
  <c r="B20" i="1"/>
  <c r="B11" i="1"/>
  <c r="G129" i="4"/>
  <c r="H129" i="4"/>
  <c r="G119" i="4"/>
  <c r="H119" i="4"/>
  <c r="F119" i="4"/>
  <c r="G110" i="4"/>
  <c r="H110" i="4"/>
  <c r="F110" i="4"/>
  <c r="G101" i="4"/>
  <c r="H101" i="4"/>
  <c r="F101" i="4"/>
  <c r="G92" i="4"/>
  <c r="H92" i="4"/>
  <c r="F92" i="4"/>
  <c r="G83" i="4"/>
  <c r="H83" i="4"/>
  <c r="F83" i="4"/>
  <c r="G74" i="4"/>
  <c r="H74" i="4"/>
  <c r="F74" i="4"/>
  <c r="G65" i="4"/>
  <c r="H65" i="4"/>
  <c r="F65" i="4"/>
  <c r="G56" i="4"/>
  <c r="H56" i="4"/>
  <c r="F56" i="4"/>
  <c r="G47" i="4"/>
  <c r="H47" i="4"/>
  <c r="F47" i="4"/>
  <c r="G38" i="4"/>
  <c r="H38" i="4"/>
  <c r="F38" i="4"/>
  <c r="G29" i="4"/>
  <c r="H29" i="4"/>
  <c r="F29" i="4"/>
  <c r="G20" i="4"/>
  <c r="H20" i="4"/>
  <c r="F20" i="4"/>
  <c r="G11" i="4"/>
  <c r="H11" i="4"/>
  <c r="F11" i="4"/>
  <c r="B119" i="4"/>
  <c r="B110" i="4"/>
  <c r="B101" i="4"/>
  <c r="B92" i="4"/>
  <c r="B83" i="4"/>
  <c r="B74" i="4"/>
  <c r="B65" i="4"/>
  <c r="B56" i="4"/>
  <c r="B47" i="4"/>
  <c r="B38" i="4"/>
  <c r="B29" i="4"/>
  <c r="B20" i="4"/>
  <c r="B11" i="4"/>
  <c r="G118" i="3"/>
  <c r="F118" i="3"/>
  <c r="G109" i="3"/>
  <c r="F109" i="3"/>
  <c r="G100" i="3"/>
  <c r="F100" i="3"/>
  <c r="G91" i="3"/>
  <c r="F91" i="3"/>
  <c r="G82" i="3"/>
  <c r="F82" i="3"/>
  <c r="G73" i="3"/>
  <c r="F73" i="3"/>
  <c r="G64" i="3"/>
  <c r="F64" i="3"/>
  <c r="G55" i="3"/>
  <c r="F55" i="3"/>
  <c r="G46" i="3"/>
  <c r="F46" i="3"/>
  <c r="G37" i="3"/>
  <c r="F37" i="3"/>
  <c r="G28" i="3"/>
  <c r="F28" i="3"/>
  <c r="G19" i="3"/>
  <c r="F19" i="3"/>
  <c r="G10" i="3"/>
  <c r="F10" i="3"/>
  <c r="B118" i="3"/>
  <c r="B109" i="3"/>
  <c r="B100" i="3"/>
  <c r="B91" i="3"/>
  <c r="B82" i="3"/>
  <c r="B73" i="3"/>
  <c r="B64" i="3"/>
  <c r="B55" i="3"/>
  <c r="B46" i="3"/>
  <c r="B37" i="3"/>
  <c r="B28" i="3"/>
  <c r="B19" i="3"/>
  <c r="B10" i="3"/>
  <c r="N32" i="2"/>
  <c r="M32" i="2"/>
  <c r="L32" i="2"/>
  <c r="K32" i="2"/>
  <c r="J32" i="2"/>
  <c r="I32" i="2"/>
  <c r="H32" i="2"/>
  <c r="G32" i="2"/>
  <c r="G44" i="2"/>
  <c r="F32" i="2"/>
  <c r="E32" i="2"/>
  <c r="D32" i="2"/>
  <c r="C32" i="2"/>
  <c r="B32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32" i="2"/>
  <c r="A11" i="2"/>
  <c r="M128" i="1"/>
  <c r="M118" i="1"/>
  <c r="J118" i="1"/>
  <c r="I118" i="1"/>
  <c r="H118" i="1"/>
  <c r="E118" i="1"/>
  <c r="G118" i="1"/>
  <c r="F118" i="1"/>
  <c r="M109" i="1"/>
  <c r="J109" i="1"/>
  <c r="I109" i="1"/>
  <c r="H109" i="1"/>
  <c r="E109" i="1"/>
  <c r="G109" i="1"/>
  <c r="F109" i="1"/>
  <c r="M100" i="1"/>
  <c r="J100" i="1"/>
  <c r="I100" i="1"/>
  <c r="H100" i="1"/>
  <c r="E100" i="1"/>
  <c r="G100" i="1"/>
  <c r="F100" i="1"/>
  <c r="M91" i="1"/>
  <c r="J91" i="1"/>
  <c r="I91" i="1"/>
  <c r="E91" i="1"/>
  <c r="G91" i="1"/>
  <c r="H91" i="1"/>
  <c r="M82" i="1"/>
  <c r="J82" i="1"/>
  <c r="I82" i="1"/>
  <c r="H82" i="1"/>
  <c r="E82" i="1"/>
  <c r="G82" i="1"/>
  <c r="F82" i="1"/>
  <c r="M73" i="1"/>
  <c r="I73" i="1"/>
  <c r="E73" i="1"/>
  <c r="G73" i="1"/>
  <c r="H73" i="1"/>
  <c r="M64" i="1"/>
  <c r="J64" i="1"/>
  <c r="I64" i="1"/>
  <c r="H64" i="1"/>
  <c r="E64" i="1"/>
  <c r="G64" i="1"/>
  <c r="F64" i="1"/>
  <c r="M55" i="1"/>
  <c r="I55" i="1"/>
  <c r="E55" i="1"/>
  <c r="G55" i="1"/>
  <c r="J55" i="1"/>
  <c r="M46" i="1"/>
  <c r="J46" i="1"/>
  <c r="I46" i="1"/>
  <c r="H46" i="1"/>
  <c r="E46" i="1"/>
  <c r="G46" i="1"/>
  <c r="F46" i="1"/>
  <c r="M37" i="1"/>
  <c r="J37" i="1"/>
  <c r="I37" i="1"/>
  <c r="H37" i="1"/>
  <c r="E37" i="1"/>
  <c r="G37" i="1"/>
  <c r="F37" i="1"/>
  <c r="M28" i="1"/>
  <c r="J28" i="1"/>
  <c r="I28" i="1"/>
  <c r="H28" i="1"/>
  <c r="E28" i="1"/>
  <c r="G28" i="1"/>
  <c r="F28" i="1"/>
  <c r="M19" i="1"/>
  <c r="J19" i="1"/>
  <c r="I19" i="1"/>
  <c r="H19" i="1"/>
  <c r="E19" i="1"/>
  <c r="G19" i="1"/>
  <c r="F19" i="1"/>
  <c r="M10" i="1"/>
  <c r="J10" i="1"/>
  <c r="I10" i="1"/>
  <c r="H10" i="1"/>
  <c r="E10" i="1"/>
  <c r="G10" i="1"/>
  <c r="F10" i="1"/>
  <c r="B118" i="1"/>
  <c r="B109" i="1"/>
  <c r="B100" i="1"/>
  <c r="B91" i="1"/>
  <c r="B82" i="1"/>
  <c r="B73" i="1"/>
  <c r="B64" i="1"/>
  <c r="B55" i="1"/>
  <c r="B46" i="1"/>
  <c r="B37" i="1"/>
  <c r="B28" i="1"/>
  <c r="B19" i="1"/>
  <c r="B10" i="1"/>
  <c r="B118" i="4"/>
  <c r="B109" i="4"/>
  <c r="B100" i="4"/>
  <c r="B91" i="4"/>
  <c r="B82" i="4"/>
  <c r="B73" i="4"/>
  <c r="B64" i="4"/>
  <c r="B55" i="4"/>
  <c r="B46" i="4"/>
  <c r="B37" i="4"/>
  <c r="B28" i="4"/>
  <c r="B19" i="4"/>
  <c r="B10" i="4"/>
  <c r="B117" i="3"/>
  <c r="B108" i="3"/>
  <c r="B99" i="3"/>
  <c r="B90" i="3"/>
  <c r="B81" i="3"/>
  <c r="B72" i="3"/>
  <c r="B63" i="3"/>
  <c r="B54" i="3"/>
  <c r="B45" i="3"/>
  <c r="B36" i="3"/>
  <c r="B27" i="3"/>
  <c r="B18" i="3"/>
  <c r="B9" i="3"/>
  <c r="A31" i="2"/>
  <c r="A10" i="2"/>
  <c r="G117" i="1"/>
  <c r="G108" i="1"/>
  <c r="F108" i="1"/>
  <c r="B108" i="1"/>
  <c r="G99" i="1"/>
  <c r="F99" i="1"/>
  <c r="G90" i="1"/>
  <c r="G81" i="1"/>
  <c r="F81" i="1"/>
  <c r="G72" i="1"/>
  <c r="H72" i="1"/>
  <c r="G63" i="1"/>
  <c r="F63" i="1"/>
  <c r="G54" i="1"/>
  <c r="G45" i="1"/>
  <c r="F45" i="1"/>
  <c r="G36" i="1"/>
  <c r="F36" i="1"/>
  <c r="G27" i="1"/>
  <c r="J27" i="1"/>
  <c r="G18" i="1"/>
  <c r="F18" i="1"/>
  <c r="G9" i="1"/>
  <c r="F9" i="1"/>
  <c r="B117" i="1"/>
  <c r="B99" i="1"/>
  <c r="B90" i="1"/>
  <c r="B81" i="1"/>
  <c r="B72" i="1"/>
  <c r="B63" i="1"/>
  <c r="B54" i="1"/>
  <c r="B45" i="1"/>
  <c r="B36" i="1"/>
  <c r="B27" i="1"/>
  <c r="B18" i="1"/>
  <c r="B9" i="1"/>
  <c r="J108" i="1"/>
  <c r="J117" i="1"/>
  <c r="J99" i="1"/>
  <c r="G70" i="1"/>
  <c r="J63" i="1"/>
  <c r="J54" i="1"/>
  <c r="J45" i="1"/>
  <c r="G25" i="1"/>
  <c r="J9" i="1"/>
  <c r="L43" i="1"/>
  <c r="F55" i="4"/>
  <c r="F54" i="3"/>
  <c r="M54" i="1"/>
  <c r="E54" i="1"/>
  <c r="F118" i="4"/>
  <c r="F117" i="3"/>
  <c r="G31" i="2"/>
  <c r="G10" i="2"/>
  <c r="M117" i="1"/>
  <c r="E117" i="1"/>
  <c r="E62" i="4"/>
  <c r="D62" i="4"/>
  <c r="G62" i="4"/>
  <c r="H62" i="4"/>
  <c r="C62" i="4"/>
  <c r="G55" i="4"/>
  <c r="H55" i="4"/>
  <c r="E61" i="3"/>
  <c r="D61" i="3"/>
  <c r="G61" i="3"/>
  <c r="C61" i="3"/>
  <c r="G54" i="3"/>
  <c r="L61" i="1"/>
  <c r="D61" i="1"/>
  <c r="C61" i="1"/>
  <c r="I54" i="1"/>
  <c r="G118" i="4"/>
  <c r="H118" i="4"/>
  <c r="G117" i="3"/>
  <c r="I117" i="1"/>
  <c r="D16" i="1"/>
  <c r="D25" i="1"/>
  <c r="D34" i="1"/>
  <c r="D43" i="1"/>
  <c r="D52" i="1"/>
  <c r="D70" i="1"/>
  <c r="D79" i="1"/>
  <c r="D88" i="1"/>
  <c r="E88" i="1"/>
  <c r="D97" i="1"/>
  <c r="D106" i="1"/>
  <c r="E106" i="1"/>
  <c r="D115" i="1"/>
  <c r="D124" i="1"/>
  <c r="C124" i="1"/>
  <c r="C125" i="4"/>
  <c r="D125" i="4"/>
  <c r="C124" i="3"/>
  <c r="D124" i="3"/>
  <c r="G124" i="3"/>
  <c r="E17" i="4"/>
  <c r="E26" i="4"/>
  <c r="E35" i="4"/>
  <c r="E44" i="4"/>
  <c r="E53" i="4"/>
  <c r="F53" i="4"/>
  <c r="E71" i="4"/>
  <c r="E80" i="4"/>
  <c r="F80" i="4"/>
  <c r="E89" i="4"/>
  <c r="F89" i="4"/>
  <c r="E98" i="4"/>
  <c r="F98" i="4"/>
  <c r="E107" i="4"/>
  <c r="E116" i="4"/>
  <c r="F116" i="4"/>
  <c r="E125" i="4"/>
  <c r="F125" i="4"/>
  <c r="D17" i="4"/>
  <c r="D26" i="4"/>
  <c r="D35" i="4"/>
  <c r="D44" i="4"/>
  <c r="D53" i="4"/>
  <c r="D71" i="4"/>
  <c r="D80" i="4"/>
  <c r="D89" i="4"/>
  <c r="D98" i="4"/>
  <c r="D107" i="4"/>
  <c r="D116" i="4"/>
  <c r="G116" i="4"/>
  <c r="H116" i="4"/>
  <c r="C17" i="4"/>
  <c r="C26" i="4"/>
  <c r="C35" i="4"/>
  <c r="C44" i="4"/>
  <c r="G44" i="4"/>
  <c r="H44" i="4"/>
  <c r="C53" i="4"/>
  <c r="C71" i="4"/>
  <c r="C80" i="4"/>
  <c r="G80" i="4"/>
  <c r="H80" i="4"/>
  <c r="C89" i="4"/>
  <c r="C98" i="4"/>
  <c r="C107" i="4"/>
  <c r="G107" i="4"/>
  <c r="H107" i="4"/>
  <c r="C116" i="4"/>
  <c r="F91" i="4"/>
  <c r="E16" i="3"/>
  <c r="E25" i="3"/>
  <c r="E34" i="3"/>
  <c r="E43" i="3"/>
  <c r="E52" i="3"/>
  <c r="E70" i="3"/>
  <c r="E79" i="3"/>
  <c r="E88" i="3"/>
  <c r="E97" i="3"/>
  <c r="E106" i="3"/>
  <c r="E115" i="3"/>
  <c r="E124" i="3"/>
  <c r="D16" i="3"/>
  <c r="D25" i="3"/>
  <c r="D34" i="3"/>
  <c r="D43" i="3"/>
  <c r="G43" i="3"/>
  <c r="D52" i="3"/>
  <c r="D70" i="3"/>
  <c r="F70" i="3"/>
  <c r="D79" i="3"/>
  <c r="D88" i="3"/>
  <c r="D97" i="3"/>
  <c r="D106" i="3"/>
  <c r="D115" i="3"/>
  <c r="C16" i="3"/>
  <c r="C25" i="3"/>
  <c r="G25" i="3"/>
  <c r="C34" i="3"/>
  <c r="C43" i="3"/>
  <c r="C52" i="3"/>
  <c r="C70" i="3"/>
  <c r="C79" i="3"/>
  <c r="C88" i="3"/>
  <c r="C97" i="3"/>
  <c r="C106" i="3"/>
  <c r="C115" i="3"/>
  <c r="F90" i="3"/>
  <c r="M90" i="1"/>
  <c r="E90" i="1"/>
  <c r="L16" i="1"/>
  <c r="L25" i="1"/>
  <c r="L34" i="1"/>
  <c r="L52" i="1"/>
  <c r="M52" i="1"/>
  <c r="L70" i="1"/>
  <c r="L79" i="1"/>
  <c r="L88" i="1"/>
  <c r="L97" i="1"/>
  <c r="L106" i="1"/>
  <c r="L115" i="1"/>
  <c r="K16" i="1"/>
  <c r="M16" i="1"/>
  <c r="K25" i="1"/>
  <c r="M25" i="1"/>
  <c r="C25" i="1"/>
  <c r="E25" i="1"/>
  <c r="C34" i="1"/>
  <c r="C43" i="1"/>
  <c r="I43" i="1"/>
  <c r="C52" i="1"/>
  <c r="C70" i="1"/>
  <c r="C79" i="1"/>
  <c r="C88" i="1"/>
  <c r="C97" i="1"/>
  <c r="C106" i="1"/>
  <c r="C115" i="1"/>
  <c r="E99" i="1"/>
  <c r="I99" i="1"/>
  <c r="M99" i="1"/>
  <c r="K97" i="1"/>
  <c r="F109" i="4"/>
  <c r="K31" i="2"/>
  <c r="K10" i="2"/>
  <c r="K43" i="1"/>
  <c r="K52" i="1"/>
  <c r="K70" i="1"/>
  <c r="I70" i="1"/>
  <c r="K79" i="1"/>
  <c r="K88" i="1"/>
  <c r="K115" i="1"/>
  <c r="M115" i="1"/>
  <c r="I90" i="1"/>
  <c r="G91" i="4"/>
  <c r="H91" i="4"/>
  <c r="G90" i="3"/>
  <c r="F73" i="4"/>
  <c r="F72" i="3"/>
  <c r="N31" i="2"/>
  <c r="N44" i="2"/>
  <c r="M31" i="2"/>
  <c r="L31" i="2"/>
  <c r="J31" i="2"/>
  <c r="I31" i="2"/>
  <c r="I44" i="2"/>
  <c r="H31" i="2"/>
  <c r="F31" i="2"/>
  <c r="E31" i="2"/>
  <c r="C31" i="2"/>
  <c r="C44" i="2"/>
  <c r="B31" i="2"/>
  <c r="M72" i="1"/>
  <c r="E72" i="1"/>
  <c r="I10" i="2"/>
  <c r="I23" i="2"/>
  <c r="G73" i="4"/>
  <c r="H73" i="4"/>
  <c r="G82" i="4"/>
  <c r="H82" i="4"/>
  <c r="F82" i="4"/>
  <c r="G72" i="3"/>
  <c r="I72" i="1"/>
  <c r="F10" i="4"/>
  <c r="G10" i="4"/>
  <c r="H10" i="4"/>
  <c r="I9" i="1"/>
  <c r="I18" i="1"/>
  <c r="I36" i="1"/>
  <c r="I45" i="1"/>
  <c r="I63" i="1"/>
  <c r="I81" i="1"/>
  <c r="I108" i="1"/>
  <c r="E9" i="1"/>
  <c r="M9" i="1"/>
  <c r="E18" i="1"/>
  <c r="M18" i="1"/>
  <c r="E27" i="1"/>
  <c r="E36" i="1"/>
  <c r="M36" i="1"/>
  <c r="E45" i="1"/>
  <c r="M45" i="1"/>
  <c r="E63" i="1"/>
  <c r="M63" i="1"/>
  <c r="E81" i="1"/>
  <c r="M81" i="1"/>
  <c r="E108" i="1"/>
  <c r="M108" i="1"/>
  <c r="F19" i="4"/>
  <c r="G19" i="4"/>
  <c r="H19" i="4"/>
  <c r="F28" i="4"/>
  <c r="G28" i="4"/>
  <c r="H28" i="4"/>
  <c r="F37" i="4"/>
  <c r="G37" i="4"/>
  <c r="H37" i="4"/>
  <c r="F46" i="4"/>
  <c r="G46" i="4"/>
  <c r="H46" i="4"/>
  <c r="F64" i="4"/>
  <c r="G64" i="4"/>
  <c r="H64" i="4"/>
  <c r="F100" i="4"/>
  <c r="G100" i="4"/>
  <c r="H100" i="4"/>
  <c r="G109" i="4"/>
  <c r="H109" i="4"/>
  <c r="F9" i="3"/>
  <c r="F18" i="3"/>
  <c r="G18" i="3"/>
  <c r="F27" i="3"/>
  <c r="G27" i="3"/>
  <c r="F36" i="3"/>
  <c r="G36" i="3"/>
  <c r="F45" i="3"/>
  <c r="G45" i="3"/>
  <c r="F63" i="3"/>
  <c r="G63" i="3"/>
  <c r="F81" i="3"/>
  <c r="G81" i="3"/>
  <c r="F99" i="3"/>
  <c r="G99" i="3"/>
  <c r="F108" i="3"/>
  <c r="G108" i="3"/>
  <c r="G9" i="3"/>
  <c r="B10" i="2"/>
  <c r="C10" i="2"/>
  <c r="C23" i="2"/>
  <c r="D10" i="2"/>
  <c r="E10" i="2"/>
  <c r="F10" i="2"/>
  <c r="H10" i="2"/>
  <c r="J10" i="2"/>
  <c r="L10" i="2"/>
  <c r="M10" i="2"/>
  <c r="N10" i="2"/>
  <c r="N23" i="2"/>
  <c r="I27" i="1"/>
  <c r="M27" i="1"/>
  <c r="K34" i="1"/>
  <c r="D31" i="2"/>
  <c r="D44" i="2"/>
  <c r="L124" i="1"/>
  <c r="M124" i="1"/>
  <c r="K124" i="1"/>
  <c r="J124" i="1"/>
  <c r="K61" i="1"/>
  <c r="M61" i="1"/>
  <c r="K106" i="1"/>
  <c r="M106" i="1"/>
  <c r="F129" i="4"/>
  <c r="H45" i="1"/>
  <c r="H108" i="1"/>
  <c r="H63" i="1"/>
  <c r="H18" i="1"/>
  <c r="G97" i="1"/>
  <c r="G52" i="1"/>
  <c r="H9" i="1"/>
  <c r="G124" i="1"/>
  <c r="H81" i="1"/>
  <c r="H99" i="1"/>
  <c r="H54" i="1"/>
  <c r="F70" i="1"/>
  <c r="H70" i="1"/>
  <c r="F61" i="1"/>
  <c r="J61" i="1"/>
  <c r="J81" i="1"/>
  <c r="F124" i="1"/>
  <c r="J18" i="1"/>
  <c r="F52" i="1"/>
  <c r="J52" i="1"/>
  <c r="F34" i="1"/>
  <c r="J34" i="1"/>
  <c r="G43" i="1"/>
  <c r="F106" i="1"/>
  <c r="H36" i="1"/>
  <c r="J36" i="1"/>
  <c r="G61" i="1"/>
  <c r="G106" i="1"/>
  <c r="G16" i="1"/>
  <c r="F25" i="1"/>
  <c r="F88" i="1"/>
  <c r="H88" i="1"/>
  <c r="G34" i="1"/>
  <c r="G79" i="1"/>
  <c r="G115" i="1"/>
  <c r="H115" i="1"/>
  <c r="H117" i="1"/>
  <c r="F43" i="1"/>
  <c r="G88" i="1"/>
  <c r="F115" i="1"/>
  <c r="J115" i="1"/>
  <c r="H27" i="1"/>
  <c r="G128" i="3"/>
  <c r="G98" i="4"/>
  <c r="H98" i="4"/>
  <c r="G71" i="4"/>
  <c r="H71" i="4"/>
  <c r="F61" i="3"/>
  <c r="H55" i="1"/>
  <c r="M43" i="1"/>
  <c r="F62" i="4"/>
  <c r="F44" i="4"/>
  <c r="F17" i="4"/>
  <c r="F115" i="3"/>
  <c r="F97" i="3"/>
  <c r="H56" i="1"/>
  <c r="F79" i="1"/>
  <c r="J72" i="1"/>
  <c r="J90" i="1"/>
  <c r="F97" i="1"/>
  <c r="H97" i="1"/>
  <c r="H106" i="1"/>
  <c r="G89" i="4"/>
  <c r="H89" i="4"/>
  <c r="G53" i="4"/>
  <c r="H53" i="4"/>
  <c r="G17" i="4"/>
  <c r="H17" i="4"/>
  <c r="G115" i="3"/>
  <c r="F43" i="3"/>
  <c r="G16" i="3"/>
  <c r="H57" i="1"/>
  <c r="M88" i="1"/>
  <c r="I61" i="1"/>
  <c r="G125" i="4"/>
  <c r="H125" i="4"/>
  <c r="F107" i="4"/>
  <c r="E127" i="4"/>
  <c r="F71" i="4"/>
  <c r="D127" i="4"/>
  <c r="F35" i="4"/>
  <c r="G35" i="4"/>
  <c r="H35" i="4"/>
  <c r="F26" i="4"/>
  <c r="G26" i="4"/>
  <c r="H26" i="4"/>
  <c r="C127" i="4"/>
  <c r="F124" i="3"/>
  <c r="F106" i="3"/>
  <c r="G106" i="3"/>
  <c r="G97" i="3"/>
  <c r="F88" i="3"/>
  <c r="G88" i="3"/>
  <c r="F79" i="3"/>
  <c r="G79" i="3"/>
  <c r="G70" i="3"/>
  <c r="F52" i="3"/>
  <c r="G52" i="3"/>
  <c r="E126" i="3"/>
  <c r="F34" i="3"/>
  <c r="D126" i="3"/>
  <c r="G34" i="3"/>
  <c r="F25" i="3"/>
  <c r="C126" i="3"/>
  <c r="F16" i="3"/>
  <c r="O36" i="2"/>
  <c r="H23" i="2"/>
  <c r="H50" i="1"/>
  <c r="H94" i="1"/>
  <c r="H92" i="1"/>
  <c r="E97" i="1"/>
  <c r="I106" i="1"/>
  <c r="H124" i="1"/>
  <c r="E124" i="1"/>
  <c r="I124" i="1"/>
  <c r="E115" i="1"/>
  <c r="I115" i="1"/>
  <c r="J106" i="1"/>
  <c r="M97" i="1"/>
  <c r="I97" i="1"/>
  <c r="J97" i="1"/>
  <c r="I88" i="1"/>
  <c r="J88" i="1"/>
  <c r="M79" i="1"/>
  <c r="H79" i="1"/>
  <c r="J79" i="1"/>
  <c r="E79" i="1"/>
  <c r="I79" i="1"/>
  <c r="J70" i="1"/>
  <c r="M70" i="1"/>
  <c r="E70" i="1"/>
  <c r="H61" i="1"/>
  <c r="E61" i="1"/>
  <c r="L126" i="1"/>
  <c r="H52" i="1"/>
  <c r="E52" i="1"/>
  <c r="I52" i="1"/>
  <c r="H43" i="1"/>
  <c r="J43" i="1"/>
  <c r="D126" i="1"/>
  <c r="E43" i="1"/>
  <c r="M34" i="1"/>
  <c r="K126" i="1"/>
  <c r="G126" i="1"/>
  <c r="H34" i="1"/>
  <c r="E34" i="1"/>
  <c r="I34" i="1"/>
  <c r="I25" i="1"/>
  <c r="H25" i="1"/>
  <c r="J25" i="1"/>
  <c r="H13" i="1"/>
  <c r="J13" i="1"/>
  <c r="F16" i="1"/>
  <c r="B14" i="2"/>
  <c r="C16" i="1"/>
  <c r="E13" i="1"/>
  <c r="I13" i="1"/>
  <c r="H44" i="2"/>
  <c r="O12" i="2"/>
  <c r="J23" i="2"/>
  <c r="F23" i="2"/>
  <c r="O33" i="2"/>
  <c r="B23" i="2"/>
  <c r="J44" i="2"/>
  <c r="E23" i="2"/>
  <c r="O34" i="2"/>
  <c r="O14" i="2"/>
  <c r="L23" i="2"/>
  <c r="O35" i="2"/>
  <c r="E44" i="2"/>
  <c r="M44" i="2"/>
  <c r="K44" i="2"/>
  <c r="O11" i="2"/>
  <c r="K23" i="2"/>
  <c r="B44" i="2"/>
  <c r="F44" i="2"/>
  <c r="M23" i="2"/>
  <c r="L44" i="2"/>
  <c r="D23" i="2"/>
  <c r="O31" i="2"/>
  <c r="O32" i="2"/>
  <c r="O10" i="2"/>
  <c r="F127" i="4"/>
  <c r="G127" i="4"/>
  <c r="H127" i="4"/>
  <c r="F126" i="3"/>
  <c r="G126" i="3"/>
  <c r="M126" i="1"/>
  <c r="F126" i="1"/>
  <c r="H16" i="1"/>
  <c r="J16" i="1"/>
  <c r="I16" i="1"/>
  <c r="E16" i="1"/>
  <c r="C126" i="1"/>
  <c r="E128" i="1"/>
  <c r="I128" i="1"/>
  <c r="H128" i="1"/>
  <c r="J128" i="1"/>
  <c r="O44" i="2"/>
  <c r="O23" i="2"/>
  <c r="I126" i="1"/>
  <c r="E126" i="1"/>
  <c r="H126" i="1"/>
  <c r="J126" i="1"/>
</calcChain>
</file>

<file path=xl/sharedStrings.xml><?xml version="1.0" encoding="utf-8"?>
<sst xmlns="http://schemas.openxmlformats.org/spreadsheetml/2006/main" count="192" uniqueCount="75">
  <si>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</si>
  <si>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</si>
  <si>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</si>
  <si>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</si>
  <si>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</si>
  <si>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</si>
  <si>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</si>
  <si>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</si>
  <si>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</si>
  <si>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</si>
  <si>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</si>
  <si>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</si>
  <si>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</si>
  <si>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</si>
  <si>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</si>
  <si>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</si>
  <si>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</si>
  <si>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</si>
  <si>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</si>
  <si>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</si>
  <si>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</si>
  <si>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</si>
  <si>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</si>
  <si>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</si>
  <si>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</si>
  <si>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</si>
  <si>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</si>
  <si>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</si>
  <si>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</si>
  <si>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</si>
  <si>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</si>
  <si>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</si>
  <si>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</si>
  <si>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</si>
  <si>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</si>
  <si>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</si>
  <si>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</si>
  <si>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</si>
  <si>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</si>
  <si>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</si>
  <si>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</si>
  <si>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</si>
  <si>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</si>
  <si>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</si>
  <si>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</si>
  <si>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</si>
  <si>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</si>
  <si>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</si>
  <si>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</si>
  <si>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</si>
  <si>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</si>
  <si>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</si>
  <si>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</si>
  <si>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</si>
  <si>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</si>
  <si>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</si>
  <si>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</si>
  <si>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>RIVER CITY</t>
  </si>
  <si>
    <t xml:space="preserve">RIVER CITY </t>
  </si>
  <si>
    <t xml:space="preserve">MARK TWAIN </t>
  </si>
  <si>
    <t xml:space="preserve">IOC - LADY LUCK </t>
  </si>
  <si>
    <t>IOC - CAPE GIRARDEAU</t>
  </si>
  <si>
    <t>HOLLYWOOD</t>
  </si>
  <si>
    <t>ST. JO FRONTIER</t>
  </si>
  <si>
    <t xml:space="preserve">ST. JO FRONTIER </t>
  </si>
  <si>
    <t xml:space="preserve">HOLLYWOOD </t>
  </si>
  <si>
    <t xml:space="preserve">IOC - CAPE GIRARDEAU </t>
  </si>
  <si>
    <t xml:space="preserve">LUMIERE PLACE </t>
  </si>
  <si>
    <t xml:space="preserve">FISCAL 2020 YTD ADMISSIONS, PATRONS AND AGR SUMMARY </t>
  </si>
  <si>
    <t>MONTH ENDED:   DECEMBER 31, 2019</t>
  </si>
  <si>
    <t>(as reported on the tax remittal database dtd 1/9/20)</t>
  </si>
  <si>
    <t>FOR THE MONTH ENDED:   DECEMBER 31, 2019</t>
  </si>
  <si>
    <t>THRU MONTH ENDED:   DECEMBER 31, 2019</t>
  </si>
  <si>
    <t>(as reported on the tax remittal database as of 1/9/20)</t>
  </si>
  <si>
    <t>THRU MONTH ENDED:    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</si>
</sst>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;[Red]\-General"/>
    <numFmt numFmtId="165" formatCode="0.000%"/>
    <numFmt numFmtId="166" formatCode="#,##0.00;[Red]\-#,##0.00"/>
    <numFmt numFmtId="167" formatCode="0.0%"/>
  </numFmts>
  <fonts count="15" x14ac:knownFonts="1">
    <font>
      <sz val="12"/>
      <name val="Arial"/>
    </font>
    <font>
      <b/>
      <sz val="10"/>
      <name val="Arial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8"/>
      <name val="Arial"/>
      <family val="2"/>
    </font>
    <font>
      <b/>
      <i/>
      <u/>
      <sz val="14"/>
      <name val="Arial"/>
      <family val="2"/>
    </font>
    <font>
      <b/>
      <i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4">
    <xf numFmtId="164" fontId="0" fillId="0" borderId="0"/>
    <xf numFmtId="0" fontId="2" fillId="0" borderId="0"/>
    <xf numFmtId="0" fontId="2" fillId="0" borderId="0"/>
    <xf numFmtId="0" fontId="2" fillId="0" borderId="0"/>
  </cellStyleXfs>
  <cellXfs count="285">
    <xf numFmtId="164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164" fontId="0" fillId="0" borderId="0" xfId="0" applyFont="1" applyAlignment="1"/>
    <xf numFmtId="164" fontId="0" fillId="0" borderId="0" xfId="0" applyNumberFormat="1" applyFont="1" applyAlignment="1" applyProtection="1">
      <protection locked="0"/>
    </xf>
    <xf numFmtId="0" fontId="4" fillId="0" borderId="0" xfId="0" applyNumberFormat="1" applyFont="1" applyAlignment="1"/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/>
    <xf numFmtId="164" fontId="5" fillId="2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0" fillId="0" borderId="0" xfId="0" applyBorder="1"/>
    <xf numFmtId="164" fontId="6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6" fontId="6" fillId="0" borderId="4" xfId="0" applyNumberFormat="1" applyFont="1" applyBorder="1" applyAlignment="1"/>
    <xf numFmtId="17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/>
    <xf numFmtId="164" fontId="0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/>
    <xf numFmtId="164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/>
    <xf numFmtId="166" fontId="6" fillId="2" borderId="7" xfId="0" applyNumberFormat="1" applyFont="1" applyFill="1" applyBorder="1" applyAlignment="1"/>
    <xf numFmtId="164" fontId="0" fillId="2" borderId="8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9" fontId="6" fillId="3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9" fontId="6" fillId="3" borderId="9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9" fontId="0" fillId="3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3" borderId="11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9" fontId="6" fillId="3" borderId="10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2" xfId="0" applyNumberFormat="1" applyFont="1" applyFill="1" applyBorder="1" applyAlignment="1"/>
    <xf numFmtId="164" fontId="0" fillId="3" borderId="3" xfId="0" applyNumberFormat="1" applyFont="1" applyFill="1" applyBorder="1" applyAlignment="1"/>
    <xf numFmtId="164" fontId="0" fillId="0" borderId="4" xfId="0" applyNumberFormat="1" applyBorder="1"/>
    <xf numFmtId="164" fontId="0" fillId="0" borderId="5" xfId="0" applyNumberFormat="1" applyBorder="1"/>
    <xf numFmtId="164" fontId="0" fillId="3" borderId="5" xfId="0" applyNumberFormat="1" applyFont="1" applyFill="1" applyBorder="1" applyAlignment="1"/>
    <xf numFmtId="164" fontId="0" fillId="3" borderId="6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0" fillId="0" borderId="1" xfId="0" applyNumberFormat="1" applyFont="1" applyBorder="1" applyAlignment="1"/>
    <xf numFmtId="166" fontId="6" fillId="2" borderId="1" xfId="0" applyNumberFormat="1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6" fontId="0" fillId="0" borderId="13" xfId="0" applyNumberFormat="1" applyFont="1" applyBorder="1" applyAlignment="1"/>
    <xf numFmtId="164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6" fontId="3" fillId="0" borderId="0" xfId="0" applyNumberFormat="1" applyFont="1" applyAlignment="1"/>
    <xf numFmtId="164" fontId="0" fillId="0" borderId="0" xfId="0" applyFont="1" applyAlignment="1">
      <alignment horizontal="center"/>
    </xf>
    <xf numFmtId="4" fontId="6" fillId="0" borderId="0" xfId="0" applyNumberFormat="1" applyFont="1" applyAlignment="1"/>
    <xf numFmtId="0" fontId="6" fillId="0" borderId="0" xfId="0" applyNumberFormat="1" applyFont="1" applyAlignment="1"/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165" fontId="0" fillId="0" borderId="0" xfId="0" applyNumberFormat="1" applyFont="1" applyAlignment="1"/>
    <xf numFmtId="164" fontId="6" fillId="0" borderId="0" xfId="0" applyFont="1" applyAlignment="1"/>
    <xf numFmtId="17" fontId="0" fillId="0" borderId="0" xfId="0" applyNumberFormat="1" applyFont="1" applyAlignment="1"/>
    <xf numFmtId="0" fontId="8" fillId="0" borderId="0" xfId="3" applyFont="1" applyAlignment="1"/>
    <xf numFmtId="0" fontId="2" fillId="0" borderId="0" xfId="3" applyFont="1" applyAlignment="1"/>
    <xf numFmtId="0" fontId="2" fillId="0" borderId="0" xfId="3" applyNumberFormat="1" applyFont="1" applyAlignment="1" applyProtection="1">
      <protection locked="0"/>
    </xf>
    <xf numFmtId="0" fontId="2" fillId="3" borderId="1" xfId="3" applyFont="1" applyFill="1" applyBorder="1" applyAlignment="1"/>
    <xf numFmtId="0" fontId="6" fillId="3" borderId="1" xfId="3" applyFont="1" applyFill="1" applyBorder="1" applyAlignment="1">
      <alignment horizontal="center"/>
    </xf>
    <xf numFmtId="0" fontId="2" fillId="0" borderId="4" xfId="3" applyNumberFormat="1" applyBorder="1"/>
    <xf numFmtId="0" fontId="7" fillId="3" borderId="4" xfId="3" applyFont="1" applyFill="1" applyBorder="1" applyAlignment="1">
      <alignment horizontal="center"/>
    </xf>
    <xf numFmtId="0" fontId="2" fillId="3" borderId="4" xfId="3" applyFont="1" applyFill="1" applyBorder="1" applyAlignment="1"/>
    <xf numFmtId="0" fontId="2" fillId="2" borderId="1" xfId="3" applyFont="1" applyFill="1" applyBorder="1" applyAlignment="1"/>
    <xf numFmtId="0" fontId="2" fillId="0" borderId="1" xfId="3" applyFont="1" applyBorder="1" applyAlignment="1"/>
    <xf numFmtId="17" fontId="2" fillId="0" borderId="14" xfId="3" applyNumberFormat="1" applyFont="1" applyBorder="1" applyAlignment="1">
      <alignment horizontal="center"/>
    </xf>
    <xf numFmtId="3" fontId="2" fillId="0" borderId="14" xfId="3" applyNumberFormat="1" applyFont="1" applyBorder="1" applyAlignment="1">
      <alignment horizontal="center"/>
    </xf>
    <xf numFmtId="3" fontId="6" fillId="0" borderId="14" xfId="3" applyNumberFormat="1" applyFont="1" applyBorder="1" applyAlignment="1">
      <alignment horizontal="center"/>
    </xf>
    <xf numFmtId="17" fontId="7" fillId="0" borderId="14" xfId="3" applyNumberFormat="1" applyFont="1" applyBorder="1" applyAlignment="1">
      <alignment horizontal="center"/>
    </xf>
    <xf numFmtId="17" fontId="6" fillId="0" borderId="14" xfId="3" applyNumberFormat="1" applyFont="1" applyBorder="1" applyAlignment="1">
      <alignment horizontal="center"/>
    </xf>
    <xf numFmtId="17" fontId="2" fillId="0" borderId="13" xfId="3" applyNumberFormat="1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3" xfId="3" applyNumberFormat="1" applyFont="1" applyBorder="1" applyAlignment="1">
      <alignment horizontal="center"/>
    </xf>
    <xf numFmtId="17" fontId="8" fillId="0" borderId="0" xfId="3" applyNumberFormat="1" applyFont="1" applyAlignment="1">
      <alignment horizontal="centerContinuous"/>
    </xf>
    <xf numFmtId="0" fontId="8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17" fontId="2" fillId="3" borderId="1" xfId="3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2" fillId="3" borderId="1" xfId="3" applyNumberFormat="1" applyFont="1" applyFill="1" applyBorder="1" applyAlignment="1">
      <alignment horizontal="center"/>
    </xf>
    <xf numFmtId="0" fontId="6" fillId="3" borderId="1" xfId="3" applyNumberFormat="1" applyFont="1" applyFill="1" applyBorder="1" applyAlignment="1">
      <alignment horizontal="center"/>
    </xf>
    <xf numFmtId="17" fontId="7" fillId="3" borderId="4" xfId="3" applyNumberFormat="1" applyFont="1" applyFill="1" applyBorder="1" applyAlignment="1">
      <alignment horizontal="center"/>
    </xf>
    <xf numFmtId="0" fontId="7" fillId="3" borderId="4" xfId="3" applyNumberFormat="1" applyFont="1" applyFill="1" applyBorder="1" applyAlignment="1">
      <alignment horizontal="center"/>
    </xf>
    <xf numFmtId="17" fontId="2" fillId="3" borderId="4" xfId="3" applyNumberFormat="1" applyFont="1" applyFill="1" applyBorder="1" applyAlignment="1">
      <alignment horizontal="center"/>
    </xf>
    <xf numFmtId="0" fontId="2" fillId="3" borderId="4" xfId="3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17" fontId="2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2" borderId="1" xfId="3" applyNumberFormat="1" applyFont="1" applyFill="1" applyBorder="1" applyAlignment="1">
      <alignment horizontal="center"/>
    </xf>
    <xf numFmtId="4" fontId="2" fillId="0" borderId="13" xfId="3" applyNumberFormat="1" applyFont="1" applyBorder="1" applyAlignment="1">
      <alignment horizontal="center"/>
    </xf>
    <xf numFmtId="0" fontId="7" fillId="0" borderId="0" xfId="3" applyFont="1" applyAlignment="1">
      <alignment horizontal="left"/>
    </xf>
    <xf numFmtId="0" fontId="3" fillId="0" borderId="0" xfId="2" applyNumberFormat="1" applyFont="1" applyAlignment="1"/>
    <xf numFmtId="0" fontId="2" fillId="0" borderId="0" xfId="2" applyNumberFormat="1" applyFont="1" applyAlignment="1"/>
    <xf numFmtId="0" fontId="2" fillId="0" borderId="0" xfId="2" applyAlignment="1"/>
    <xf numFmtId="0" fontId="4" fillId="0" borderId="0" xfId="2" applyNumberFormat="1" applyFont="1" applyAlignment="1"/>
    <xf numFmtId="0" fontId="2" fillId="2" borderId="1" xfId="2" applyNumberFormat="1" applyFont="1" applyFill="1" applyBorder="1" applyAlignment="1"/>
    <xf numFmtId="0" fontId="6" fillId="2" borderId="2" xfId="2" applyNumberFormat="1" applyFont="1" applyFill="1" applyBorder="1" applyAlignment="1">
      <alignment horizontal="center"/>
    </xf>
    <xf numFmtId="0" fontId="6" fillId="3" borderId="2" xfId="2" applyNumberFormat="1" applyFont="1" applyFill="1" applyBorder="1" applyAlignment="1">
      <alignment horizontal="center"/>
    </xf>
    <xf numFmtId="0" fontId="2" fillId="0" borderId="4" xfId="2" applyBorder="1"/>
    <xf numFmtId="0" fontId="6" fillId="2" borderId="15" xfId="2" applyNumberFormat="1" applyFont="1" applyFill="1" applyBorder="1" applyAlignment="1">
      <alignment horizontal="center"/>
    </xf>
    <xf numFmtId="0" fontId="6" fillId="2" borderId="16" xfId="2" applyNumberFormat="1" applyFont="1" applyFill="1" applyBorder="1" applyAlignment="1">
      <alignment horizontal="center"/>
    </xf>
    <xf numFmtId="0" fontId="6" fillId="3" borderId="16" xfId="2" applyNumberFormat="1" applyFont="1" applyFill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3" borderId="5" xfId="2" applyNumberFormat="1" applyFont="1" applyFill="1" applyBorder="1" applyAlignment="1">
      <alignment horizontal="center"/>
    </xf>
    <xf numFmtId="166" fontId="6" fillId="0" borderId="4" xfId="2" applyNumberFormat="1" applyFont="1" applyBorder="1" applyAlignment="1"/>
    <xf numFmtId="17" fontId="2" fillId="0" borderId="5" xfId="2" applyNumberFormat="1" applyFont="1" applyBorder="1" applyAlignment="1">
      <alignment horizontal="center"/>
    </xf>
    <xf numFmtId="9" fontId="2" fillId="3" borderId="5" xfId="2" applyNumberFormat="1" applyFont="1" applyFill="1" applyBorder="1" applyAlignment="1">
      <alignment horizontal="center"/>
    </xf>
    <xf numFmtId="166" fontId="2" fillId="0" borderId="4" xfId="2" applyNumberFormat="1" applyFont="1" applyBorder="1" applyAlignment="1"/>
    <xf numFmtId="0" fontId="2" fillId="0" borderId="5" xfId="2" applyNumberFormat="1" applyFont="1" applyBorder="1" applyAlignment="1">
      <alignment horizontal="center"/>
    </xf>
    <xf numFmtId="166" fontId="6" fillId="2" borderId="1" xfId="2" applyNumberFormat="1" applyFont="1" applyFill="1" applyBorder="1" applyAlignment="1"/>
    <xf numFmtId="0" fontId="2" fillId="2" borderId="2" xfId="2" applyNumberFormat="1" applyFont="1" applyFill="1" applyBorder="1" applyAlignment="1">
      <alignment horizontal="center"/>
    </xf>
    <xf numFmtId="9" fontId="6" fillId="3" borderId="2" xfId="2" applyNumberFormat="1" applyFont="1" applyFill="1" applyBorder="1" applyAlignment="1">
      <alignment horizontal="center"/>
    </xf>
    <xf numFmtId="166" fontId="6" fillId="0" borderId="1" xfId="2" applyNumberFormat="1" applyFont="1" applyBorder="1" applyAlignment="1"/>
    <xf numFmtId="0" fontId="2" fillId="0" borderId="2" xfId="2" applyNumberFormat="1" applyFont="1" applyBorder="1" applyAlignment="1">
      <alignment horizontal="center"/>
    </xf>
    <xf numFmtId="9" fontId="2" fillId="3" borderId="2" xfId="2" applyNumberFormat="1" applyFont="1" applyFill="1" applyBorder="1" applyAlignment="1">
      <alignment horizontal="center"/>
    </xf>
    <xf numFmtId="166" fontId="6" fillId="2" borderId="7" xfId="2" applyNumberFormat="1" applyFont="1" applyFill="1" applyBorder="1" applyAlignment="1"/>
    <xf numFmtId="0" fontId="2" fillId="2" borderId="8" xfId="2" applyNumberFormat="1" applyFont="1" applyFill="1" applyBorder="1" applyAlignment="1">
      <alignment horizontal="center"/>
    </xf>
    <xf numFmtId="9" fontId="6" fillId="3" borderId="8" xfId="2" applyNumberFormat="1" applyFont="1" applyFill="1" applyBorder="1" applyAlignment="1">
      <alignment horizontal="center"/>
    </xf>
    <xf numFmtId="166" fontId="6" fillId="2" borderId="12" xfId="2" applyNumberFormat="1" applyFont="1" applyFill="1" applyBorder="1" applyAlignment="1"/>
    <xf numFmtId="0" fontId="2" fillId="2" borderId="10" xfId="2" applyNumberFormat="1" applyFont="1" applyFill="1" applyBorder="1" applyAlignment="1">
      <alignment horizontal="center"/>
    </xf>
    <xf numFmtId="166" fontId="2" fillId="0" borderId="1" xfId="2" applyNumberFormat="1" applyFont="1" applyBorder="1" applyAlignment="1"/>
    <xf numFmtId="166" fontId="6" fillId="2" borderId="1" xfId="2" applyNumberFormat="1" applyFont="1" applyFill="1" applyBorder="1" applyAlignment="1">
      <alignment horizontal="center"/>
    </xf>
    <xf numFmtId="4" fontId="6" fillId="0" borderId="0" xfId="2" applyNumberFormat="1" applyFont="1" applyAlignment="1"/>
    <xf numFmtId="0" fontId="3" fillId="0" borderId="0" xfId="1" applyNumberFormat="1" applyFont="1" applyAlignment="1"/>
    <xf numFmtId="0" fontId="2" fillId="0" borderId="0" xfId="1" applyNumberFormat="1" applyFont="1" applyAlignment="1"/>
    <xf numFmtId="0" fontId="2" fillId="0" borderId="0" xfId="1"/>
    <xf numFmtId="0" fontId="2" fillId="0" borderId="0" xfId="1" applyAlignment="1"/>
    <xf numFmtId="0" fontId="4" fillId="0" borderId="0" xfId="1" applyNumberFormat="1" applyFont="1" applyAlignment="1"/>
    <xf numFmtId="0" fontId="6" fillId="2" borderId="1" xfId="1" applyNumberFormat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2" fillId="0" borderId="0" xfId="1" applyBorder="1"/>
    <xf numFmtId="0" fontId="6" fillId="2" borderId="4" xfId="1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3" borderId="2" xfId="1" applyNumberFormat="1" applyFont="1" applyFill="1" applyBorder="1" applyAlignment="1">
      <alignment horizontal="center"/>
    </xf>
    <xf numFmtId="166" fontId="6" fillId="0" borderId="4" xfId="1" applyNumberFormat="1" applyFont="1" applyBorder="1" applyAlignment="1"/>
    <xf numFmtId="17" fontId="2" fillId="0" borderId="5" xfId="1" applyNumberFormat="1" applyFont="1" applyBorder="1" applyAlignment="1">
      <alignment horizontal="center"/>
    </xf>
    <xf numFmtId="9" fontId="2" fillId="3" borderId="5" xfId="1" applyNumberFormat="1" applyFont="1" applyFill="1" applyBorder="1" applyAlignment="1">
      <alignment horizontal="center"/>
    </xf>
    <xf numFmtId="166" fontId="2" fillId="0" borderId="4" xfId="1" applyNumberFormat="1" applyFont="1" applyBorder="1" applyAlignment="1"/>
    <xf numFmtId="0" fontId="2" fillId="0" borderId="5" xfId="1" applyNumberFormat="1" applyFont="1" applyBorder="1" applyAlignment="1">
      <alignment horizontal="center"/>
    </xf>
    <xf numFmtId="166" fontId="6" fillId="2" borderId="1" xfId="1" applyNumberFormat="1" applyFont="1" applyFill="1" applyBorder="1" applyAlignment="1"/>
    <xf numFmtId="9" fontId="6" fillId="3" borderId="2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0" fontId="2" fillId="0" borderId="2" xfId="1" applyNumberFormat="1" applyFont="1" applyBorder="1" applyAlignment="1">
      <alignment horizontal="center"/>
    </xf>
    <xf numFmtId="9" fontId="2" fillId="3" borderId="2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/>
    <xf numFmtId="0" fontId="6" fillId="2" borderId="8" xfId="1" applyNumberFormat="1" applyFont="1" applyFill="1" applyBorder="1" applyAlignment="1">
      <alignment horizontal="center"/>
    </xf>
    <xf numFmtId="9" fontId="6" fillId="3" borderId="8" xfId="1" applyNumberFormat="1" applyFont="1" applyFill="1" applyBorder="1" applyAlignment="1">
      <alignment horizontal="center"/>
    </xf>
    <xf numFmtId="0" fontId="6" fillId="0" borderId="4" xfId="1" applyNumberFormat="1" applyFont="1" applyBorder="1" applyAlignment="1"/>
    <xf numFmtId="17" fontId="6" fillId="2" borderId="8" xfId="1" applyNumberFormat="1" applyFont="1" applyFill="1" applyBorder="1" applyAlignment="1">
      <alignment horizontal="center"/>
    </xf>
    <xf numFmtId="0" fontId="2" fillId="0" borderId="5" xfId="1" applyBorder="1"/>
    <xf numFmtId="0" fontId="2" fillId="3" borderId="5" xfId="1" applyFont="1" applyFill="1" applyBorder="1" applyAlignment="1"/>
    <xf numFmtId="0" fontId="2" fillId="2" borderId="8" xfId="1" applyNumberFormat="1" applyFont="1" applyFill="1" applyBorder="1" applyAlignment="1">
      <alignment horizontal="center"/>
    </xf>
    <xf numFmtId="166" fontId="6" fillId="2" borderId="12" xfId="1" applyNumberFormat="1" applyFont="1" applyFill="1" applyBorder="1" applyAlignment="1"/>
    <xf numFmtId="0" fontId="6" fillId="2" borderId="10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6" fontId="6" fillId="0" borderId="13" xfId="1" applyNumberFormat="1" applyFont="1" applyBorder="1" applyAlignment="1"/>
    <xf numFmtId="0" fontId="6" fillId="0" borderId="13" xfId="1" applyNumberFormat="1" applyFont="1" applyBorder="1" applyAlignment="1">
      <alignment horizontal="center"/>
    </xf>
    <xf numFmtId="4" fontId="6" fillId="0" borderId="13" xfId="1" applyNumberFormat="1" applyFont="1" applyBorder="1" applyAlignment="1">
      <alignment horizontal="center"/>
    </xf>
    <xf numFmtId="0" fontId="9" fillId="0" borderId="0" xfId="1" applyNumberFormat="1" applyFont="1" applyAlignment="1"/>
    <xf numFmtId="17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6" fillId="0" borderId="0" xfId="1" applyNumberFormat="1" applyFont="1" applyAlignment="1"/>
    <xf numFmtId="3" fontId="0" fillId="0" borderId="0" xfId="0" applyNumberFormat="1" applyFont="1" applyAlignment="1"/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6" fillId="0" borderId="0" xfId="0" applyNumberFormat="1" applyFont="1" applyAlignment="1"/>
    <xf numFmtId="3" fontId="0" fillId="0" borderId="0" xfId="0" applyNumberFormat="1" applyFont="1" applyAlignment="1" applyProtection="1">
      <protection locked="0"/>
    </xf>
    <xf numFmtId="3" fontId="2" fillId="0" borderId="0" xfId="2" applyNumberFormat="1" applyFont="1" applyAlignment="1"/>
    <xf numFmtId="3" fontId="6" fillId="2" borderId="2" xfId="2" applyNumberFormat="1" applyFont="1" applyFill="1" applyBorder="1" applyAlignment="1">
      <alignment horizontal="center"/>
    </xf>
    <xf numFmtId="3" fontId="6" fillId="2" borderId="16" xfId="2" applyNumberFormat="1" applyFont="1" applyFill="1" applyBorder="1" applyAlignment="1">
      <alignment horizontal="center"/>
    </xf>
    <xf numFmtId="3" fontId="7" fillId="0" borderId="5" xfId="2" applyNumberFormat="1" applyFont="1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>
      <alignment horizontal="center"/>
    </xf>
    <xf numFmtId="3" fontId="6" fillId="0" borderId="0" xfId="2" applyNumberFormat="1" applyFont="1" applyAlignment="1"/>
    <xf numFmtId="3" fontId="2" fillId="0" borderId="0" xfId="2" applyNumberFormat="1" applyAlignment="1"/>
    <xf numFmtId="167" fontId="2" fillId="0" borderId="0" xfId="2" applyNumberFormat="1" applyFont="1" applyAlignment="1"/>
    <xf numFmtId="167" fontId="6" fillId="0" borderId="0" xfId="2" applyNumberFormat="1" applyFont="1" applyAlignment="1">
      <alignment horizontal="center"/>
    </xf>
    <xf numFmtId="167" fontId="6" fillId="2" borderId="2" xfId="2" applyNumberFormat="1" applyFont="1" applyFill="1" applyBorder="1" applyAlignment="1">
      <alignment horizontal="center"/>
    </xf>
    <xf numFmtId="167" fontId="6" fillId="2" borderId="17" xfId="2" applyNumberFormat="1" applyFont="1" applyFill="1" applyBorder="1" applyAlignment="1">
      <alignment horizontal="center"/>
    </xf>
    <xf numFmtId="167" fontId="7" fillId="0" borderId="6" xfId="2" applyNumberFormat="1" applyFont="1" applyBorder="1" applyAlignment="1">
      <alignment horizontal="center"/>
    </xf>
    <xf numFmtId="167" fontId="2" fillId="0" borderId="5" xfId="2" applyNumberFormat="1" applyFont="1" applyBorder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167" fontId="6" fillId="0" borderId="0" xfId="2" applyNumberFormat="1" applyFont="1" applyAlignment="1"/>
    <xf numFmtId="167" fontId="2" fillId="0" borderId="0" xfId="2" applyNumberFormat="1" applyAlignment="1"/>
    <xf numFmtId="3" fontId="2" fillId="0" borderId="0" xfId="1" applyNumberFormat="1" applyFont="1" applyAlignment="1"/>
    <xf numFmtId="3" fontId="6" fillId="2" borderId="2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6" fillId="2" borderId="8" xfId="1" applyNumberFormat="1" applyFont="1" applyFill="1" applyBorder="1" applyAlignment="1">
      <alignment horizontal="center"/>
    </xf>
    <xf numFmtId="3" fontId="2" fillId="0" borderId="5" xfId="1" applyNumberFormat="1" applyBorder="1"/>
    <xf numFmtId="3" fontId="6" fillId="2" borderId="10" xfId="1" applyNumberFormat="1" applyFont="1" applyFill="1" applyBorder="1" applyAlignment="1">
      <alignment horizontal="center"/>
    </xf>
    <xf numFmtId="3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2" fillId="0" borderId="0" xfId="1" applyNumberFormat="1" applyAlignment="1"/>
    <xf numFmtId="167" fontId="2" fillId="0" borderId="0" xfId="1" applyNumberFormat="1" applyFont="1" applyAlignment="1"/>
    <xf numFmtId="167" fontId="6" fillId="0" borderId="0" xfId="1" applyNumberFormat="1" applyFont="1" applyAlignment="1">
      <alignment horizontal="centerContinuous"/>
    </xf>
    <xf numFmtId="167" fontId="6" fillId="2" borderId="2" xfId="1" applyNumberFormat="1" applyFont="1" applyFill="1" applyBorder="1" applyAlignment="1">
      <alignment horizontal="center"/>
    </xf>
    <xf numFmtId="167" fontId="6" fillId="2" borderId="3" xfId="1" applyNumberFormat="1" applyFont="1" applyFill="1" applyBorder="1" applyAlignment="1">
      <alignment horizontal="center"/>
    </xf>
    <xf numFmtId="167" fontId="6" fillId="2" borderId="5" xfId="1" applyNumberFormat="1" applyFont="1" applyFill="1" applyBorder="1" applyAlignment="1">
      <alignment horizontal="center"/>
    </xf>
    <xf numFmtId="167" fontId="7" fillId="0" borderId="2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2" fillId="0" borderId="6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7" fontId="2" fillId="0" borderId="3" xfId="1" applyNumberFormat="1" applyFont="1" applyBorder="1" applyAlignment="1">
      <alignment horizontal="center"/>
    </xf>
    <xf numFmtId="167" fontId="6" fillId="2" borderId="8" xfId="1" applyNumberFormat="1" applyFont="1" applyFill="1" applyBorder="1" applyAlignment="1">
      <alignment horizontal="center"/>
    </xf>
    <xf numFmtId="167" fontId="6" fillId="2" borderId="9" xfId="1" applyNumberFormat="1" applyFont="1" applyFill="1" applyBorder="1" applyAlignment="1">
      <alignment horizontal="center"/>
    </xf>
    <xf numFmtId="167" fontId="2" fillId="0" borderId="5" xfId="1" applyNumberFormat="1" applyBorder="1"/>
    <xf numFmtId="167" fontId="2" fillId="0" borderId="6" xfId="1" applyNumberFormat="1" applyBorder="1"/>
    <xf numFmtId="167" fontId="6" fillId="2" borderId="10" xfId="1" applyNumberFormat="1" applyFont="1" applyFill="1" applyBorder="1" applyAlignment="1">
      <alignment horizontal="center"/>
    </xf>
    <xf numFmtId="167" fontId="6" fillId="0" borderId="13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2" fillId="0" borderId="0" xfId="1" applyNumberFormat="1" applyAlignment="1"/>
    <xf numFmtId="167" fontId="6" fillId="2" borderId="3" xfId="1" applyNumberFormat="1" applyFont="1" applyFill="1" applyBorder="1" applyAlignment="1"/>
    <xf numFmtId="167" fontId="6" fillId="2" borderId="6" xfId="1" applyNumberFormat="1" applyFont="1" applyFill="1" applyBorder="1" applyAlignment="1"/>
    <xf numFmtId="166" fontId="6" fillId="0" borderId="18" xfId="2" applyNumberFormat="1" applyFont="1" applyBorder="1" applyAlignment="1"/>
    <xf numFmtId="166" fontId="6" fillId="0" borderId="0" xfId="1" applyNumberFormat="1" applyFont="1" applyBorder="1" applyAlignment="1"/>
    <xf numFmtId="167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3" fontId="6" fillId="2" borderId="11" xfId="2" applyNumberFormat="1" applyFont="1" applyFill="1" applyBorder="1" applyAlignment="1">
      <alignment horizontal="center"/>
    </xf>
    <xf numFmtId="3" fontId="6" fillId="2" borderId="19" xfId="2" applyNumberFormat="1" applyFont="1" applyFill="1" applyBorder="1" applyAlignment="1">
      <alignment horizontal="center"/>
    </xf>
    <xf numFmtId="166" fontId="10" fillId="0" borderId="0" xfId="2" applyNumberFormat="1" applyFont="1" applyAlignment="1"/>
    <xf numFmtId="166" fontId="10" fillId="0" borderId="0" xfId="0" applyNumberFormat="1" applyFont="1" applyAlignment="1"/>
    <xf numFmtId="166" fontId="6" fillId="2" borderId="7" xfId="2" applyNumberFormat="1" applyFont="1" applyFill="1" applyBorder="1" applyAlignment="1">
      <alignment horizontal="center"/>
    </xf>
    <xf numFmtId="0" fontId="6" fillId="2" borderId="8" xfId="2" applyNumberFormat="1" applyFont="1" applyFill="1" applyBorder="1" applyAlignment="1">
      <alignment horizontal="center"/>
    </xf>
    <xf numFmtId="167" fontId="6" fillId="2" borderId="20" xfId="2" applyNumberFormat="1" applyFont="1" applyFill="1" applyBorder="1" applyAlignment="1">
      <alignment horizontal="center"/>
    </xf>
    <xf numFmtId="9" fontId="6" fillId="3" borderId="10" xfId="2" applyNumberFormat="1" applyFont="1" applyFill="1" applyBorder="1" applyAlignment="1">
      <alignment horizontal="center"/>
    </xf>
    <xf numFmtId="9" fontId="6" fillId="3" borderId="21" xfId="2" applyNumberFormat="1" applyFont="1" applyFill="1" applyBorder="1" applyAlignment="1">
      <alignment horizontal="center"/>
    </xf>
    <xf numFmtId="167" fontId="6" fillId="2" borderId="20" xfId="1" applyNumberFormat="1" applyFont="1" applyFill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9" fontId="6" fillId="3" borderId="10" xfId="1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/>
    <xf numFmtId="166" fontId="11" fillId="0" borderId="4" xfId="0" applyNumberFormat="1" applyFont="1" applyBorder="1" applyAlignment="1"/>
    <xf numFmtId="0" fontId="12" fillId="3" borderId="4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3" fillId="0" borderId="0" xfId="0" applyNumberFormat="1" applyFont="1" applyAlignment="1"/>
    <xf numFmtId="9" fontId="11" fillId="3" borderId="2" xfId="0" applyNumberFormat="1" applyFont="1" applyFill="1" applyBorder="1" applyAlignment="1">
      <alignment horizontal="center"/>
    </xf>
    <xf numFmtId="9" fontId="11" fillId="3" borderId="8" xfId="0" applyNumberFormat="1" applyFont="1" applyFill="1" applyBorder="1" applyAlignment="1">
      <alignment horizontal="center"/>
    </xf>
    <xf numFmtId="9" fontId="11" fillId="3" borderId="10" xfId="0" applyNumberFormat="1" applyFont="1" applyFill="1" applyBorder="1" applyAlignment="1">
      <alignment horizontal="center"/>
    </xf>
    <xf numFmtId="0" fontId="13" fillId="0" borderId="0" xfId="2" applyNumberFormat="1" applyFont="1" applyAlignment="1"/>
    <xf numFmtId="0" fontId="13" fillId="0" borderId="0" xfId="1" applyNumberFormat="1" applyFont="1" applyAlignment="1"/>
    <xf numFmtId="4" fontId="2" fillId="0" borderId="0" xfId="3" applyNumberFormat="1" applyFont="1" applyBorder="1" applyAlignment="1">
      <alignment horizontal="center"/>
    </xf>
    <xf numFmtId="4" fontId="14" fillId="0" borderId="0" xfId="3" applyNumberFormat="1" applyFont="1" applyBorder="1" applyAlignment="1">
      <alignment horizontal="left"/>
    </xf>
  </cellXfs>
  <cellStyles count="4">
    <cellStyle name="Normal" xfId="0" builtinId="0"/>
    <cellStyle name="Normal_SLOT STATS" xfId="1"/>
    <cellStyle name="Normal_TABLE STATS" xfId="2"/>
    <cellStyle name="Normal_YTD TAX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400"/>
  <sheetViews>
    <sheetView tabSelected="1" showOutlineSymbols="0" zoomScaleNormal="100" workbookViewId="0">
      <selection activeCell="A5" sqref="A5"/>
    </sheetView>
  </sheetViews>
  <sheetFormatPr defaultColWidth="9.6640625" defaultRowHeight="15" x14ac:dyDescent="0.2"/>
  <cols>
    <col min="1" max="1" width="22.441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/>
  </cols>
  <sheetData>
    <row r="1" spans="1:18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 x14ac:dyDescent="0.3">
      <c r="A2" s="4" t="s">
        <v>68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 x14ac:dyDescent="0.25">
      <c r="A3" s="1" t="s">
        <v>69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x14ac:dyDescent="0.2">
      <c r="A4" s="277" t="s">
        <v>70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 x14ac:dyDescent="0.25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 x14ac:dyDescent="0.25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 x14ac:dyDescent="0.3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 x14ac:dyDescent="0.25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 x14ac:dyDescent="0.25">
      <c r="A9" s="19" t="s">
        <v>13</v>
      </c>
      <c r="B9" s="20">
        <f>DATE(2019,7,1)</f>
        <v>43647</v>
      </c>
      <c r="C9" s="21">
        <v>273819</v>
      </c>
      <c r="D9" s="22">
        <v>261456</v>
      </c>
      <c r="E9" s="23">
        <f t="shared" ref="E9:E14" si="0">(+C9-D9)/D9</f>
        <v>4.7285202863961817E-2</v>
      </c>
      <c r="F9" s="21">
        <f>+C9-121652</f>
        <v>152167</v>
      </c>
      <c r="G9" s="21">
        <f>+D9-122888</f>
        <v>138568</v>
      </c>
      <c r="H9" s="23">
        <f t="shared" ref="H9:H14" si="1">(+F9-G9)/G9</f>
        <v>9.8139541596905494E-2</v>
      </c>
      <c r="I9" s="24">
        <f t="shared" ref="I9:I14" si="2">K9/C9</f>
        <v>53.293904623126956</v>
      </c>
      <c r="J9" s="24">
        <f t="shared" ref="J9:J14" si="3">K9/F9</f>
        <v>95.9004493089829</v>
      </c>
      <c r="K9" s="21">
        <v>14592883.67</v>
      </c>
      <c r="L9" s="21">
        <v>13375050.09</v>
      </c>
      <c r="M9" s="25">
        <f t="shared" ref="M9:M14" si="4">(+K9-L9)/L9</f>
        <v>9.1052636947545076E-2</v>
      </c>
      <c r="N9" s="10"/>
      <c r="R9" s="2"/>
    </row>
    <row r="10" spans="1:18" ht="15.75" x14ac:dyDescent="0.25">
      <c r="A10" s="19"/>
      <c r="B10" s="20">
        <f>DATE(2019,8,1)</f>
        <v>43678</v>
      </c>
      <c r="C10" s="21">
        <v>276880</v>
      </c>
      <c r="D10" s="22">
        <v>266367</v>
      </c>
      <c r="E10" s="23">
        <f t="shared" si="0"/>
        <v>3.9468102279937078E-2</v>
      </c>
      <c r="F10" s="21">
        <f>+C10-123357</f>
        <v>153523</v>
      </c>
      <c r="G10" s="21">
        <f>+D10-122166</f>
        <v>144201</v>
      </c>
      <c r="H10" s="23">
        <f t="shared" si="1"/>
        <v>6.4645876242189718E-2</v>
      </c>
      <c r="I10" s="24">
        <f t="shared" si="2"/>
        <v>52.376661297312914</v>
      </c>
      <c r="J10" s="24">
        <f t="shared" si="3"/>
        <v>94.461741758563861</v>
      </c>
      <c r="K10" s="21">
        <v>14502049.98</v>
      </c>
      <c r="L10" s="21">
        <v>13957901.84</v>
      </c>
      <c r="M10" s="25">
        <f t="shared" si="4"/>
        <v>3.898495248337415E-2</v>
      </c>
      <c r="N10" s="10"/>
      <c r="R10" s="2"/>
    </row>
    <row r="11" spans="1:18" ht="15.75" x14ac:dyDescent="0.25">
      <c r="A11" s="19"/>
      <c r="B11" s="20">
        <f>DATE(2019,9,1)</f>
        <v>43709</v>
      </c>
      <c r="C11" s="21">
        <v>254028</v>
      </c>
      <c r="D11" s="22">
        <v>263613</v>
      </c>
      <c r="E11" s="23">
        <f t="shared" si="0"/>
        <v>-3.6360118810529071E-2</v>
      </c>
      <c r="F11" s="21">
        <f>+C11-112781</f>
        <v>141247</v>
      </c>
      <c r="G11" s="21">
        <f>+D11-122145</f>
        <v>141468</v>
      </c>
      <c r="H11" s="23">
        <f t="shared" si="1"/>
        <v>-1.56219074278282E-3</v>
      </c>
      <c r="I11" s="24">
        <f t="shared" si="2"/>
        <v>50.285363739430302</v>
      </c>
      <c r="J11" s="24">
        <f t="shared" si="3"/>
        <v>90.43654293542518</v>
      </c>
      <c r="K11" s="21">
        <v>12773890.380000001</v>
      </c>
      <c r="L11" s="21">
        <v>13536102.300000001</v>
      </c>
      <c r="M11" s="25">
        <f t="shared" si="4"/>
        <v>-5.6309556703039977E-2</v>
      </c>
      <c r="N11" s="10"/>
      <c r="R11" s="2"/>
    </row>
    <row r="12" spans="1:18" ht="15.75" x14ac:dyDescent="0.25">
      <c r="A12" s="19"/>
      <c r="B12" s="20">
        <f>DATE(2019,10,1)</f>
        <v>43739</v>
      </c>
      <c r="C12" s="21">
        <v>250952</v>
      </c>
      <c r="D12" s="22">
        <v>264243</v>
      </c>
      <c r="E12" s="23">
        <f t="shared" si="0"/>
        <v>-5.0298399579175229E-2</v>
      </c>
      <c r="F12" s="21">
        <f>+C12-113545</f>
        <v>137407</v>
      </c>
      <c r="G12" s="21">
        <f>+D12-121413</f>
        <v>142830</v>
      </c>
      <c r="H12" s="23">
        <f t="shared" si="1"/>
        <v>-3.7968213960652523E-2</v>
      </c>
      <c r="I12" s="24">
        <f t="shared" si="2"/>
        <v>53.295277224329752</v>
      </c>
      <c r="J12" s="24">
        <f t="shared" si="3"/>
        <v>97.335335244929297</v>
      </c>
      <c r="K12" s="21">
        <v>13374556.41</v>
      </c>
      <c r="L12" s="21">
        <v>13965262.380000001</v>
      </c>
      <c r="M12" s="25">
        <f t="shared" si="4"/>
        <v>-4.2298236433134642E-2</v>
      </c>
      <c r="N12" s="10"/>
      <c r="R12" s="2"/>
    </row>
    <row r="13" spans="1:18" ht="15.75" x14ac:dyDescent="0.25">
      <c r="A13" s="19"/>
      <c r="B13" s="20">
        <f>DATE(2019,11,1)</f>
        <v>43770</v>
      </c>
      <c r="C13" s="21">
        <v>272418</v>
      </c>
      <c r="D13" s="22">
        <v>252868</v>
      </c>
      <c r="E13" s="23">
        <f t="shared" si="0"/>
        <v>7.7313064523783157E-2</v>
      </c>
      <c r="F13" s="21">
        <f>+C13-124199</f>
        <v>148219</v>
      </c>
      <c r="G13" s="21">
        <f>+D13-117772</f>
        <v>135096</v>
      </c>
      <c r="H13" s="23">
        <f t="shared" si="1"/>
        <v>9.713833126073311E-2</v>
      </c>
      <c r="I13" s="24">
        <f t="shared" si="2"/>
        <v>51.274458772915153</v>
      </c>
      <c r="J13" s="24">
        <f t="shared" si="3"/>
        <v>94.239507148206371</v>
      </c>
      <c r="K13" s="21">
        <v>13968085.51</v>
      </c>
      <c r="L13" s="21">
        <v>13690400.939999999</v>
      </c>
      <c r="M13" s="25">
        <f t="shared" si="4"/>
        <v>2.0283158339700191E-2</v>
      </c>
      <c r="N13" s="10"/>
      <c r="R13" s="2"/>
    </row>
    <row r="14" spans="1:18" ht="15.75" x14ac:dyDescent="0.25">
      <c r="A14" s="19"/>
      <c r="B14" s="20">
        <f>DATE(2019,12,1)</f>
        <v>43800</v>
      </c>
      <c r="C14" s="21">
        <v>282345</v>
      </c>
      <c r="D14" s="22">
        <v>287683</v>
      </c>
      <c r="E14" s="23">
        <f t="shared" si="0"/>
        <v>-1.8555145768085011E-2</v>
      </c>
      <c r="F14" s="21">
        <f>+C14-128827</f>
        <v>153518</v>
      </c>
      <c r="G14" s="21">
        <f>+D14-136878</f>
        <v>150805</v>
      </c>
      <c r="H14" s="23">
        <f t="shared" si="1"/>
        <v>1.7990119690991679E-2</v>
      </c>
      <c r="I14" s="24">
        <f t="shared" si="2"/>
        <v>51.87486900777418</v>
      </c>
      <c r="J14" s="24">
        <f t="shared" si="3"/>
        <v>95.406466277570061</v>
      </c>
      <c r="K14" s="21">
        <v>14646609.890000001</v>
      </c>
      <c r="L14" s="21">
        <v>15302336.49</v>
      </c>
      <c r="M14" s="25">
        <f t="shared" si="4"/>
        <v>-4.285140379892402E-2</v>
      </c>
      <c r="N14" s="10"/>
      <c r="R14" s="2"/>
    </row>
    <row r="15" spans="1:18" ht="15.75" customHeight="1" thickBot="1" x14ac:dyDescent="0.3">
      <c r="A15" s="19"/>
      <c r="B15" s="20"/>
      <c r="C15" s="21"/>
      <c r="D15" s="21"/>
      <c r="E15" s="23"/>
      <c r="F15" s="21"/>
      <c r="G15" s="21"/>
      <c r="H15" s="23"/>
      <c r="I15" s="24"/>
      <c r="J15" s="24"/>
      <c r="K15" s="21"/>
      <c r="L15" s="21"/>
      <c r="M15" s="25"/>
      <c r="N15" s="10"/>
      <c r="R15" s="2"/>
    </row>
    <row r="16" spans="1:18" ht="17.25" thickTop="1" thickBot="1" x14ac:dyDescent="0.3">
      <c r="A16" s="26" t="s">
        <v>14</v>
      </c>
      <c r="B16" s="27"/>
      <c r="C16" s="28">
        <f>SUM(C9:C15)</f>
        <v>1610442</v>
      </c>
      <c r="D16" s="28">
        <f>SUM(D9:D15)</f>
        <v>1596230</v>
      </c>
      <c r="E16" s="278">
        <f>(+C16-D16)/D16</f>
        <v>8.9034788219742762E-3</v>
      </c>
      <c r="F16" s="28">
        <f>SUM(F9:F15)</f>
        <v>886081</v>
      </c>
      <c r="G16" s="28">
        <f>SUM(G9:G15)</f>
        <v>852968</v>
      </c>
      <c r="H16" s="30">
        <f>(+F16-G16)/G16</f>
        <v>3.8820917080124931E-2</v>
      </c>
      <c r="I16" s="31">
        <f>K16/C16</f>
        <v>52.071465995049806</v>
      </c>
      <c r="J16" s="31">
        <f>K16/F16</f>
        <v>94.639289004052685</v>
      </c>
      <c r="K16" s="28">
        <f>SUM(K9:K15)</f>
        <v>83858075.840000004</v>
      </c>
      <c r="L16" s="28">
        <f>SUM(L9:L15)</f>
        <v>83827054.040000007</v>
      </c>
      <c r="M16" s="32">
        <f>(+K16-L16)/L16</f>
        <v>3.7006907084190569E-4</v>
      </c>
      <c r="N16" s="10"/>
      <c r="R16" s="2"/>
    </row>
    <row r="17" spans="1:18" ht="15.75" customHeight="1" thickTop="1" x14ac:dyDescent="0.25">
      <c r="A17" s="15"/>
      <c r="B17" s="16"/>
      <c r="C17" s="16"/>
      <c r="D17" s="16"/>
      <c r="E17" s="17"/>
      <c r="F17" s="16"/>
      <c r="G17" s="16"/>
      <c r="H17" s="17"/>
      <c r="I17" s="16"/>
      <c r="J17" s="16"/>
      <c r="K17" s="195"/>
      <c r="L17" s="195"/>
      <c r="M17" s="18"/>
      <c r="N17" s="10"/>
      <c r="R17" s="2"/>
    </row>
    <row r="18" spans="1:18" ht="15.75" x14ac:dyDescent="0.25">
      <c r="A18" s="19" t="s">
        <v>15</v>
      </c>
      <c r="B18" s="20">
        <f>DATE(2019,7,1)</f>
        <v>43647</v>
      </c>
      <c r="C18" s="21">
        <v>128877</v>
      </c>
      <c r="D18" s="21">
        <v>142478</v>
      </c>
      <c r="E18" s="23">
        <f t="shared" ref="E18:E23" si="5">(+C18-D18)/D18</f>
        <v>-9.5460351773607149E-2</v>
      </c>
      <c r="F18" s="21">
        <f>+C18-61988</f>
        <v>66889</v>
      </c>
      <c r="G18" s="21">
        <f>+D18-67444</f>
        <v>75034</v>
      </c>
      <c r="H18" s="23">
        <f t="shared" ref="H18:H23" si="6">(+F18-G18)/G18</f>
        <v>-0.10855079030839353</v>
      </c>
      <c r="I18" s="24">
        <f t="shared" ref="I18:I23" si="7">K18/C18</f>
        <v>54.051311172668512</v>
      </c>
      <c r="J18" s="24">
        <f t="shared" ref="J18:J23" si="8">K18/F18</f>
        <v>104.14224805274409</v>
      </c>
      <c r="K18" s="21">
        <v>6965970.8300000001</v>
      </c>
      <c r="L18" s="21">
        <v>7374850.2599999998</v>
      </c>
      <c r="M18" s="25">
        <f t="shared" ref="M18:M23" si="9">(+K18-L18)/L18</f>
        <v>-5.544240433161008E-2</v>
      </c>
      <c r="N18" s="10"/>
      <c r="R18" s="2"/>
    </row>
    <row r="19" spans="1:18" ht="15.75" x14ac:dyDescent="0.25">
      <c r="A19" s="19"/>
      <c r="B19" s="20">
        <f>DATE(2019,8,1)</f>
        <v>43678</v>
      </c>
      <c r="C19" s="21">
        <v>130133</v>
      </c>
      <c r="D19" s="21">
        <v>137794</v>
      </c>
      <c r="E19" s="23">
        <f t="shared" si="5"/>
        <v>-5.5597486102442778E-2</v>
      </c>
      <c r="F19" s="21">
        <f>+C19-62200</f>
        <v>67933</v>
      </c>
      <c r="G19" s="21">
        <f>+D19-65911</f>
        <v>71883</v>
      </c>
      <c r="H19" s="23">
        <f t="shared" si="6"/>
        <v>-5.4950405520081243E-2</v>
      </c>
      <c r="I19" s="24">
        <f t="shared" si="7"/>
        <v>53.532999700306604</v>
      </c>
      <c r="J19" s="24">
        <f t="shared" si="8"/>
        <v>102.54824385791882</v>
      </c>
      <c r="K19" s="21">
        <v>6966409.8499999996</v>
      </c>
      <c r="L19" s="21">
        <v>7098601.2599999998</v>
      </c>
      <c r="M19" s="25">
        <f t="shared" si="9"/>
        <v>-1.862217712451145E-2</v>
      </c>
      <c r="N19" s="10"/>
      <c r="R19" s="2"/>
    </row>
    <row r="20" spans="1:18" ht="15.75" x14ac:dyDescent="0.25">
      <c r="A20" s="19"/>
      <c r="B20" s="20">
        <f>DATE(2019,9,1)</f>
        <v>43709</v>
      </c>
      <c r="C20" s="21">
        <v>118251</v>
      </c>
      <c r="D20" s="21">
        <v>137262</v>
      </c>
      <c r="E20" s="23">
        <f t="shared" si="5"/>
        <v>-0.13850155177689383</v>
      </c>
      <c r="F20" s="21">
        <f>+C20-55723</f>
        <v>62528</v>
      </c>
      <c r="G20" s="21">
        <f>+D20-65092</f>
        <v>72170</v>
      </c>
      <c r="H20" s="23">
        <f t="shared" si="6"/>
        <v>-0.13360121934321739</v>
      </c>
      <c r="I20" s="24">
        <f t="shared" si="7"/>
        <v>54.246988186146417</v>
      </c>
      <c r="J20" s="24">
        <f t="shared" si="8"/>
        <v>102.59020918628454</v>
      </c>
      <c r="K20" s="21">
        <v>6414760.5999999996</v>
      </c>
      <c r="L20" s="21">
        <v>6514977.2199999997</v>
      </c>
      <c r="M20" s="25">
        <f t="shared" si="9"/>
        <v>-1.5382497377327763E-2</v>
      </c>
      <c r="N20" s="10"/>
      <c r="R20" s="2"/>
    </row>
    <row r="21" spans="1:18" ht="15.75" x14ac:dyDescent="0.25">
      <c r="A21" s="19"/>
      <c r="B21" s="20">
        <f>DATE(2019,10,1)</f>
        <v>43739</v>
      </c>
      <c r="C21" s="21">
        <v>113052</v>
      </c>
      <c r="D21" s="21">
        <v>119937</v>
      </c>
      <c r="E21" s="23">
        <f t="shared" si="5"/>
        <v>-5.7405137697291081E-2</v>
      </c>
      <c r="F21" s="21">
        <f>+C21-54189</f>
        <v>58863</v>
      </c>
      <c r="G21" s="21">
        <f>+D21-56627</f>
        <v>63310</v>
      </c>
      <c r="H21" s="23">
        <f t="shared" si="6"/>
        <v>-7.0241667982941083E-2</v>
      </c>
      <c r="I21" s="24">
        <f t="shared" si="7"/>
        <v>53.516211477903973</v>
      </c>
      <c r="J21" s="24">
        <f t="shared" si="8"/>
        <v>102.78298319827397</v>
      </c>
      <c r="K21" s="21">
        <v>6050114.7400000002</v>
      </c>
      <c r="L21" s="21">
        <v>6347121.8700000001</v>
      </c>
      <c r="M21" s="25">
        <f t="shared" si="9"/>
        <v>-4.6793985696701283E-2</v>
      </c>
      <c r="N21" s="10"/>
      <c r="R21" s="2"/>
    </row>
    <row r="22" spans="1:18" ht="15.75" x14ac:dyDescent="0.25">
      <c r="A22" s="19"/>
      <c r="B22" s="20">
        <f>DATE(2019,11,1)</f>
        <v>43770</v>
      </c>
      <c r="C22" s="21">
        <v>116655</v>
      </c>
      <c r="D22" s="21">
        <v>113387</v>
      </c>
      <c r="E22" s="23">
        <f t="shared" si="5"/>
        <v>2.882164622046619E-2</v>
      </c>
      <c r="F22" s="21">
        <f>+C22-56252</f>
        <v>60403</v>
      </c>
      <c r="G22" s="21">
        <f>+D22-54700</f>
        <v>58687</v>
      </c>
      <c r="H22" s="23">
        <f t="shared" si="6"/>
        <v>2.9239865728355512E-2</v>
      </c>
      <c r="I22" s="24">
        <f t="shared" si="7"/>
        <v>54.552378123526637</v>
      </c>
      <c r="J22" s="24">
        <f t="shared" si="8"/>
        <v>105.35582123404467</v>
      </c>
      <c r="K22" s="21">
        <v>6363807.6699999999</v>
      </c>
      <c r="L22" s="21">
        <v>5777883.1900000004</v>
      </c>
      <c r="M22" s="25">
        <f t="shared" si="9"/>
        <v>0.10140815602054418</v>
      </c>
      <c r="N22" s="10"/>
      <c r="R22" s="2"/>
    </row>
    <row r="23" spans="1:18" ht="15.75" x14ac:dyDescent="0.25">
      <c r="A23" s="19"/>
      <c r="B23" s="20">
        <f>DATE(2019,12,1)</f>
        <v>43800</v>
      </c>
      <c r="C23" s="21">
        <v>115489</v>
      </c>
      <c r="D23" s="21">
        <v>130957</v>
      </c>
      <c r="E23" s="23">
        <f t="shared" si="5"/>
        <v>-0.11811510648533488</v>
      </c>
      <c r="F23" s="21">
        <f>+C23-56066</f>
        <v>59423</v>
      </c>
      <c r="G23" s="21">
        <f>+D23-63848</f>
        <v>67109</v>
      </c>
      <c r="H23" s="23">
        <f t="shared" si="6"/>
        <v>-0.11453009283404611</v>
      </c>
      <c r="I23" s="24">
        <f t="shared" si="7"/>
        <v>54.336793893790755</v>
      </c>
      <c r="J23" s="24">
        <f t="shared" si="8"/>
        <v>105.60392423808963</v>
      </c>
      <c r="K23" s="21">
        <v>6275301.9900000002</v>
      </c>
      <c r="L23" s="21">
        <v>6736075.9199999999</v>
      </c>
      <c r="M23" s="25">
        <f t="shared" si="9"/>
        <v>-6.8403909853795075E-2</v>
      </c>
      <c r="N23" s="10"/>
      <c r="R23" s="2"/>
    </row>
    <row r="24" spans="1:18" ht="15.75" customHeight="1" thickBot="1" x14ac:dyDescent="0.3">
      <c r="A24" s="19"/>
      <c r="B24" s="20"/>
      <c r="C24" s="21"/>
      <c r="D24" s="21"/>
      <c r="E24" s="23"/>
      <c r="F24" s="21"/>
      <c r="G24" s="21"/>
      <c r="H24" s="23"/>
      <c r="I24" s="24"/>
      <c r="J24" s="24"/>
      <c r="K24" s="21"/>
      <c r="L24" s="21"/>
      <c r="M24" s="25"/>
      <c r="N24" s="10"/>
      <c r="R24" s="2"/>
    </row>
    <row r="25" spans="1:18" ht="17.25" customHeight="1" thickTop="1" thickBot="1" x14ac:dyDescent="0.3">
      <c r="A25" s="26" t="s">
        <v>14</v>
      </c>
      <c r="B25" s="27"/>
      <c r="C25" s="28">
        <f>SUM(C18:C24)</f>
        <v>722457</v>
      </c>
      <c r="D25" s="28">
        <f>SUM(D18:D24)</f>
        <v>781815</v>
      </c>
      <c r="E25" s="278">
        <f>(+C25-D25)/D25</f>
        <v>-7.5923332246119607E-2</v>
      </c>
      <c r="F25" s="28">
        <f>SUM(F18:F24)</f>
        <v>376039</v>
      </c>
      <c r="G25" s="28">
        <f>SUM(G18:G24)</f>
        <v>408193</v>
      </c>
      <c r="H25" s="30">
        <f>(+F25-G25)/G25</f>
        <v>-7.8771561491745329E-2</v>
      </c>
      <c r="I25" s="31">
        <f>K25/C25</f>
        <v>54.032787667639745</v>
      </c>
      <c r="J25" s="31">
        <f>K25/F25</f>
        <v>103.8093540297682</v>
      </c>
      <c r="K25" s="28">
        <f>SUM(K18:K24)</f>
        <v>39036365.680000007</v>
      </c>
      <c r="L25" s="28">
        <f>SUM(L18:L24)</f>
        <v>39849509.719999999</v>
      </c>
      <c r="M25" s="32">
        <f>(+K25-L25)/L25</f>
        <v>-2.040537125082581E-2</v>
      </c>
      <c r="N25" s="10"/>
      <c r="R25" s="2"/>
    </row>
    <row r="26" spans="1:18" ht="15.75" customHeight="1" thickTop="1" x14ac:dyDescent="0.25">
      <c r="A26" s="33"/>
      <c r="B26" s="34"/>
      <c r="C26" s="35"/>
      <c r="D26" s="35"/>
      <c r="E26" s="29"/>
      <c r="F26" s="35"/>
      <c r="G26" s="35"/>
      <c r="H26" s="29"/>
      <c r="I26" s="36"/>
      <c r="J26" s="36"/>
      <c r="K26" s="35"/>
      <c r="L26" s="35"/>
      <c r="M26" s="37"/>
      <c r="N26" s="10"/>
      <c r="R26" s="2"/>
    </row>
    <row r="27" spans="1:18" ht="15.75" customHeight="1" x14ac:dyDescent="0.25">
      <c r="A27" s="19" t="s">
        <v>56</v>
      </c>
      <c r="B27" s="20">
        <f>DATE(2019,7,1)</f>
        <v>43647</v>
      </c>
      <c r="C27" s="21">
        <v>66822</v>
      </c>
      <c r="D27" s="21">
        <v>72910</v>
      </c>
      <c r="E27" s="23">
        <f t="shared" ref="E27:E32" si="10">(+C27-D27)/D27</f>
        <v>-8.3500205733095592E-2</v>
      </c>
      <c r="F27" s="21">
        <f>+C27-35692</f>
        <v>31130</v>
      </c>
      <c r="G27" s="21">
        <f>+D27-39365</f>
        <v>33545</v>
      </c>
      <c r="H27" s="23">
        <f t="shared" ref="H27:H32" si="11">(+F27-G27)/G27</f>
        <v>-7.1992845431509911E-2</v>
      </c>
      <c r="I27" s="24">
        <f t="shared" ref="I27:I32" si="12">K27/C27</f>
        <v>48.793103618568736</v>
      </c>
      <c r="J27" s="24">
        <f t="shared" ref="J27:J32" si="13">K27/F27</f>
        <v>104.73667748152907</v>
      </c>
      <c r="K27" s="21">
        <v>3260452.77</v>
      </c>
      <c r="L27" s="21">
        <v>3264963.85</v>
      </c>
      <c r="M27" s="25">
        <f t="shared" ref="M27:M32" si="14">(+K27-L27)/L27</f>
        <v>-1.3816630772190859E-3</v>
      </c>
      <c r="N27" s="10"/>
      <c r="R27" s="2"/>
    </row>
    <row r="28" spans="1:18" ht="15.75" customHeight="1" x14ac:dyDescent="0.25">
      <c r="A28" s="19"/>
      <c r="B28" s="20">
        <f>DATE(2019,8,1)</f>
        <v>43678</v>
      </c>
      <c r="C28" s="21">
        <v>69025</v>
      </c>
      <c r="D28" s="21">
        <v>70574</v>
      </c>
      <c r="E28" s="23">
        <f t="shared" si="10"/>
        <v>-2.1948592966248192E-2</v>
      </c>
      <c r="F28" s="21">
        <f>+C28-37871</f>
        <v>31154</v>
      </c>
      <c r="G28" s="21">
        <f>+D28-38367</f>
        <v>32207</v>
      </c>
      <c r="H28" s="23">
        <f t="shared" si="11"/>
        <v>-3.2694755798428912E-2</v>
      </c>
      <c r="I28" s="24">
        <f t="shared" si="12"/>
        <v>46.687241434262944</v>
      </c>
      <c r="J28" s="24">
        <f t="shared" si="13"/>
        <v>103.4405482442062</v>
      </c>
      <c r="K28" s="21">
        <v>3222586.84</v>
      </c>
      <c r="L28" s="21">
        <v>3124652.26</v>
      </c>
      <c r="M28" s="25">
        <f t="shared" si="14"/>
        <v>3.1342553299034973E-2</v>
      </c>
      <c r="N28" s="10"/>
      <c r="R28" s="2"/>
    </row>
    <row r="29" spans="1:18" ht="15.75" customHeight="1" x14ac:dyDescent="0.25">
      <c r="A29" s="19"/>
      <c r="B29" s="20">
        <f>DATE(2019,9,1)</f>
        <v>43709</v>
      </c>
      <c r="C29" s="21">
        <v>65573</v>
      </c>
      <c r="D29" s="21">
        <v>68201</v>
      </c>
      <c r="E29" s="23">
        <f t="shared" si="10"/>
        <v>-3.8533159337839622E-2</v>
      </c>
      <c r="F29" s="21">
        <f>+C29-35939</f>
        <v>29634</v>
      </c>
      <c r="G29" s="21">
        <f>+D29-36459</f>
        <v>31742</v>
      </c>
      <c r="H29" s="23">
        <f t="shared" si="11"/>
        <v>-6.6410434125133894E-2</v>
      </c>
      <c r="I29" s="24">
        <f t="shared" si="12"/>
        <v>47.458679486983975</v>
      </c>
      <c r="J29" s="24">
        <f t="shared" si="13"/>
        <v>105.01477998245259</v>
      </c>
      <c r="K29" s="21">
        <v>3112007.99</v>
      </c>
      <c r="L29" s="21">
        <v>3126829.64</v>
      </c>
      <c r="M29" s="25">
        <f t="shared" si="14"/>
        <v>-4.7401527126370423E-3</v>
      </c>
      <c r="N29" s="10"/>
      <c r="R29" s="2"/>
    </row>
    <row r="30" spans="1:18" ht="15.75" customHeight="1" x14ac:dyDescent="0.25">
      <c r="A30" s="19"/>
      <c r="B30" s="20">
        <f>DATE(2019,10,1)</f>
        <v>43739</v>
      </c>
      <c r="C30" s="21">
        <v>63039</v>
      </c>
      <c r="D30" s="21">
        <v>62804</v>
      </c>
      <c r="E30" s="23">
        <f t="shared" si="10"/>
        <v>3.7417998853576206E-3</v>
      </c>
      <c r="F30" s="21">
        <f>+C30-34568</f>
        <v>28471</v>
      </c>
      <c r="G30" s="21">
        <f>+D30-33338</f>
        <v>29466</v>
      </c>
      <c r="H30" s="23">
        <f t="shared" si="11"/>
        <v>-3.3767732301635781E-2</v>
      </c>
      <c r="I30" s="24">
        <f t="shared" si="12"/>
        <v>49.582150573454527</v>
      </c>
      <c r="J30" s="24">
        <f t="shared" si="13"/>
        <v>109.78220610445716</v>
      </c>
      <c r="K30" s="21">
        <v>3125609.19</v>
      </c>
      <c r="L30" s="21">
        <v>2846929.77</v>
      </c>
      <c r="M30" s="25">
        <f t="shared" si="14"/>
        <v>9.7887704479622598E-2</v>
      </c>
      <c r="N30" s="10"/>
      <c r="R30" s="2"/>
    </row>
    <row r="31" spans="1:18" ht="15.75" customHeight="1" x14ac:dyDescent="0.25">
      <c r="A31" s="19"/>
      <c r="B31" s="20">
        <f>DATE(2019,11,1)</f>
        <v>43770</v>
      </c>
      <c r="C31" s="21">
        <v>64312</v>
      </c>
      <c r="D31" s="21">
        <v>61960</v>
      </c>
      <c r="E31" s="23">
        <f t="shared" si="10"/>
        <v>3.7959974176888317E-2</v>
      </c>
      <c r="F31" s="21">
        <f>+C31-35218</f>
        <v>29094</v>
      </c>
      <c r="G31" s="21">
        <f>+D31-34125</f>
        <v>27835</v>
      </c>
      <c r="H31" s="23">
        <f t="shared" si="11"/>
        <v>4.5230824501526858E-2</v>
      </c>
      <c r="I31" s="24">
        <f t="shared" si="12"/>
        <v>49.90834914168429</v>
      </c>
      <c r="J31" s="24">
        <f t="shared" si="13"/>
        <v>110.32191345294562</v>
      </c>
      <c r="K31" s="21">
        <v>3209705.75</v>
      </c>
      <c r="L31" s="21">
        <v>2852375.01</v>
      </c>
      <c r="M31" s="25">
        <f t="shared" si="14"/>
        <v>0.12527481090223136</v>
      </c>
      <c r="N31" s="10"/>
      <c r="R31" s="2"/>
    </row>
    <row r="32" spans="1:18" ht="15.75" customHeight="1" x14ac:dyDescent="0.25">
      <c r="A32" s="19"/>
      <c r="B32" s="20">
        <f>DATE(2019,12,1)</f>
        <v>43800</v>
      </c>
      <c r="C32" s="21">
        <v>69054</v>
      </c>
      <c r="D32" s="21">
        <v>67802</v>
      </c>
      <c r="E32" s="23">
        <f t="shared" si="10"/>
        <v>1.8465531990206778E-2</v>
      </c>
      <c r="F32" s="21">
        <f>+C32-39487</f>
        <v>29567</v>
      </c>
      <c r="G32" s="21">
        <f>+D32-38252</f>
        <v>29550</v>
      </c>
      <c r="H32" s="23">
        <f t="shared" si="11"/>
        <v>5.7529610829103216E-4</v>
      </c>
      <c r="I32" s="24">
        <f t="shared" si="12"/>
        <v>49.556465809366578</v>
      </c>
      <c r="J32" s="24">
        <f t="shared" si="13"/>
        <v>115.73958095173673</v>
      </c>
      <c r="K32" s="21">
        <v>3422072.19</v>
      </c>
      <c r="L32" s="21">
        <v>3248132.45</v>
      </c>
      <c r="M32" s="25">
        <f t="shared" si="14"/>
        <v>5.3550691875265045E-2</v>
      </c>
      <c r="N32" s="10"/>
      <c r="R32" s="2"/>
    </row>
    <row r="33" spans="1:18" ht="15.75" customHeight="1" thickBot="1" x14ac:dyDescent="0.25">
      <c r="A33" s="38"/>
      <c r="B33" s="20"/>
      <c r="C33" s="21"/>
      <c r="D33" s="21"/>
      <c r="E33" s="23"/>
      <c r="F33" s="21"/>
      <c r="G33" s="21"/>
      <c r="H33" s="23"/>
      <c r="I33" s="24"/>
      <c r="J33" s="24"/>
      <c r="K33" s="21"/>
      <c r="L33" s="21"/>
      <c r="M33" s="25"/>
      <c r="N33" s="10"/>
      <c r="R33" s="2"/>
    </row>
    <row r="34" spans="1:18" ht="17.25" customHeight="1" thickTop="1" thickBot="1" x14ac:dyDescent="0.3">
      <c r="A34" s="39" t="s">
        <v>14</v>
      </c>
      <c r="B34" s="40"/>
      <c r="C34" s="41">
        <f>SUM(C27:C33)</f>
        <v>397825</v>
      </c>
      <c r="D34" s="41">
        <f>SUM(D27:D33)</f>
        <v>404251</v>
      </c>
      <c r="E34" s="279">
        <f>(+C34-D34)/D34</f>
        <v>-1.5896064573742551E-2</v>
      </c>
      <c r="F34" s="41">
        <f>SUM(F27:F33)</f>
        <v>179050</v>
      </c>
      <c r="G34" s="41">
        <f>SUM(G27:G33)</f>
        <v>184345</v>
      </c>
      <c r="H34" s="42">
        <f>(+F34-G34)/G34</f>
        <v>-2.8723317692370284E-2</v>
      </c>
      <c r="I34" s="43">
        <f>K34/C34</f>
        <v>48.645597260101802</v>
      </c>
      <c r="J34" s="43">
        <f>K34/F34</f>
        <v>108.08396944987435</v>
      </c>
      <c r="K34" s="41">
        <f>SUM(K27:K33)</f>
        <v>19352434.73</v>
      </c>
      <c r="L34" s="41">
        <f>SUM(L27:L33)</f>
        <v>18463882.98</v>
      </c>
      <c r="M34" s="44">
        <f>(+K34-L34)/L34</f>
        <v>4.8123774991559225E-2</v>
      </c>
      <c r="N34" s="10"/>
      <c r="R34" s="2"/>
    </row>
    <row r="35" spans="1:18" ht="15.75" customHeight="1" thickTop="1" x14ac:dyDescent="0.2">
      <c r="A35" s="38"/>
      <c r="B35" s="45"/>
      <c r="C35" s="21"/>
      <c r="D35" s="21"/>
      <c r="E35" s="23"/>
      <c r="F35" s="21"/>
      <c r="G35" s="21"/>
      <c r="H35" s="23"/>
      <c r="I35" s="24"/>
      <c r="J35" s="24"/>
      <c r="K35" s="21"/>
      <c r="L35" s="21"/>
      <c r="M35" s="25"/>
      <c r="N35" s="10"/>
      <c r="R35" s="2"/>
    </row>
    <row r="36" spans="1:18" ht="15.75" customHeight="1" x14ac:dyDescent="0.25">
      <c r="A36" s="177" t="s">
        <v>65</v>
      </c>
      <c r="B36" s="20">
        <f>DATE(2019,7,1)</f>
        <v>43647</v>
      </c>
      <c r="C36" s="21">
        <v>438217</v>
      </c>
      <c r="D36" s="21">
        <v>465892</v>
      </c>
      <c r="E36" s="23">
        <f t="shared" ref="E36:E41" si="15">(+C36-D36)/D36</f>
        <v>-5.9402179045787436E-2</v>
      </c>
      <c r="F36" s="21">
        <f>+C36-221917</f>
        <v>216300</v>
      </c>
      <c r="G36" s="21">
        <f>+D36-233751</f>
        <v>232141</v>
      </c>
      <c r="H36" s="23">
        <f t="shared" ref="H36:H41" si="16">(+F36-G36)/G36</f>
        <v>-6.8238699755751892E-2</v>
      </c>
      <c r="I36" s="24">
        <f t="shared" ref="I36:I41" si="17">K36/C36</f>
        <v>46.659625824648522</v>
      </c>
      <c r="J36" s="24">
        <f t="shared" ref="J36:J41" si="18">K36/F36</f>
        <v>94.530935043920479</v>
      </c>
      <c r="K36" s="21">
        <v>20447041.25</v>
      </c>
      <c r="L36" s="21">
        <v>20180093.420000002</v>
      </c>
      <c r="M36" s="25">
        <f t="shared" ref="M36:M41" si="19">(+K36-L36)/L36</f>
        <v>1.3228275233623681E-2</v>
      </c>
      <c r="N36" s="10"/>
      <c r="R36" s="2"/>
    </row>
    <row r="37" spans="1:18" ht="15.75" customHeight="1" x14ac:dyDescent="0.25">
      <c r="A37" s="177"/>
      <c r="B37" s="20">
        <f>DATE(2019,8,1)</f>
        <v>43678</v>
      </c>
      <c r="C37" s="21">
        <v>437029</v>
      </c>
      <c r="D37" s="21">
        <v>454572</v>
      </c>
      <c r="E37" s="23">
        <f t="shared" si="15"/>
        <v>-3.8592346206981515E-2</v>
      </c>
      <c r="F37" s="21">
        <f>+C37-215022</f>
        <v>222007</v>
      </c>
      <c r="G37" s="21">
        <f>+D37-227733</f>
        <v>226839</v>
      </c>
      <c r="H37" s="23">
        <f t="shared" si="16"/>
        <v>-2.1301451690405971E-2</v>
      </c>
      <c r="I37" s="24">
        <f t="shared" si="17"/>
        <v>48.822521114159471</v>
      </c>
      <c r="J37" s="24">
        <f t="shared" si="18"/>
        <v>96.108940618989479</v>
      </c>
      <c r="K37" s="21">
        <v>21336857.579999998</v>
      </c>
      <c r="L37" s="21">
        <v>20410400.739999998</v>
      </c>
      <c r="M37" s="25">
        <f t="shared" si="19"/>
        <v>4.5391408615723237E-2</v>
      </c>
      <c r="N37" s="10"/>
      <c r="R37" s="2"/>
    </row>
    <row r="38" spans="1:18" ht="15.75" customHeight="1" x14ac:dyDescent="0.25">
      <c r="A38" s="177"/>
      <c r="B38" s="20">
        <f>DATE(2019,9,1)</f>
        <v>43709</v>
      </c>
      <c r="C38" s="21">
        <v>403849</v>
      </c>
      <c r="D38" s="21">
        <v>400695</v>
      </c>
      <c r="E38" s="23">
        <f t="shared" si="15"/>
        <v>7.8713235752879366E-3</v>
      </c>
      <c r="F38" s="21">
        <f>+C38-198275</f>
        <v>205574</v>
      </c>
      <c r="G38" s="21">
        <f>+D38-202275</f>
        <v>198420</v>
      </c>
      <c r="H38" s="23">
        <f t="shared" si="16"/>
        <v>3.6054833182138896E-2</v>
      </c>
      <c r="I38" s="24">
        <f t="shared" si="17"/>
        <v>46.879226914019846</v>
      </c>
      <c r="J38" s="24">
        <f t="shared" si="18"/>
        <v>92.093985182951158</v>
      </c>
      <c r="K38" s="21">
        <v>18932128.91</v>
      </c>
      <c r="L38" s="21">
        <v>19424363</v>
      </c>
      <c r="M38" s="25">
        <f t="shared" si="19"/>
        <v>-2.5341067297805331E-2</v>
      </c>
      <c r="N38" s="10"/>
      <c r="R38" s="2"/>
    </row>
    <row r="39" spans="1:18" ht="15.75" customHeight="1" x14ac:dyDescent="0.25">
      <c r="A39" s="177"/>
      <c r="B39" s="20">
        <f>DATE(2019,10,1)</f>
        <v>43739</v>
      </c>
      <c r="C39" s="21">
        <v>396586</v>
      </c>
      <c r="D39" s="21">
        <v>385385</v>
      </c>
      <c r="E39" s="23">
        <f t="shared" si="15"/>
        <v>2.9064442051455038E-2</v>
      </c>
      <c r="F39" s="21">
        <f>+C39-195500</f>
        <v>201086</v>
      </c>
      <c r="G39" s="21">
        <f>+D39-195549</f>
        <v>189836</v>
      </c>
      <c r="H39" s="23">
        <f t="shared" si="16"/>
        <v>5.926167850144335E-2</v>
      </c>
      <c r="I39" s="24">
        <f t="shared" si="17"/>
        <v>47.992709147574551</v>
      </c>
      <c r="J39" s="24">
        <f t="shared" si="18"/>
        <v>94.65222118894404</v>
      </c>
      <c r="K39" s="21">
        <v>19033236.550000001</v>
      </c>
      <c r="L39" s="21">
        <v>18152971.32</v>
      </c>
      <c r="M39" s="25">
        <f t="shared" si="19"/>
        <v>4.8491523204808346E-2</v>
      </c>
      <c r="N39" s="10"/>
      <c r="R39" s="2"/>
    </row>
    <row r="40" spans="1:18" ht="15.75" customHeight="1" x14ac:dyDescent="0.25">
      <c r="A40" s="177"/>
      <c r="B40" s="20">
        <f>DATE(2019,11,1)</f>
        <v>43770</v>
      </c>
      <c r="C40" s="21">
        <v>419787</v>
      </c>
      <c r="D40" s="21">
        <v>374346</v>
      </c>
      <c r="E40" s="23">
        <f t="shared" si="15"/>
        <v>0.12138770014905996</v>
      </c>
      <c r="F40" s="21">
        <f>+C40-213343</f>
        <v>206444</v>
      </c>
      <c r="G40" s="21">
        <f>+D40-191013</f>
        <v>183333</v>
      </c>
      <c r="H40" s="23">
        <f t="shared" si="16"/>
        <v>0.12606022920041673</v>
      </c>
      <c r="I40" s="24">
        <f t="shared" si="17"/>
        <v>48.215090343436074</v>
      </c>
      <c r="J40" s="24">
        <f t="shared" si="18"/>
        <v>98.041445282982309</v>
      </c>
      <c r="K40" s="21">
        <v>20240068.129999999</v>
      </c>
      <c r="L40" s="21">
        <v>17751787.379999999</v>
      </c>
      <c r="M40" s="25">
        <f t="shared" si="19"/>
        <v>0.14017071615016155</v>
      </c>
      <c r="N40" s="10"/>
      <c r="R40" s="2"/>
    </row>
    <row r="41" spans="1:18" ht="15.75" customHeight="1" x14ac:dyDescent="0.25">
      <c r="A41" s="177"/>
      <c r="B41" s="20">
        <f>DATE(2019,12,1)</f>
        <v>43800</v>
      </c>
      <c r="C41" s="21">
        <v>398020</v>
      </c>
      <c r="D41" s="21">
        <v>412048</v>
      </c>
      <c r="E41" s="23">
        <f t="shared" si="15"/>
        <v>-3.4044577330796411E-2</v>
      </c>
      <c r="F41" s="21">
        <f>+C41-203674</f>
        <v>194346</v>
      </c>
      <c r="G41" s="21">
        <f>+D41-211961</f>
        <v>200087</v>
      </c>
      <c r="H41" s="23">
        <f t="shared" si="16"/>
        <v>-2.869251875434186E-2</v>
      </c>
      <c r="I41" s="24">
        <f t="shared" si="17"/>
        <v>49.249710165318326</v>
      </c>
      <c r="J41" s="24">
        <f t="shared" si="18"/>
        <v>100.86325234375805</v>
      </c>
      <c r="K41" s="21">
        <v>19602369.640000001</v>
      </c>
      <c r="L41" s="21">
        <v>19331083.989999998</v>
      </c>
      <c r="M41" s="25">
        <f t="shared" si="19"/>
        <v>1.4033649129057571E-2</v>
      </c>
      <c r="N41" s="10"/>
      <c r="R41" s="2"/>
    </row>
    <row r="42" spans="1:18" ht="15.75" thickBot="1" x14ac:dyDescent="0.25">
      <c r="A42" s="38"/>
      <c r="B42" s="45"/>
      <c r="C42" s="21"/>
      <c r="D42" s="21"/>
      <c r="E42" s="23"/>
      <c r="F42" s="21"/>
      <c r="G42" s="21"/>
      <c r="H42" s="23"/>
      <c r="I42" s="24"/>
      <c r="J42" s="24"/>
      <c r="K42" s="21"/>
      <c r="L42" s="21"/>
      <c r="M42" s="25"/>
      <c r="N42" s="10"/>
      <c r="R42" s="2"/>
    </row>
    <row r="43" spans="1:18" ht="17.25" thickTop="1" thickBot="1" x14ac:dyDescent="0.3">
      <c r="A43" s="39" t="s">
        <v>14</v>
      </c>
      <c r="B43" s="40"/>
      <c r="C43" s="41">
        <f>SUM(C36:C42)</f>
        <v>2493488</v>
      </c>
      <c r="D43" s="41">
        <f>SUM(D36:D42)</f>
        <v>2492938</v>
      </c>
      <c r="E43" s="279">
        <f>(+C43-D43)/D43</f>
        <v>2.2062321646186146E-4</v>
      </c>
      <c r="F43" s="41">
        <f>SUM(F36:F42)</f>
        <v>1245757</v>
      </c>
      <c r="G43" s="41">
        <f>SUM(G36:G42)</f>
        <v>1230656</v>
      </c>
      <c r="H43" s="42">
        <f>(+F43-G43)/G43</f>
        <v>1.2270691403609132E-2</v>
      </c>
      <c r="I43" s="43">
        <f>K43/C43</f>
        <v>47.961611228929108</v>
      </c>
      <c r="J43" s="43">
        <f>K43/F43</f>
        <v>95.99922140513759</v>
      </c>
      <c r="K43" s="41">
        <f>SUM(K36:K42)</f>
        <v>119591702.05999999</v>
      </c>
      <c r="L43" s="41">
        <f>SUM(L36:L42)</f>
        <v>115250699.84999998</v>
      </c>
      <c r="M43" s="44">
        <f>(+K43-L43)/L43</f>
        <v>3.7665734053241057E-2</v>
      </c>
      <c r="N43" s="10"/>
      <c r="R43" s="2"/>
    </row>
    <row r="44" spans="1:18" ht="15.75" thickTop="1" x14ac:dyDescent="0.2">
      <c r="A44" s="38"/>
      <c r="B44" s="45"/>
      <c r="C44" s="21"/>
      <c r="D44" s="21"/>
      <c r="E44" s="23"/>
      <c r="F44" s="21"/>
      <c r="G44" s="21"/>
      <c r="H44" s="23"/>
      <c r="I44" s="24"/>
      <c r="J44" s="24"/>
      <c r="K44" s="21"/>
      <c r="L44" s="21"/>
      <c r="M44" s="25"/>
      <c r="N44" s="10"/>
      <c r="R44" s="2"/>
    </row>
    <row r="45" spans="1:18" ht="15.75" x14ac:dyDescent="0.25">
      <c r="A45" s="19" t="s">
        <v>16</v>
      </c>
      <c r="B45" s="20">
        <f>DATE(2019,7,1)</f>
        <v>43647</v>
      </c>
      <c r="C45" s="21">
        <v>288759</v>
      </c>
      <c r="D45" s="21">
        <v>289167</v>
      </c>
      <c r="E45" s="23">
        <f t="shared" ref="E45:E50" si="20">(+C45-D45)/D45</f>
        <v>-1.410949382190914E-3</v>
      </c>
      <c r="F45" s="21">
        <f>+C45-131177</f>
        <v>157582</v>
      </c>
      <c r="G45" s="21">
        <f>+D45-134357</f>
        <v>154810</v>
      </c>
      <c r="H45" s="23">
        <f t="shared" ref="H45:H50" si="21">(+F45-G45)/G45</f>
        <v>1.790582003746528E-2</v>
      </c>
      <c r="I45" s="24">
        <f t="shared" ref="I45:I50" si="22">K45/C45</f>
        <v>48.751639741098977</v>
      </c>
      <c r="J45" s="24">
        <f t="shared" ref="J45:J50" si="23">K45/F45</f>
        <v>89.334281453465493</v>
      </c>
      <c r="K45" s="21">
        <v>14077474.74</v>
      </c>
      <c r="L45" s="21">
        <v>14895059.23</v>
      </c>
      <c r="M45" s="25">
        <f t="shared" ref="M45:M50" si="24">(+K45-L45)/L45</f>
        <v>-5.4889643429769715E-2</v>
      </c>
      <c r="N45" s="10"/>
      <c r="R45" s="2"/>
    </row>
    <row r="46" spans="1:18" ht="15.75" x14ac:dyDescent="0.25">
      <c r="A46" s="19"/>
      <c r="B46" s="20">
        <f>DATE(2019,8,1)</f>
        <v>43678</v>
      </c>
      <c r="C46" s="21">
        <v>292957</v>
      </c>
      <c r="D46" s="21">
        <v>292132</v>
      </c>
      <c r="E46" s="23">
        <f t="shared" si="20"/>
        <v>2.8240658332534608E-3</v>
      </c>
      <c r="F46" s="21">
        <f>+C46-131852</f>
        <v>161105</v>
      </c>
      <c r="G46" s="21">
        <f>+D46-136807</f>
        <v>155325</v>
      </c>
      <c r="H46" s="23">
        <f t="shared" si="21"/>
        <v>3.7212296797038469E-2</v>
      </c>
      <c r="I46" s="24">
        <f t="shared" si="22"/>
        <v>53.183119911795927</v>
      </c>
      <c r="J46" s="24">
        <f t="shared" si="23"/>
        <v>96.709396108128232</v>
      </c>
      <c r="K46" s="21">
        <v>15580367.26</v>
      </c>
      <c r="L46" s="21">
        <v>14589427.75</v>
      </c>
      <c r="M46" s="25">
        <f t="shared" si="24"/>
        <v>6.7921753133874621E-2</v>
      </c>
      <c r="N46" s="10"/>
      <c r="R46" s="2"/>
    </row>
    <row r="47" spans="1:18" ht="15.75" x14ac:dyDescent="0.25">
      <c r="A47" s="19"/>
      <c r="B47" s="20">
        <f>DATE(2019,9,1)</f>
        <v>43709</v>
      </c>
      <c r="C47" s="21">
        <v>276713</v>
      </c>
      <c r="D47" s="21">
        <v>292955</v>
      </c>
      <c r="E47" s="23">
        <f t="shared" si="20"/>
        <v>-5.5441962076086773E-2</v>
      </c>
      <c r="F47" s="21">
        <f>+C47-125818</f>
        <v>150895</v>
      </c>
      <c r="G47" s="21">
        <f>+D47-135433</f>
        <v>157522</v>
      </c>
      <c r="H47" s="23">
        <f t="shared" si="21"/>
        <v>-4.2070313987887409E-2</v>
      </c>
      <c r="I47" s="24">
        <f t="shared" si="22"/>
        <v>52.918303368472031</v>
      </c>
      <c r="J47" s="24">
        <f t="shared" si="23"/>
        <v>97.042198084760926</v>
      </c>
      <c r="K47" s="21">
        <v>14643182.48</v>
      </c>
      <c r="L47" s="21">
        <v>15232551.26</v>
      </c>
      <c r="M47" s="25">
        <f t="shared" si="24"/>
        <v>-3.8691403031589029E-2</v>
      </c>
      <c r="N47" s="10"/>
      <c r="R47" s="2"/>
    </row>
    <row r="48" spans="1:18" ht="15.75" x14ac:dyDescent="0.25">
      <c r="A48" s="19"/>
      <c r="B48" s="20">
        <f>DATE(2019,10,1)</f>
        <v>43739</v>
      </c>
      <c r="C48" s="21">
        <v>265282</v>
      </c>
      <c r="D48" s="21">
        <v>283107</v>
      </c>
      <c r="E48" s="23">
        <f t="shared" si="20"/>
        <v>-6.2962060281095134E-2</v>
      </c>
      <c r="F48" s="21">
        <f>+C48-120858</f>
        <v>144424</v>
      </c>
      <c r="G48" s="21">
        <f>+D48-129714</f>
        <v>153393</v>
      </c>
      <c r="H48" s="23">
        <f t="shared" si="21"/>
        <v>-5.8470725522025126E-2</v>
      </c>
      <c r="I48" s="24">
        <f t="shared" si="22"/>
        <v>55.320004071139394</v>
      </c>
      <c r="J48" s="24">
        <f t="shared" si="23"/>
        <v>101.61331440757769</v>
      </c>
      <c r="K48" s="21">
        <v>14675401.32</v>
      </c>
      <c r="L48" s="21">
        <v>14681050.109999999</v>
      </c>
      <c r="M48" s="25">
        <f t="shared" si="24"/>
        <v>-3.8476743541331776E-4</v>
      </c>
      <c r="N48" s="10"/>
      <c r="R48" s="2"/>
    </row>
    <row r="49" spans="1:18" ht="15.75" x14ac:dyDescent="0.25">
      <c r="A49" s="19"/>
      <c r="B49" s="20">
        <f>DATE(2019,11,1)</f>
        <v>43770</v>
      </c>
      <c r="C49" s="21">
        <v>288764</v>
      </c>
      <c r="D49" s="21">
        <v>270987</v>
      </c>
      <c r="E49" s="23">
        <f t="shared" si="20"/>
        <v>6.5600932886079405E-2</v>
      </c>
      <c r="F49" s="21">
        <f>+C49-130395</f>
        <v>158369</v>
      </c>
      <c r="G49" s="21">
        <f>+D49-127087</f>
        <v>143900</v>
      </c>
      <c r="H49" s="23">
        <f t="shared" si="21"/>
        <v>0.10054899235580264</v>
      </c>
      <c r="I49" s="24">
        <f t="shared" si="22"/>
        <v>50.373510860079513</v>
      </c>
      <c r="J49" s="24">
        <f t="shared" si="23"/>
        <v>91.849140235778464</v>
      </c>
      <c r="K49" s="21">
        <v>14546056.49</v>
      </c>
      <c r="L49" s="21">
        <v>13799099.199999999</v>
      </c>
      <c r="M49" s="25">
        <f t="shared" si="24"/>
        <v>5.4130873267437707E-2</v>
      </c>
      <c r="N49" s="10"/>
      <c r="R49" s="2"/>
    </row>
    <row r="50" spans="1:18" ht="15.75" x14ac:dyDescent="0.25">
      <c r="A50" s="19"/>
      <c r="B50" s="20">
        <f>DATE(2019,12,1)</f>
        <v>43800</v>
      </c>
      <c r="C50" s="21">
        <v>302309</v>
      </c>
      <c r="D50" s="21">
        <v>307184</v>
      </c>
      <c r="E50" s="23">
        <f t="shared" si="20"/>
        <v>-1.5869967185790926E-2</v>
      </c>
      <c r="F50" s="21">
        <f>+C50-138214</f>
        <v>164095</v>
      </c>
      <c r="G50" s="21">
        <f>+D50-142869</f>
        <v>164315</v>
      </c>
      <c r="H50" s="23">
        <f t="shared" si="21"/>
        <v>-1.3388917627727231E-3</v>
      </c>
      <c r="I50" s="24">
        <f t="shared" si="22"/>
        <v>49.246940812215314</v>
      </c>
      <c r="J50" s="24">
        <f t="shared" si="23"/>
        <v>90.726673146652857</v>
      </c>
      <c r="K50" s="21">
        <v>14887793.43</v>
      </c>
      <c r="L50" s="21">
        <v>15587002.33</v>
      </c>
      <c r="M50" s="25">
        <f t="shared" si="24"/>
        <v>-4.4858458682221831E-2</v>
      </c>
      <c r="N50" s="10"/>
      <c r="R50" s="2"/>
    </row>
    <row r="51" spans="1:18" ht="15.75" thickBot="1" x14ac:dyDescent="0.25">
      <c r="A51" s="38"/>
      <c r="B51" s="20"/>
      <c r="C51" s="21"/>
      <c r="D51" s="21"/>
      <c r="E51" s="23"/>
      <c r="F51" s="21"/>
      <c r="G51" s="21"/>
      <c r="H51" s="23"/>
      <c r="I51" s="24"/>
      <c r="J51" s="24"/>
      <c r="K51" s="21"/>
      <c r="L51" s="21"/>
      <c r="M51" s="25"/>
      <c r="N51" s="10"/>
      <c r="R51" s="2"/>
    </row>
    <row r="52" spans="1:18" ht="17.25" thickTop="1" thickBot="1" x14ac:dyDescent="0.3">
      <c r="A52" s="39" t="s">
        <v>14</v>
      </c>
      <c r="B52" s="40"/>
      <c r="C52" s="41">
        <f>SUM(C45:C51)</f>
        <v>1714784</v>
      </c>
      <c r="D52" s="41">
        <f>SUM(D45:D51)</f>
        <v>1735532</v>
      </c>
      <c r="E52" s="280">
        <f>(+C52-D52)/D52</f>
        <v>-1.1954835750651673E-2</v>
      </c>
      <c r="F52" s="47">
        <f>SUM(F45:F51)</f>
        <v>936470</v>
      </c>
      <c r="G52" s="48">
        <f>SUM(G45:G51)</f>
        <v>929265</v>
      </c>
      <c r="H52" s="49">
        <f>(+F52-G52)/G52</f>
        <v>7.7534395463081038E-3</v>
      </c>
      <c r="I52" s="50">
        <f>K52/C52</f>
        <v>51.557674739209133</v>
      </c>
      <c r="J52" s="51">
        <f>K52/F52</f>
        <v>94.408017042724268</v>
      </c>
      <c r="K52" s="48">
        <f>SUM(K45:K51)</f>
        <v>88410275.719999999</v>
      </c>
      <c r="L52" s="47">
        <f>SUM(L45:L51)</f>
        <v>88784189.879999995</v>
      </c>
      <c r="M52" s="44">
        <f>(+K52-L52)/L52</f>
        <v>-4.2114948675589185E-3</v>
      </c>
      <c r="N52" s="10"/>
      <c r="R52" s="2"/>
    </row>
    <row r="53" spans="1:18" ht="15.75" customHeight="1" thickTop="1" x14ac:dyDescent="0.25">
      <c r="A53" s="273"/>
      <c r="B53" s="45"/>
      <c r="C53" s="21"/>
      <c r="D53" s="21"/>
      <c r="E53" s="23"/>
      <c r="F53" s="21"/>
      <c r="G53" s="21"/>
      <c r="H53" s="23"/>
      <c r="I53" s="24"/>
      <c r="J53" s="24"/>
      <c r="K53" s="21"/>
      <c r="L53" s="21"/>
      <c r="M53" s="25"/>
      <c r="N53" s="10"/>
      <c r="R53" s="2"/>
    </row>
    <row r="54" spans="1:18" ht="15.75" x14ac:dyDescent="0.25">
      <c r="A54" s="274" t="s">
        <v>66</v>
      </c>
      <c r="B54" s="20">
        <f>DATE(2019,7,1)</f>
        <v>43647</v>
      </c>
      <c r="C54" s="21">
        <v>110928</v>
      </c>
      <c r="D54" s="21">
        <v>129160</v>
      </c>
      <c r="E54" s="23">
        <f t="shared" ref="E54:E59" si="25">(+C54-D54)/D54</f>
        <v>-0.14115825332920409</v>
      </c>
      <c r="F54" s="21">
        <f>+C54-54910</f>
        <v>56018</v>
      </c>
      <c r="G54" s="21">
        <f>+D54-62596</f>
        <v>66564</v>
      </c>
      <c r="H54" s="23">
        <f t="shared" ref="H54:H59" si="26">(+F54-G54)/G54</f>
        <v>-0.15843398834204675</v>
      </c>
      <c r="I54" s="24">
        <f t="shared" ref="I54:I59" si="27">K54/C54</f>
        <v>40.178847450598589</v>
      </c>
      <c r="J54" s="24">
        <f t="shared" ref="J54:J59" si="28">K54/F54</f>
        <v>79.562983148273773</v>
      </c>
      <c r="K54" s="21">
        <v>4456959.1900000004</v>
      </c>
      <c r="L54" s="21">
        <v>5218892.55</v>
      </c>
      <c r="M54" s="25">
        <f t="shared" ref="M54:M59" si="29">(+K54-L54)/L54</f>
        <v>-0.14599521885155489</v>
      </c>
      <c r="N54" s="10"/>
      <c r="R54" s="2"/>
    </row>
    <row r="55" spans="1:18" ht="15.75" x14ac:dyDescent="0.25">
      <c r="A55" s="274"/>
      <c r="B55" s="20">
        <f>DATE(2019,8,1)</f>
        <v>43678</v>
      </c>
      <c r="C55" s="21">
        <v>114308</v>
      </c>
      <c r="D55" s="21">
        <v>120860</v>
      </c>
      <c r="E55" s="23">
        <f t="shared" si="25"/>
        <v>-5.4211484362071821E-2</v>
      </c>
      <c r="F55" s="21">
        <f>+C55-54234</f>
        <v>60074</v>
      </c>
      <c r="G55" s="21">
        <f>+D55-58336</f>
        <v>62524</v>
      </c>
      <c r="H55" s="23">
        <f t="shared" si="26"/>
        <v>-3.918495297805643E-2</v>
      </c>
      <c r="I55" s="24">
        <f t="shared" si="27"/>
        <v>45.628914424187286</v>
      </c>
      <c r="J55" s="24">
        <f t="shared" si="28"/>
        <v>86.822085261510807</v>
      </c>
      <c r="K55" s="21">
        <v>5215749.95</v>
      </c>
      <c r="L55" s="21">
        <v>5263252.67</v>
      </c>
      <c r="M55" s="25">
        <f t="shared" si="29"/>
        <v>-9.025354277737865E-3</v>
      </c>
      <c r="N55" s="10"/>
      <c r="R55" s="2"/>
    </row>
    <row r="56" spans="1:18" ht="15.75" x14ac:dyDescent="0.25">
      <c r="A56" s="274"/>
      <c r="B56" s="20">
        <f>DATE(2019,9,1)</f>
        <v>43709</v>
      </c>
      <c r="C56" s="21">
        <v>108669</v>
      </c>
      <c r="D56" s="21">
        <v>129571</v>
      </c>
      <c r="E56" s="23">
        <f t="shared" si="25"/>
        <v>-0.16131696135709381</v>
      </c>
      <c r="F56" s="21">
        <f>+C56-53294</f>
        <v>55375</v>
      </c>
      <c r="G56" s="21">
        <f>+D56-62477</f>
        <v>67094</v>
      </c>
      <c r="H56" s="23">
        <f t="shared" si="26"/>
        <v>-0.17466539481920887</v>
      </c>
      <c r="I56" s="24">
        <f t="shared" si="27"/>
        <v>46.652023300113186</v>
      </c>
      <c r="J56" s="24">
        <f t="shared" si="28"/>
        <v>91.550857246049659</v>
      </c>
      <c r="K56" s="21">
        <v>5069628.72</v>
      </c>
      <c r="L56" s="21">
        <v>5057302.72</v>
      </c>
      <c r="M56" s="25">
        <f t="shared" si="29"/>
        <v>2.4372675875728475E-3</v>
      </c>
      <c r="N56" s="10"/>
      <c r="R56" s="2"/>
    </row>
    <row r="57" spans="1:18" ht="15.75" x14ac:dyDescent="0.25">
      <c r="A57" s="274"/>
      <c r="B57" s="20">
        <f>DATE(2019,10,1)</f>
        <v>43739</v>
      </c>
      <c r="C57" s="21">
        <v>108724</v>
      </c>
      <c r="D57" s="21">
        <v>116235</v>
      </c>
      <c r="E57" s="23">
        <f t="shared" si="25"/>
        <v>-6.4619090635350804E-2</v>
      </c>
      <c r="F57" s="21">
        <f>+C57-52953</f>
        <v>55771</v>
      </c>
      <c r="G57" s="21">
        <f>+D57-55536</f>
        <v>60699</v>
      </c>
      <c r="H57" s="23">
        <f t="shared" si="26"/>
        <v>-8.1187498970328995E-2</v>
      </c>
      <c r="I57" s="24">
        <f t="shared" si="27"/>
        <v>46.939410433758873</v>
      </c>
      <c r="J57" s="24">
        <f t="shared" si="28"/>
        <v>91.507063886249128</v>
      </c>
      <c r="K57" s="21">
        <v>5103440.46</v>
      </c>
      <c r="L57" s="21">
        <v>4939589.4400000004</v>
      </c>
      <c r="M57" s="25">
        <f t="shared" si="29"/>
        <v>3.3170979489339815E-2</v>
      </c>
      <c r="N57" s="10"/>
      <c r="R57" s="2"/>
    </row>
    <row r="58" spans="1:18" ht="15.75" x14ac:dyDescent="0.25">
      <c r="A58" s="274"/>
      <c r="B58" s="20">
        <f>DATE(2019,11,1)</f>
        <v>43770</v>
      </c>
      <c r="C58" s="21">
        <v>108978</v>
      </c>
      <c r="D58" s="21">
        <v>117294</v>
      </c>
      <c r="E58" s="23">
        <f t="shared" si="25"/>
        <v>-7.0898767200368307E-2</v>
      </c>
      <c r="F58" s="21">
        <f>+C58-53627</f>
        <v>55351</v>
      </c>
      <c r="G58" s="21">
        <f>+D58-56187</f>
        <v>61107</v>
      </c>
      <c r="H58" s="23">
        <f t="shared" si="26"/>
        <v>-9.4195427692408393E-2</v>
      </c>
      <c r="I58" s="24">
        <f t="shared" si="27"/>
        <v>46.878065572867918</v>
      </c>
      <c r="J58" s="24">
        <f t="shared" si="28"/>
        <v>92.296034940651481</v>
      </c>
      <c r="K58" s="21">
        <v>5108677.83</v>
      </c>
      <c r="L58" s="21">
        <v>4901524.07</v>
      </c>
      <c r="M58" s="25">
        <f t="shared" si="29"/>
        <v>4.2263132250618479E-2</v>
      </c>
      <c r="N58" s="10"/>
      <c r="R58" s="2"/>
    </row>
    <row r="59" spans="1:18" ht="15.75" x14ac:dyDescent="0.25">
      <c r="A59" s="274"/>
      <c r="B59" s="20">
        <f>DATE(2019,12,1)</f>
        <v>43800</v>
      </c>
      <c r="C59" s="21">
        <v>115854</v>
      </c>
      <c r="D59" s="21">
        <v>141406</v>
      </c>
      <c r="E59" s="23">
        <f t="shared" si="25"/>
        <v>-0.18069954598814761</v>
      </c>
      <c r="F59" s="21">
        <f>+C59-57214</f>
        <v>58640</v>
      </c>
      <c r="G59" s="21">
        <f>+D59-68500</f>
        <v>72906</v>
      </c>
      <c r="H59" s="23">
        <f t="shared" si="26"/>
        <v>-0.19567662469481251</v>
      </c>
      <c r="I59" s="24">
        <f t="shared" si="27"/>
        <v>46.282642895368305</v>
      </c>
      <c r="J59" s="24">
        <f t="shared" si="28"/>
        <v>91.439790416098219</v>
      </c>
      <c r="K59" s="21">
        <v>5362029.3099999996</v>
      </c>
      <c r="L59" s="21">
        <v>5509337.6900000004</v>
      </c>
      <c r="M59" s="25">
        <f t="shared" si="29"/>
        <v>-2.6737947152410041E-2</v>
      </c>
      <c r="N59" s="10"/>
      <c r="R59" s="2"/>
    </row>
    <row r="60" spans="1:18" ht="15.75" customHeight="1" thickBot="1" x14ac:dyDescent="0.3">
      <c r="A60" s="19"/>
      <c r="B60" s="20"/>
      <c r="C60" s="21"/>
      <c r="D60" s="21"/>
      <c r="E60" s="23"/>
      <c r="F60" s="21"/>
      <c r="G60" s="21"/>
      <c r="H60" s="23"/>
      <c r="I60" s="24"/>
      <c r="J60" s="24"/>
      <c r="K60" s="21"/>
      <c r="L60" s="21"/>
      <c r="M60" s="25"/>
      <c r="N60" s="10"/>
      <c r="R60" s="2"/>
    </row>
    <row r="61" spans="1:18" ht="17.45" customHeight="1" thickTop="1" thickBot="1" x14ac:dyDescent="0.3">
      <c r="A61" s="39" t="s">
        <v>14</v>
      </c>
      <c r="B61" s="52"/>
      <c r="C61" s="47">
        <f>SUM(C54:C60)</f>
        <v>667461</v>
      </c>
      <c r="D61" s="48">
        <f>SUM(D54:D60)</f>
        <v>754526</v>
      </c>
      <c r="E61" s="280">
        <f>(+C61-D61)/D61</f>
        <v>-0.11539032452162019</v>
      </c>
      <c r="F61" s="48">
        <f>SUM(F54:F60)</f>
        <v>341229</v>
      </c>
      <c r="G61" s="47">
        <f>SUM(G54:G60)</f>
        <v>390894</v>
      </c>
      <c r="H61" s="46">
        <f>(+F61-G61)/G61</f>
        <v>-0.1270549049102826</v>
      </c>
      <c r="I61" s="51">
        <f>K61/C61</f>
        <v>45.420609533740546</v>
      </c>
      <c r="J61" s="50">
        <f>K61/F61</f>
        <v>88.844985215207373</v>
      </c>
      <c r="K61" s="47">
        <f>SUM(K54:K60)</f>
        <v>30316485.459999997</v>
      </c>
      <c r="L61" s="48">
        <f>SUM(L54:L60)</f>
        <v>30889899.140000001</v>
      </c>
      <c r="M61" s="44">
        <f>(+K61-L61)/L61</f>
        <v>-1.8563145104526342E-2</v>
      </c>
      <c r="N61" s="10"/>
      <c r="R61" s="2"/>
    </row>
    <row r="62" spans="1:18" ht="15.75" customHeight="1" thickTop="1" x14ac:dyDescent="0.25">
      <c r="A62" s="19"/>
      <c r="B62" s="45"/>
      <c r="C62" s="21"/>
      <c r="D62" s="21"/>
      <c r="E62" s="23"/>
      <c r="F62" s="21"/>
      <c r="G62" s="21"/>
      <c r="H62" s="23"/>
      <c r="I62" s="24"/>
      <c r="J62" s="24"/>
      <c r="K62" s="21"/>
      <c r="L62" s="21"/>
      <c r="M62" s="25"/>
      <c r="N62" s="10"/>
      <c r="R62" s="2"/>
    </row>
    <row r="63" spans="1:18" ht="15.75" x14ac:dyDescent="0.25">
      <c r="A63" s="19" t="s">
        <v>17</v>
      </c>
      <c r="B63" s="20">
        <f>DATE(2019,7,1)</f>
        <v>43647</v>
      </c>
      <c r="C63" s="21">
        <v>151411</v>
      </c>
      <c r="D63" s="21">
        <v>164240</v>
      </c>
      <c r="E63" s="23">
        <f t="shared" ref="E63:E68" si="30">(+C63-D63)/D63</f>
        <v>-7.8111300535801273E-2</v>
      </c>
      <c r="F63" s="21">
        <f>+C63-71749</f>
        <v>79662</v>
      </c>
      <c r="G63" s="21">
        <f>+D63-78084</f>
        <v>86156</v>
      </c>
      <c r="H63" s="23">
        <f t="shared" ref="H63:H68" si="31">(+F63-G63)/G63</f>
        <v>-7.5374901341752176E-2</v>
      </c>
      <c r="I63" s="24">
        <f t="shared" ref="I63:I68" si="32">K63/C63</f>
        <v>34.630094246785241</v>
      </c>
      <c r="J63" s="24">
        <f t="shared" ref="J63:J68" si="33">K63/F63</f>
        <v>65.82030579197108</v>
      </c>
      <c r="K63" s="21">
        <v>5243377.2</v>
      </c>
      <c r="L63" s="21">
        <v>5776329.8099999996</v>
      </c>
      <c r="M63" s="25">
        <f t="shared" ref="M63:M68" si="34">(+K63-L63)/L63</f>
        <v>-9.2264920378568108E-2</v>
      </c>
      <c r="N63" s="10"/>
      <c r="R63" s="2"/>
    </row>
    <row r="64" spans="1:18" ht="15.75" x14ac:dyDescent="0.25">
      <c r="A64" s="19"/>
      <c r="B64" s="20">
        <f>DATE(2019,8,1)</f>
        <v>43678</v>
      </c>
      <c r="C64" s="21">
        <v>153444</v>
      </c>
      <c r="D64" s="21">
        <v>161125</v>
      </c>
      <c r="E64" s="23">
        <f t="shared" si="30"/>
        <v>-4.7671062839410396E-2</v>
      </c>
      <c r="F64" s="21">
        <f>+C64-72860</f>
        <v>80584</v>
      </c>
      <c r="G64" s="21">
        <f>+D64-76425</f>
        <v>84700</v>
      </c>
      <c r="H64" s="23">
        <f t="shared" si="31"/>
        <v>-4.8595041322314049E-2</v>
      </c>
      <c r="I64" s="24">
        <f t="shared" si="32"/>
        <v>36.91110437684106</v>
      </c>
      <c r="J64" s="24">
        <f t="shared" si="33"/>
        <v>70.284268589298122</v>
      </c>
      <c r="K64" s="21">
        <v>5663787.5</v>
      </c>
      <c r="L64" s="21">
        <v>5562742.8200000003</v>
      </c>
      <c r="M64" s="25">
        <f t="shared" si="34"/>
        <v>1.8164542792938197E-2</v>
      </c>
      <c r="N64" s="10"/>
      <c r="R64" s="2"/>
    </row>
    <row r="65" spans="1:18" ht="15.75" x14ac:dyDescent="0.25">
      <c r="A65" s="19"/>
      <c r="B65" s="20">
        <f>DATE(2019,9,1)</f>
        <v>43709</v>
      </c>
      <c r="C65" s="21">
        <v>143049</v>
      </c>
      <c r="D65" s="21">
        <v>154193</v>
      </c>
      <c r="E65" s="23">
        <f t="shared" si="30"/>
        <v>-7.2273060385361201E-2</v>
      </c>
      <c r="F65" s="21">
        <f>+C65-67371</f>
        <v>75678</v>
      </c>
      <c r="G65" s="21">
        <f>+D65-72768</f>
        <v>81425</v>
      </c>
      <c r="H65" s="23">
        <f t="shared" si="31"/>
        <v>-7.0580288609149527E-2</v>
      </c>
      <c r="I65" s="24">
        <f t="shared" si="32"/>
        <v>35.52142797223329</v>
      </c>
      <c r="J65" s="24">
        <f t="shared" si="33"/>
        <v>67.143750495520493</v>
      </c>
      <c r="K65" s="21">
        <v>5081304.75</v>
      </c>
      <c r="L65" s="21">
        <v>5375376.2999999998</v>
      </c>
      <c r="M65" s="25">
        <f t="shared" si="34"/>
        <v>-5.4707156036685252E-2</v>
      </c>
      <c r="N65" s="10"/>
      <c r="R65" s="2"/>
    </row>
    <row r="66" spans="1:18" ht="15.75" x14ac:dyDescent="0.25">
      <c r="A66" s="19"/>
      <c r="B66" s="20">
        <f>DATE(2019,10,1)</f>
        <v>43739</v>
      </c>
      <c r="C66" s="21">
        <v>147133</v>
      </c>
      <c r="D66" s="21">
        <v>153175</v>
      </c>
      <c r="E66" s="23">
        <f t="shared" si="30"/>
        <v>-3.9445079157826017E-2</v>
      </c>
      <c r="F66" s="21">
        <f>+C66-70441</f>
        <v>76692</v>
      </c>
      <c r="G66" s="21">
        <f>+D66-73639</f>
        <v>79536</v>
      </c>
      <c r="H66" s="23">
        <f t="shared" si="31"/>
        <v>-3.5757392878696441E-2</v>
      </c>
      <c r="I66" s="24">
        <f t="shared" si="32"/>
        <v>36.719846737305701</v>
      </c>
      <c r="J66" s="24">
        <f t="shared" si="33"/>
        <v>70.446737730141351</v>
      </c>
      <c r="K66" s="21">
        <v>5402701.21</v>
      </c>
      <c r="L66" s="21">
        <v>5256338.8</v>
      </c>
      <c r="M66" s="25">
        <f t="shared" si="34"/>
        <v>2.7844934576896022E-2</v>
      </c>
      <c r="N66" s="10"/>
      <c r="R66" s="2"/>
    </row>
    <row r="67" spans="1:18" ht="15.75" x14ac:dyDescent="0.25">
      <c r="A67" s="19"/>
      <c r="B67" s="20">
        <f>DATE(2019,11,1)</f>
        <v>43770</v>
      </c>
      <c r="C67" s="21">
        <v>147609</v>
      </c>
      <c r="D67" s="21">
        <v>139109</v>
      </c>
      <c r="E67" s="23">
        <f t="shared" si="30"/>
        <v>6.1103163706158481E-2</v>
      </c>
      <c r="F67" s="21">
        <f>+C67-72727</f>
        <v>74882</v>
      </c>
      <c r="G67" s="21">
        <f>+D67-66707</f>
        <v>72402</v>
      </c>
      <c r="H67" s="23">
        <f t="shared" si="31"/>
        <v>3.4253197425485486E-2</v>
      </c>
      <c r="I67" s="24">
        <f t="shared" si="32"/>
        <v>36.772296133704586</v>
      </c>
      <c r="J67" s="24">
        <f t="shared" si="33"/>
        <v>72.486336636307797</v>
      </c>
      <c r="K67" s="21">
        <v>5427921.8600000003</v>
      </c>
      <c r="L67" s="21">
        <v>5071701.4800000004</v>
      </c>
      <c r="M67" s="25">
        <f t="shared" si="34"/>
        <v>7.0236858656751985E-2</v>
      </c>
      <c r="N67" s="10"/>
      <c r="R67" s="2"/>
    </row>
    <row r="68" spans="1:18" ht="15.75" x14ac:dyDescent="0.25">
      <c r="A68" s="19"/>
      <c r="B68" s="20">
        <f>DATE(2019,12,1)</f>
        <v>43800</v>
      </c>
      <c r="C68" s="21">
        <v>148824</v>
      </c>
      <c r="D68" s="21">
        <v>159746</v>
      </c>
      <c r="E68" s="23">
        <f t="shared" si="30"/>
        <v>-6.8371039024451311E-2</v>
      </c>
      <c r="F68" s="21">
        <f>+C68-74088</f>
        <v>74736</v>
      </c>
      <c r="G68" s="21">
        <f>+D68-79467</f>
        <v>80279</v>
      </c>
      <c r="H68" s="23">
        <f t="shared" si="31"/>
        <v>-6.9046699635022857E-2</v>
      </c>
      <c r="I68" s="24">
        <f t="shared" si="32"/>
        <v>36.325450397785303</v>
      </c>
      <c r="J68" s="24">
        <f t="shared" si="33"/>
        <v>72.335940242988656</v>
      </c>
      <c r="K68" s="21">
        <v>5406098.8300000001</v>
      </c>
      <c r="L68" s="21">
        <v>5582453.1200000001</v>
      </c>
      <c r="M68" s="25">
        <f t="shared" si="34"/>
        <v>-3.1590823283080258E-2</v>
      </c>
      <c r="N68" s="10"/>
      <c r="R68" s="2"/>
    </row>
    <row r="69" spans="1:18" ht="15.75" customHeight="1" thickBot="1" x14ac:dyDescent="0.3">
      <c r="A69" s="19"/>
      <c r="B69" s="45"/>
      <c r="C69" s="21"/>
      <c r="D69" s="21"/>
      <c r="E69" s="23"/>
      <c r="F69" s="21"/>
      <c r="G69" s="21"/>
      <c r="H69" s="23"/>
      <c r="I69" s="24"/>
      <c r="J69" s="24"/>
      <c r="K69" s="21"/>
      <c r="L69" s="21"/>
      <c r="M69" s="25"/>
      <c r="N69" s="10"/>
      <c r="R69" s="2"/>
    </row>
    <row r="70" spans="1:18" ht="17.45" customHeight="1" thickTop="1" thickBot="1" x14ac:dyDescent="0.3">
      <c r="A70" s="39" t="s">
        <v>14</v>
      </c>
      <c r="B70" s="52"/>
      <c r="C70" s="47">
        <f>SUM(C63:C69)</f>
        <v>891470</v>
      </c>
      <c r="D70" s="48">
        <f>SUM(D63:D69)</f>
        <v>931588</v>
      </c>
      <c r="E70" s="280">
        <f>(+C70-D70)/D70</f>
        <v>-4.3064101297998689E-2</v>
      </c>
      <c r="F70" s="48">
        <f>SUM(F63:F69)</f>
        <v>462234</v>
      </c>
      <c r="G70" s="47">
        <f>SUM(G63:G69)</f>
        <v>484498</v>
      </c>
      <c r="H70" s="53">
        <f>(+F70-G70)/G70</f>
        <v>-4.5952718071075628E-2</v>
      </c>
      <c r="I70" s="51">
        <f>K70/C70</f>
        <v>36.148374426509029</v>
      </c>
      <c r="J70" s="50">
        <f>K70/F70</f>
        <v>69.716185633250689</v>
      </c>
      <c r="K70" s="47">
        <f>SUM(K63:K69)</f>
        <v>32225191.350000001</v>
      </c>
      <c r="L70" s="48">
        <f>SUM(L63:L69)</f>
        <v>32624942.330000002</v>
      </c>
      <c r="M70" s="44">
        <f>(+K70-L70)/L70</f>
        <v>-1.2252925260573186E-2</v>
      </c>
      <c r="N70" s="10"/>
      <c r="R70" s="2"/>
    </row>
    <row r="71" spans="1:18" ht="15.75" customHeight="1" thickTop="1" x14ac:dyDescent="0.25">
      <c r="A71" s="19"/>
      <c r="B71" s="45"/>
      <c r="C71" s="21"/>
      <c r="D71" s="21"/>
      <c r="E71" s="23"/>
      <c r="F71" s="21"/>
      <c r="G71" s="21"/>
      <c r="H71" s="23"/>
      <c r="I71" s="24"/>
      <c r="J71" s="24"/>
      <c r="K71" s="21"/>
      <c r="L71" s="21"/>
      <c r="M71" s="25"/>
      <c r="N71" s="10"/>
      <c r="R71" s="2"/>
    </row>
    <row r="72" spans="1:18" ht="15.75" customHeight="1" x14ac:dyDescent="0.25">
      <c r="A72" s="19" t="s">
        <v>67</v>
      </c>
      <c r="B72" s="20">
        <f>DATE(2019,7,1)</f>
        <v>43647</v>
      </c>
      <c r="C72" s="21">
        <v>323721</v>
      </c>
      <c r="D72" s="21">
        <v>388346</v>
      </c>
      <c r="E72" s="23">
        <f t="shared" ref="E72:E77" si="35">(+C72-D72)/D72</f>
        <v>-0.16641088101847321</v>
      </c>
      <c r="F72" s="21">
        <f>+C72-139052</f>
        <v>184669</v>
      </c>
      <c r="G72" s="21">
        <f>+D72-165497</f>
        <v>222849</v>
      </c>
      <c r="H72" s="23">
        <f t="shared" ref="H72:H77" si="36">(+F72-G72)/G72</f>
        <v>-0.17132677283721265</v>
      </c>
      <c r="I72" s="24">
        <f t="shared" ref="I72:I77" si="37">K72/C72</f>
        <v>38.806533280201158</v>
      </c>
      <c r="J72" s="24">
        <f t="shared" ref="J72:J77" si="38">K72/F72</f>
        <v>68.0270633403549</v>
      </c>
      <c r="K72" s="21">
        <v>12562489.76</v>
      </c>
      <c r="L72" s="21">
        <v>13426296.74</v>
      </c>
      <c r="M72" s="25">
        <f t="shared" ref="M72:M77" si="39">(+K72-L72)/L72</f>
        <v>-6.4336949847572072E-2</v>
      </c>
      <c r="N72" s="10"/>
      <c r="R72" s="2"/>
    </row>
    <row r="73" spans="1:18" ht="15.75" customHeight="1" x14ac:dyDescent="0.25">
      <c r="A73" s="19"/>
      <c r="B73" s="20">
        <f>DATE(2019,8,1)</f>
        <v>43678</v>
      </c>
      <c r="C73" s="21">
        <v>324702</v>
      </c>
      <c r="D73" s="21">
        <v>374981</v>
      </c>
      <c r="E73" s="23">
        <f t="shared" si="35"/>
        <v>-0.13408412692909774</v>
      </c>
      <c r="F73" s="21">
        <f>+C73-140464</f>
        <v>184238</v>
      </c>
      <c r="G73" s="21">
        <f>+D73-161656</f>
        <v>213325</v>
      </c>
      <c r="H73" s="23">
        <f t="shared" si="36"/>
        <v>-0.13635063869682409</v>
      </c>
      <c r="I73" s="24">
        <f t="shared" si="37"/>
        <v>39.773520366366697</v>
      </c>
      <c r="J73" s="24">
        <f t="shared" si="38"/>
        <v>70.097057121766412</v>
      </c>
      <c r="K73" s="21">
        <v>12914541.609999999</v>
      </c>
      <c r="L73" s="21">
        <v>14006614.060000001</v>
      </c>
      <c r="M73" s="25">
        <f t="shared" si="39"/>
        <v>-7.7968340194275412E-2</v>
      </c>
      <c r="N73" s="10"/>
      <c r="R73" s="2"/>
    </row>
    <row r="74" spans="1:18" ht="15.75" customHeight="1" x14ac:dyDescent="0.25">
      <c r="A74" s="19"/>
      <c r="B74" s="20">
        <f>DATE(2019,9,1)</f>
        <v>43709</v>
      </c>
      <c r="C74" s="21">
        <v>300782</v>
      </c>
      <c r="D74" s="21">
        <v>360336</v>
      </c>
      <c r="E74" s="23">
        <f t="shared" si="35"/>
        <v>-0.16527352249012034</v>
      </c>
      <c r="F74" s="21">
        <f>+C74-129542</f>
        <v>171240</v>
      </c>
      <c r="G74" s="21">
        <f>+D74-155587</f>
        <v>204749</v>
      </c>
      <c r="H74" s="23">
        <f t="shared" si="36"/>
        <v>-0.16365891896907922</v>
      </c>
      <c r="I74" s="24">
        <f t="shared" si="37"/>
        <v>40.861065821757947</v>
      </c>
      <c r="J74" s="24">
        <f t="shared" si="38"/>
        <v>71.772209180098102</v>
      </c>
      <c r="K74" s="21">
        <v>12290273.1</v>
      </c>
      <c r="L74" s="21">
        <v>13292569.289999999</v>
      </c>
      <c r="M74" s="25">
        <f t="shared" si="39"/>
        <v>-7.5402743302156572E-2</v>
      </c>
      <c r="N74" s="10"/>
      <c r="R74" s="2"/>
    </row>
    <row r="75" spans="1:18" ht="15.75" customHeight="1" x14ac:dyDescent="0.25">
      <c r="A75" s="19"/>
      <c r="B75" s="20">
        <f>DATE(2019,10,1)</f>
        <v>43739</v>
      </c>
      <c r="C75" s="21">
        <v>283543</v>
      </c>
      <c r="D75" s="21">
        <v>333769</v>
      </c>
      <c r="E75" s="23">
        <f t="shared" si="35"/>
        <v>-0.15048132091356597</v>
      </c>
      <c r="F75" s="21">
        <f>+C75-124663</f>
        <v>158880</v>
      </c>
      <c r="G75" s="21">
        <f>+D75-146853</f>
        <v>186916</v>
      </c>
      <c r="H75" s="23">
        <f t="shared" si="36"/>
        <v>-0.14999251000449398</v>
      </c>
      <c r="I75" s="24">
        <f t="shared" si="37"/>
        <v>41.993366297175385</v>
      </c>
      <c r="J75" s="24">
        <f t="shared" si="38"/>
        <v>74.942881797583084</v>
      </c>
      <c r="K75" s="21">
        <v>11906925.060000001</v>
      </c>
      <c r="L75" s="21">
        <v>13297492.66</v>
      </c>
      <c r="M75" s="25">
        <f t="shared" si="39"/>
        <v>-0.10457366930405958</v>
      </c>
      <c r="N75" s="10"/>
      <c r="R75" s="2"/>
    </row>
    <row r="76" spans="1:18" ht="15.75" customHeight="1" x14ac:dyDescent="0.25">
      <c r="A76" s="19"/>
      <c r="B76" s="20">
        <f>DATE(2019,11,1)</f>
        <v>43770</v>
      </c>
      <c r="C76" s="21">
        <v>291549</v>
      </c>
      <c r="D76" s="21">
        <v>328783</v>
      </c>
      <c r="E76" s="23">
        <f t="shared" si="35"/>
        <v>-0.11324794773452398</v>
      </c>
      <c r="F76" s="21">
        <f>+C76-134082</f>
        <v>157467</v>
      </c>
      <c r="G76" s="21">
        <f>+D76-148021</f>
        <v>180762</v>
      </c>
      <c r="H76" s="23">
        <f t="shared" si="36"/>
        <v>-0.12887111229130016</v>
      </c>
      <c r="I76" s="24">
        <f t="shared" si="37"/>
        <v>41.532733605671773</v>
      </c>
      <c r="J76" s="24">
        <f t="shared" si="38"/>
        <v>76.897552820590974</v>
      </c>
      <c r="K76" s="21">
        <v>12108826.949999999</v>
      </c>
      <c r="L76" s="21">
        <v>12818002.74</v>
      </c>
      <c r="M76" s="25">
        <f t="shared" si="39"/>
        <v>-5.5326543798195578E-2</v>
      </c>
      <c r="N76" s="10"/>
      <c r="R76" s="2"/>
    </row>
    <row r="77" spans="1:18" ht="15.75" customHeight="1" x14ac:dyDescent="0.25">
      <c r="A77" s="19"/>
      <c r="B77" s="20">
        <f>DATE(2019,12,1)</f>
        <v>43800</v>
      </c>
      <c r="C77" s="21">
        <v>314814</v>
      </c>
      <c r="D77" s="21">
        <v>359368</v>
      </c>
      <c r="E77" s="23">
        <f t="shared" si="35"/>
        <v>-0.12397876271676944</v>
      </c>
      <c r="F77" s="21">
        <f>+C77-147218</f>
        <v>167596</v>
      </c>
      <c r="G77" s="21">
        <f>+D77-161628</f>
        <v>197740</v>
      </c>
      <c r="H77" s="23">
        <f t="shared" si="36"/>
        <v>-0.15244260139577223</v>
      </c>
      <c r="I77" s="24">
        <f t="shared" si="37"/>
        <v>40.43947861276817</v>
      </c>
      <c r="J77" s="24">
        <f t="shared" si="38"/>
        <v>75.961920451562094</v>
      </c>
      <c r="K77" s="21">
        <v>12730914.02</v>
      </c>
      <c r="L77" s="21">
        <v>13957615.710000001</v>
      </c>
      <c r="M77" s="25">
        <f t="shared" si="39"/>
        <v>-8.7887624612069309E-2</v>
      </c>
      <c r="N77" s="10"/>
      <c r="R77" s="2"/>
    </row>
    <row r="78" spans="1:18" ht="15.75" customHeight="1" thickBot="1" x14ac:dyDescent="0.3">
      <c r="A78" s="19"/>
      <c r="B78" s="45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7.25" thickTop="1" thickBot="1" x14ac:dyDescent="0.3">
      <c r="A79" s="39" t="s">
        <v>14</v>
      </c>
      <c r="B79" s="40"/>
      <c r="C79" s="41">
        <f>SUM(C72:C78)</f>
        <v>1839111</v>
      </c>
      <c r="D79" s="41">
        <f>SUM(D72:D78)</f>
        <v>2145583</v>
      </c>
      <c r="E79" s="279">
        <f>(+C79-D79)/D79</f>
        <v>-0.14283856648752344</v>
      </c>
      <c r="F79" s="41">
        <f>SUM(F72:F78)</f>
        <v>1024090</v>
      </c>
      <c r="G79" s="41">
        <f>SUM(G72:G78)</f>
        <v>1206341</v>
      </c>
      <c r="H79" s="42">
        <f>(+F79-G79)/G79</f>
        <v>-0.15107751456677673</v>
      </c>
      <c r="I79" s="43">
        <f>K79/C79</f>
        <v>40.516298635590786</v>
      </c>
      <c r="J79" s="43">
        <f>K79/F79</f>
        <v>72.761154293079713</v>
      </c>
      <c r="K79" s="41">
        <f>SUM(K72:K78)</f>
        <v>74513970.5</v>
      </c>
      <c r="L79" s="41">
        <f>SUM(L72:L78)</f>
        <v>80798591.200000003</v>
      </c>
      <c r="M79" s="44">
        <f>(+K79-L79)/L79</f>
        <v>-7.7781315325705855E-2</v>
      </c>
      <c r="N79" s="10"/>
      <c r="R79" s="2"/>
    </row>
    <row r="80" spans="1:18" ht="15.75" customHeight="1" thickTop="1" x14ac:dyDescent="0.2">
      <c r="A80" s="54"/>
      <c r="B80" s="55"/>
      <c r="C80" s="55"/>
      <c r="D80" s="55"/>
      <c r="E80" s="56"/>
      <c r="F80" s="55"/>
      <c r="G80" s="55"/>
      <c r="H80" s="56"/>
      <c r="I80" s="55"/>
      <c r="J80" s="55"/>
      <c r="K80" s="196"/>
      <c r="L80" s="196"/>
      <c r="M80" s="57"/>
      <c r="N80" s="10"/>
      <c r="R80" s="2"/>
    </row>
    <row r="81" spans="1:18" ht="15.75" customHeight="1" x14ac:dyDescent="0.25">
      <c r="A81" s="19" t="s">
        <v>18</v>
      </c>
      <c r="B81" s="20">
        <f>DATE(2019,7,1)</f>
        <v>43647</v>
      </c>
      <c r="C81" s="21">
        <v>366609</v>
      </c>
      <c r="D81" s="21">
        <v>413730</v>
      </c>
      <c r="E81" s="23">
        <f t="shared" ref="E81:E86" si="40">(+C81-D81)/D81</f>
        <v>-0.11389311870060184</v>
      </c>
      <c r="F81" s="21">
        <f>+C81-178251</f>
        <v>188358</v>
      </c>
      <c r="G81" s="21">
        <f>+D81-202461</f>
        <v>211269</v>
      </c>
      <c r="H81" s="23">
        <f t="shared" ref="H81:H86" si="41">(+F81-G81)/G81</f>
        <v>-0.10844468426508386</v>
      </c>
      <c r="I81" s="24">
        <f t="shared" ref="I81:I86" si="42">K81/C81</f>
        <v>42.795962537744572</v>
      </c>
      <c r="J81" s="24">
        <f t="shared" ref="J81:J86" si="43">K81/F81</f>
        <v>83.295559678909314</v>
      </c>
      <c r="K81" s="21">
        <v>15689385.029999999</v>
      </c>
      <c r="L81" s="21">
        <v>17628524.710000001</v>
      </c>
      <c r="M81" s="25">
        <f t="shared" ref="M81:M86" si="44">(+K81-L81)/L81</f>
        <v>-0.11000011129121885</v>
      </c>
      <c r="N81" s="10"/>
      <c r="R81" s="2"/>
    </row>
    <row r="82" spans="1:18" ht="15.75" customHeight="1" x14ac:dyDescent="0.25">
      <c r="A82" s="19"/>
      <c r="B82" s="20">
        <f>DATE(2019,8,1)</f>
        <v>43678</v>
      </c>
      <c r="C82" s="21">
        <v>384946</v>
      </c>
      <c r="D82" s="21">
        <v>405657</v>
      </c>
      <c r="E82" s="23">
        <f t="shared" si="40"/>
        <v>-5.1055448322104638E-2</v>
      </c>
      <c r="F82" s="21">
        <f>+C82-186236</f>
        <v>198710</v>
      </c>
      <c r="G82" s="21">
        <f>+D82-195459</f>
        <v>210198</v>
      </c>
      <c r="H82" s="23">
        <f t="shared" si="41"/>
        <v>-5.4653231714859321E-2</v>
      </c>
      <c r="I82" s="24">
        <f t="shared" si="42"/>
        <v>43.116520966577127</v>
      </c>
      <c r="J82" s="24">
        <f t="shared" si="43"/>
        <v>83.52640672336571</v>
      </c>
      <c r="K82" s="21">
        <v>16597532.279999999</v>
      </c>
      <c r="L82" s="21">
        <v>17799458.530000001</v>
      </c>
      <c r="M82" s="25">
        <f t="shared" si="44"/>
        <v>-6.7526000747394746E-2</v>
      </c>
      <c r="N82" s="10"/>
      <c r="R82" s="2"/>
    </row>
    <row r="83" spans="1:18" ht="15.75" customHeight="1" x14ac:dyDescent="0.25">
      <c r="A83" s="19"/>
      <c r="B83" s="20">
        <f>DATE(2019,9,1)</f>
        <v>43709</v>
      </c>
      <c r="C83" s="21">
        <v>348168</v>
      </c>
      <c r="D83" s="21">
        <v>386512</v>
      </c>
      <c r="E83" s="23">
        <f t="shared" si="40"/>
        <v>-9.9205199321107759E-2</v>
      </c>
      <c r="F83" s="21">
        <f>+C83-163347</f>
        <v>184821</v>
      </c>
      <c r="G83" s="21">
        <f>+D83-188889</f>
        <v>197623</v>
      </c>
      <c r="H83" s="23">
        <f t="shared" si="41"/>
        <v>-6.4779909221092682E-2</v>
      </c>
      <c r="I83" s="24">
        <f t="shared" si="42"/>
        <v>44.422015894625581</v>
      </c>
      <c r="J83" s="24">
        <f t="shared" si="43"/>
        <v>83.68272236380065</v>
      </c>
      <c r="K83" s="21">
        <v>15466324.43</v>
      </c>
      <c r="L83" s="21">
        <v>16599689.699999999</v>
      </c>
      <c r="M83" s="25">
        <f t="shared" si="44"/>
        <v>-6.8276292538167124E-2</v>
      </c>
      <c r="N83" s="10"/>
      <c r="R83" s="2"/>
    </row>
    <row r="84" spans="1:18" ht="15.75" customHeight="1" x14ac:dyDescent="0.25">
      <c r="A84" s="19"/>
      <c r="B84" s="20">
        <f>DATE(2019,10,1)</f>
        <v>43739</v>
      </c>
      <c r="C84" s="21">
        <v>347400</v>
      </c>
      <c r="D84" s="21">
        <v>353857</v>
      </c>
      <c r="E84" s="23">
        <f t="shared" si="40"/>
        <v>-1.8247484153203129E-2</v>
      </c>
      <c r="F84" s="21">
        <f>+C84-164019</f>
        <v>183381</v>
      </c>
      <c r="G84" s="21">
        <f>+D84-169336</f>
        <v>184521</v>
      </c>
      <c r="H84" s="23">
        <f t="shared" si="41"/>
        <v>-6.178158583575853E-3</v>
      </c>
      <c r="I84" s="24">
        <f t="shared" si="42"/>
        <v>47.036089982728846</v>
      </c>
      <c r="J84" s="24">
        <f t="shared" si="43"/>
        <v>89.105946962880566</v>
      </c>
      <c r="K84" s="21">
        <v>16340337.66</v>
      </c>
      <c r="L84" s="21">
        <v>15074320.550000001</v>
      </c>
      <c r="M84" s="25">
        <f t="shared" si="44"/>
        <v>8.398501980906857E-2</v>
      </c>
      <c r="N84" s="10"/>
      <c r="R84" s="2"/>
    </row>
    <row r="85" spans="1:18" ht="15.75" customHeight="1" x14ac:dyDescent="0.25">
      <c r="A85" s="19"/>
      <c r="B85" s="20">
        <f>DATE(2019,11,1)</f>
        <v>43770</v>
      </c>
      <c r="C85" s="21">
        <v>367906</v>
      </c>
      <c r="D85" s="21">
        <v>343012</v>
      </c>
      <c r="E85" s="23">
        <f t="shared" si="40"/>
        <v>7.2574720417944563E-2</v>
      </c>
      <c r="F85" s="21">
        <f>+C85-173004</f>
        <v>194902</v>
      </c>
      <c r="G85" s="21">
        <f>+D85-162356</f>
        <v>180656</v>
      </c>
      <c r="H85" s="23">
        <f t="shared" si="41"/>
        <v>7.8857054291028253E-2</v>
      </c>
      <c r="I85" s="24">
        <f t="shared" si="42"/>
        <v>45.065145172951787</v>
      </c>
      <c r="J85" s="24">
        <f t="shared" si="43"/>
        <v>85.06704548952807</v>
      </c>
      <c r="K85" s="21">
        <v>16579737.300000001</v>
      </c>
      <c r="L85" s="21">
        <v>14816733.57</v>
      </c>
      <c r="M85" s="25">
        <f t="shared" si="44"/>
        <v>0.118987341013516</v>
      </c>
      <c r="N85" s="10"/>
      <c r="R85" s="2"/>
    </row>
    <row r="86" spans="1:18" ht="15.75" customHeight="1" x14ac:dyDescent="0.25">
      <c r="A86" s="19"/>
      <c r="B86" s="20">
        <f>DATE(2019,12,1)</f>
        <v>43800</v>
      </c>
      <c r="C86" s="21">
        <v>375783</v>
      </c>
      <c r="D86" s="21">
        <v>404087</v>
      </c>
      <c r="E86" s="23">
        <f t="shared" si="40"/>
        <v>-7.0044322138549373E-2</v>
      </c>
      <c r="F86" s="21">
        <f>+C86-181369</f>
        <v>194414</v>
      </c>
      <c r="G86" s="21">
        <f>+D86-195394</f>
        <v>208693</v>
      </c>
      <c r="H86" s="23">
        <f t="shared" si="41"/>
        <v>-6.8421077851197692E-2</v>
      </c>
      <c r="I86" s="24">
        <f t="shared" si="42"/>
        <v>41.740260070306533</v>
      </c>
      <c r="J86" s="24">
        <f t="shared" si="43"/>
        <v>80.679787206682647</v>
      </c>
      <c r="K86" s="21">
        <v>15685280.15</v>
      </c>
      <c r="L86" s="21">
        <v>16895167.059999999</v>
      </c>
      <c r="M86" s="25">
        <f t="shared" si="44"/>
        <v>-7.1611420337148082E-2</v>
      </c>
      <c r="N86" s="10"/>
      <c r="R86" s="2"/>
    </row>
    <row r="87" spans="1:18" ht="15.75" customHeight="1" thickBot="1" x14ac:dyDescent="0.3">
      <c r="A87" s="19"/>
      <c r="B87" s="45"/>
      <c r="C87" s="21"/>
      <c r="D87" s="21"/>
      <c r="E87" s="23"/>
      <c r="F87" s="21"/>
      <c r="G87" s="21"/>
      <c r="H87" s="23"/>
      <c r="I87" s="24"/>
      <c r="J87" s="24"/>
      <c r="K87" s="21"/>
      <c r="L87" s="21"/>
      <c r="M87" s="25"/>
      <c r="N87" s="10"/>
      <c r="R87" s="2"/>
    </row>
    <row r="88" spans="1:18" ht="17.25" thickTop="1" thickBot="1" x14ac:dyDescent="0.3">
      <c r="A88" s="39" t="s">
        <v>14</v>
      </c>
      <c r="B88" s="40"/>
      <c r="C88" s="41">
        <f>SUM(C81:C87)</f>
        <v>2190812</v>
      </c>
      <c r="D88" s="41">
        <f>SUM(D81:D87)</f>
        <v>2306855</v>
      </c>
      <c r="E88" s="279">
        <f>(+C88-D88)/D88</f>
        <v>-5.0303551805380049E-2</v>
      </c>
      <c r="F88" s="41">
        <f>SUM(F81:F87)</f>
        <v>1144586</v>
      </c>
      <c r="G88" s="41">
        <f>SUM(G81:G87)</f>
        <v>1192960</v>
      </c>
      <c r="H88" s="42">
        <f>(+F88-G88)/G88</f>
        <v>-4.0549557403433474E-2</v>
      </c>
      <c r="I88" s="43">
        <f>K88/C88</f>
        <v>43.983051421116919</v>
      </c>
      <c r="J88" s="43">
        <f>K88/F88</f>
        <v>84.186419238047634</v>
      </c>
      <c r="K88" s="41">
        <f>SUM(K81:K87)</f>
        <v>96358596.849999994</v>
      </c>
      <c r="L88" s="41">
        <f>SUM(L81:L87)</f>
        <v>98813894.120000005</v>
      </c>
      <c r="M88" s="44">
        <f>(+K88-L88)/L88</f>
        <v>-2.4847692643488854E-2</v>
      </c>
      <c r="N88" s="10"/>
      <c r="R88" s="2"/>
    </row>
    <row r="89" spans="1:18" ht="15.75" customHeight="1" thickTop="1" x14ac:dyDescent="0.2">
      <c r="A89" s="54"/>
      <c r="B89" s="55"/>
      <c r="C89" s="55"/>
      <c r="D89" s="55"/>
      <c r="E89" s="56"/>
      <c r="F89" s="55"/>
      <c r="G89" s="55"/>
      <c r="H89" s="56"/>
      <c r="I89" s="55"/>
      <c r="J89" s="55"/>
      <c r="K89" s="196"/>
      <c r="L89" s="196"/>
      <c r="M89" s="57"/>
      <c r="N89" s="10"/>
      <c r="R89" s="2"/>
    </row>
    <row r="90" spans="1:18" ht="15.75" customHeight="1" x14ac:dyDescent="0.25">
      <c r="A90" s="19" t="s">
        <v>58</v>
      </c>
      <c r="B90" s="20">
        <f>DATE(2019,7,1)</f>
        <v>43647</v>
      </c>
      <c r="C90" s="21">
        <v>420442</v>
      </c>
      <c r="D90" s="21">
        <v>437171</v>
      </c>
      <c r="E90" s="23">
        <f t="shared" ref="E90:E95" si="45">(+C90-D90)/D90</f>
        <v>-3.8266490686710695E-2</v>
      </c>
      <c r="F90" s="21">
        <f>+C90-190554</f>
        <v>229888</v>
      </c>
      <c r="G90" s="21">
        <f>+D90-202695</f>
        <v>234476</v>
      </c>
      <c r="H90" s="23">
        <f t="shared" ref="H90:H95" si="46">(+F90-G90)/G90</f>
        <v>-1.9567034579231989E-2</v>
      </c>
      <c r="I90" s="24">
        <f t="shared" ref="I90:I95" si="47">K90/C90</f>
        <v>43.352571341588138</v>
      </c>
      <c r="J90" s="24">
        <f t="shared" ref="J90:J95" si="48">K90/F90</f>
        <v>79.287486950167036</v>
      </c>
      <c r="K90" s="21">
        <v>18227241.800000001</v>
      </c>
      <c r="L90" s="21">
        <v>19587162.530000001</v>
      </c>
      <c r="M90" s="25">
        <f t="shared" ref="M90:M95" si="49">(+K90-L90)/L90</f>
        <v>-6.9429184953008122E-2</v>
      </c>
      <c r="N90" s="10"/>
      <c r="R90" s="2"/>
    </row>
    <row r="91" spans="1:18" ht="15.75" customHeight="1" x14ac:dyDescent="0.25">
      <c r="A91" s="19"/>
      <c r="B91" s="20">
        <f>DATE(2019,8,1)</f>
        <v>43678</v>
      </c>
      <c r="C91" s="21">
        <v>440157</v>
      </c>
      <c r="D91" s="21">
        <v>428435</v>
      </c>
      <c r="E91" s="23">
        <f t="shared" si="45"/>
        <v>2.7360042947004795E-2</v>
      </c>
      <c r="F91" s="21">
        <f>+C91-199137</f>
        <v>241020</v>
      </c>
      <c r="G91" s="21">
        <f>+D91-198491</f>
        <v>229944</v>
      </c>
      <c r="H91" s="23">
        <f t="shared" si="46"/>
        <v>4.8168249660786977E-2</v>
      </c>
      <c r="I91" s="24">
        <f t="shared" si="47"/>
        <v>44.349903102756521</v>
      </c>
      <c r="J91" s="24">
        <f t="shared" si="48"/>
        <v>80.992947888142069</v>
      </c>
      <c r="K91" s="21">
        <v>19520920.300000001</v>
      </c>
      <c r="L91" s="21">
        <v>19072987.460000001</v>
      </c>
      <c r="M91" s="25">
        <f t="shared" si="49"/>
        <v>2.3485195538423525E-2</v>
      </c>
      <c r="N91" s="10"/>
      <c r="R91" s="2"/>
    </row>
    <row r="92" spans="1:18" ht="15.75" customHeight="1" x14ac:dyDescent="0.25">
      <c r="A92" s="19"/>
      <c r="B92" s="20">
        <f>DATE(2019,9,1)</f>
        <v>43709</v>
      </c>
      <c r="C92" s="21">
        <v>423584</v>
      </c>
      <c r="D92" s="21">
        <v>430488</v>
      </c>
      <c r="E92" s="23">
        <f t="shared" si="45"/>
        <v>-1.6037613127427477E-2</v>
      </c>
      <c r="F92" s="21">
        <f>+C92-190859</f>
        <v>232725</v>
      </c>
      <c r="G92" s="21">
        <f>+D92-198602</f>
        <v>231886</v>
      </c>
      <c r="H92" s="23">
        <f t="shared" si="46"/>
        <v>3.6181571979334672E-3</v>
      </c>
      <c r="I92" s="24">
        <f t="shared" si="47"/>
        <v>43.580134117435975</v>
      </c>
      <c r="J92" s="24">
        <f t="shared" si="48"/>
        <v>79.320431969062199</v>
      </c>
      <c r="K92" s="21">
        <v>18459847.530000001</v>
      </c>
      <c r="L92" s="21">
        <v>18193233.449999999</v>
      </c>
      <c r="M92" s="25">
        <f t="shared" si="49"/>
        <v>1.4654573676126931E-2</v>
      </c>
      <c r="N92" s="10"/>
      <c r="R92" s="2"/>
    </row>
    <row r="93" spans="1:18" ht="15.75" customHeight="1" x14ac:dyDescent="0.25">
      <c r="A93" s="19"/>
      <c r="B93" s="20">
        <f>DATE(2019,10,1)</f>
        <v>43739</v>
      </c>
      <c r="C93" s="21">
        <v>422269</v>
      </c>
      <c r="D93" s="21">
        <v>407351</v>
      </c>
      <c r="E93" s="23">
        <f t="shared" si="45"/>
        <v>3.6621979570444163E-2</v>
      </c>
      <c r="F93" s="21">
        <f>+C93-185907</f>
        <v>236362</v>
      </c>
      <c r="G93" s="21">
        <f>+D93-184649</f>
        <v>222702</v>
      </c>
      <c r="H93" s="23">
        <f t="shared" si="46"/>
        <v>6.1337572181659798E-2</v>
      </c>
      <c r="I93" s="24">
        <f t="shared" si="47"/>
        <v>44.099241218275552</v>
      </c>
      <c r="J93" s="24">
        <f t="shared" si="48"/>
        <v>78.784840583511723</v>
      </c>
      <c r="K93" s="21">
        <v>18621742.489999998</v>
      </c>
      <c r="L93" s="21">
        <v>16758743.75</v>
      </c>
      <c r="M93" s="25">
        <f t="shared" si="49"/>
        <v>0.11116577517929996</v>
      </c>
      <c r="N93" s="10"/>
      <c r="R93" s="2"/>
    </row>
    <row r="94" spans="1:18" ht="15.75" customHeight="1" x14ac:dyDescent="0.25">
      <c r="A94" s="19"/>
      <c r="B94" s="20">
        <f>DATE(2019,11,1)</f>
        <v>43770</v>
      </c>
      <c r="C94" s="21">
        <v>434843</v>
      </c>
      <c r="D94" s="21">
        <v>411941</v>
      </c>
      <c r="E94" s="23">
        <f t="shared" si="45"/>
        <v>5.5595340109384599E-2</v>
      </c>
      <c r="F94" s="21">
        <f>+C94-195427</f>
        <v>239416</v>
      </c>
      <c r="G94" s="21">
        <f>+D94-188303</f>
        <v>223638</v>
      </c>
      <c r="H94" s="23">
        <f t="shared" si="46"/>
        <v>7.0551516289718202E-2</v>
      </c>
      <c r="I94" s="24">
        <f t="shared" si="47"/>
        <v>45.420087594833078</v>
      </c>
      <c r="J94" s="24">
        <f t="shared" si="48"/>
        <v>82.494934131386373</v>
      </c>
      <c r="K94" s="21">
        <v>19750607.149999999</v>
      </c>
      <c r="L94" s="21">
        <v>19508179.460000001</v>
      </c>
      <c r="M94" s="25">
        <f t="shared" si="49"/>
        <v>1.2426976617529928E-2</v>
      </c>
      <c r="N94" s="10"/>
      <c r="R94" s="2"/>
    </row>
    <row r="95" spans="1:18" ht="15.75" customHeight="1" x14ac:dyDescent="0.25">
      <c r="A95" s="19"/>
      <c r="B95" s="20">
        <f>DATE(2019,12,1)</f>
        <v>43800</v>
      </c>
      <c r="C95" s="21">
        <v>424874</v>
      </c>
      <c r="D95" s="21">
        <v>472920</v>
      </c>
      <c r="E95" s="23">
        <f t="shared" si="45"/>
        <v>-0.10159434999577095</v>
      </c>
      <c r="F95" s="21">
        <f>+C95-195508</f>
        <v>229366</v>
      </c>
      <c r="G95" s="21">
        <f>+D95-218118</f>
        <v>254802</v>
      </c>
      <c r="H95" s="23">
        <f t="shared" si="46"/>
        <v>-9.9826531973846361E-2</v>
      </c>
      <c r="I95" s="24">
        <f t="shared" si="47"/>
        <v>46.92924125740808</v>
      </c>
      <c r="J95" s="24">
        <f t="shared" si="48"/>
        <v>86.930994349642049</v>
      </c>
      <c r="K95" s="21">
        <v>19939014.449999999</v>
      </c>
      <c r="L95" s="21">
        <v>20559094.579999998</v>
      </c>
      <c r="M95" s="25">
        <f t="shared" si="49"/>
        <v>-3.0160867619297611E-2</v>
      </c>
      <c r="N95" s="10"/>
      <c r="R95" s="2"/>
    </row>
    <row r="96" spans="1:18" ht="15.75" customHeight="1" thickBot="1" x14ac:dyDescent="0.3">
      <c r="A96" s="19"/>
      <c r="B96" s="45"/>
      <c r="C96" s="21"/>
      <c r="D96" s="21"/>
      <c r="E96" s="23"/>
      <c r="F96" s="21"/>
      <c r="G96" s="21"/>
      <c r="H96" s="23"/>
      <c r="I96" s="24"/>
      <c r="J96" s="24"/>
      <c r="K96" s="21"/>
      <c r="L96" s="21"/>
      <c r="M96" s="25"/>
      <c r="N96" s="10"/>
      <c r="R96" s="2"/>
    </row>
    <row r="97" spans="1:18" ht="17.25" thickTop="1" thickBot="1" x14ac:dyDescent="0.3">
      <c r="A97" s="39" t="s">
        <v>14</v>
      </c>
      <c r="B97" s="40"/>
      <c r="C97" s="41">
        <f>SUM(C90:C96)</f>
        <v>2566169</v>
      </c>
      <c r="D97" s="41">
        <f>SUM(D90:D96)</f>
        <v>2588306</v>
      </c>
      <c r="E97" s="279">
        <f>(+C97-D97)/D97</f>
        <v>-8.5526981740180648E-3</v>
      </c>
      <c r="F97" s="41">
        <f>SUM(F90:F96)</f>
        <v>1408777</v>
      </c>
      <c r="G97" s="41">
        <f>SUM(G90:G96)</f>
        <v>1397448</v>
      </c>
      <c r="H97" s="42">
        <f>(+F97-G97)/G97</f>
        <v>8.1069206152930198E-3</v>
      </c>
      <c r="I97" s="43">
        <f>K97/C97</f>
        <v>44.626590735060709</v>
      </c>
      <c r="J97" s="43">
        <f>K97/F97</f>
        <v>81.289922904760658</v>
      </c>
      <c r="K97" s="41">
        <f>SUM(K90:K96)</f>
        <v>114519373.72000001</v>
      </c>
      <c r="L97" s="41">
        <f>SUM(L90:L96)</f>
        <v>113679401.23</v>
      </c>
      <c r="M97" s="44">
        <f>(+K97-L97)/L97</f>
        <v>7.3889594852857184E-3</v>
      </c>
      <c r="N97" s="10"/>
      <c r="R97" s="2"/>
    </row>
    <row r="98" spans="1:18" ht="15.75" customHeight="1" thickTop="1" x14ac:dyDescent="0.2">
      <c r="A98" s="58"/>
      <c r="B98" s="59"/>
      <c r="C98" s="59"/>
      <c r="D98" s="59"/>
      <c r="E98" s="60"/>
      <c r="F98" s="59"/>
      <c r="G98" s="59"/>
      <c r="H98" s="60"/>
      <c r="I98" s="59"/>
      <c r="J98" s="59"/>
      <c r="K98" s="197"/>
      <c r="L98" s="197"/>
      <c r="M98" s="61"/>
      <c r="N98" s="10"/>
      <c r="R98" s="2"/>
    </row>
    <row r="99" spans="1:18" ht="15" customHeight="1" x14ac:dyDescent="0.25">
      <c r="A99" s="19" t="s">
        <v>59</v>
      </c>
      <c r="B99" s="20">
        <f>DATE(2019,7,1)</f>
        <v>43647</v>
      </c>
      <c r="C99" s="21">
        <v>61327</v>
      </c>
      <c r="D99" s="21">
        <v>63934</v>
      </c>
      <c r="E99" s="23">
        <f t="shared" ref="E99:E104" si="50">(+C99-D99)/D99</f>
        <v>-4.0776425688991771E-2</v>
      </c>
      <c r="F99" s="21">
        <f>+C99-29380</f>
        <v>31947</v>
      </c>
      <c r="G99" s="21">
        <f>+D99-30110</f>
        <v>33824</v>
      </c>
      <c r="H99" s="23">
        <f t="shared" ref="H99:H104" si="51">(+F99-G99)/G99</f>
        <v>-5.5493140964995268E-2</v>
      </c>
      <c r="I99" s="24">
        <f t="shared" ref="I99:I104" si="52">K99/C99</f>
        <v>44.824024328599151</v>
      </c>
      <c r="J99" s="24">
        <f t="shared" ref="J99:J104" si="53">K99/F99</f>
        <v>86.046356152377371</v>
      </c>
      <c r="K99" s="21">
        <v>2748922.94</v>
      </c>
      <c r="L99" s="21">
        <v>2819787.79</v>
      </c>
      <c r="M99" s="25">
        <f t="shared" ref="M99:M104" si="54">(+K99-L99)/L99</f>
        <v>-2.5131270605296185E-2</v>
      </c>
      <c r="N99" s="10"/>
      <c r="R99" s="2"/>
    </row>
    <row r="100" spans="1:18" ht="15" customHeight="1" x14ac:dyDescent="0.25">
      <c r="A100" s="19"/>
      <c r="B100" s="20">
        <f>DATE(2019,8,1)</f>
        <v>43678</v>
      </c>
      <c r="C100" s="21">
        <v>62887</v>
      </c>
      <c r="D100" s="21">
        <v>61004</v>
      </c>
      <c r="E100" s="23">
        <f t="shared" si="50"/>
        <v>3.0866828404694773E-2</v>
      </c>
      <c r="F100" s="21">
        <f>+C100-30695</f>
        <v>32192</v>
      </c>
      <c r="G100" s="21">
        <f>+D100-29259</f>
        <v>31745</v>
      </c>
      <c r="H100" s="23">
        <f t="shared" si="51"/>
        <v>1.4080957631123011E-2</v>
      </c>
      <c r="I100" s="24">
        <f t="shared" si="52"/>
        <v>47.076432649037166</v>
      </c>
      <c r="J100" s="24">
        <f t="shared" si="53"/>
        <v>91.963705889662037</v>
      </c>
      <c r="K100" s="21">
        <v>2960495.62</v>
      </c>
      <c r="L100" s="21">
        <v>2779592.61</v>
      </c>
      <c r="M100" s="25">
        <f t="shared" si="54"/>
        <v>6.5082562584594092E-2</v>
      </c>
      <c r="N100" s="10"/>
      <c r="R100" s="2"/>
    </row>
    <row r="101" spans="1:18" ht="15" customHeight="1" x14ac:dyDescent="0.25">
      <c r="A101" s="19"/>
      <c r="B101" s="20">
        <f>DATE(2019,9,1)</f>
        <v>43709</v>
      </c>
      <c r="C101" s="21">
        <v>59108</v>
      </c>
      <c r="D101" s="21">
        <v>57391</v>
      </c>
      <c r="E101" s="23">
        <f t="shared" si="50"/>
        <v>2.9917582896272936E-2</v>
      </c>
      <c r="F101" s="21">
        <f>+C101-28508</f>
        <v>30600</v>
      </c>
      <c r="G101" s="21">
        <f>+D101-27760</f>
        <v>29631</v>
      </c>
      <c r="H101" s="23">
        <f t="shared" si="51"/>
        <v>3.2702237521514632E-2</v>
      </c>
      <c r="I101" s="24">
        <f t="shared" si="52"/>
        <v>45.641732422007173</v>
      </c>
      <c r="J101" s="24">
        <f t="shared" si="53"/>
        <v>88.163121568627446</v>
      </c>
      <c r="K101" s="21">
        <v>2697791.52</v>
      </c>
      <c r="L101" s="21">
        <v>2617109.27</v>
      </c>
      <c r="M101" s="25">
        <f t="shared" si="54"/>
        <v>3.082876627463094E-2</v>
      </c>
      <c r="N101" s="10"/>
      <c r="R101" s="2"/>
    </row>
    <row r="102" spans="1:18" ht="15" customHeight="1" x14ac:dyDescent="0.25">
      <c r="A102" s="19"/>
      <c r="B102" s="20">
        <f>DATE(2019,10,1)</f>
        <v>43739</v>
      </c>
      <c r="C102" s="21">
        <v>56197</v>
      </c>
      <c r="D102" s="21">
        <v>54970</v>
      </c>
      <c r="E102" s="23">
        <f t="shared" si="50"/>
        <v>2.2321266145170094E-2</v>
      </c>
      <c r="F102" s="21">
        <f>+C102-27661</f>
        <v>28536</v>
      </c>
      <c r="G102" s="21">
        <f>+D102-26236</f>
        <v>28734</v>
      </c>
      <c r="H102" s="23">
        <f t="shared" si="51"/>
        <v>-6.8907913969513471E-3</v>
      </c>
      <c r="I102" s="24">
        <f t="shared" si="52"/>
        <v>50.092445860099296</v>
      </c>
      <c r="J102" s="24">
        <f t="shared" si="53"/>
        <v>98.648905943369783</v>
      </c>
      <c r="K102" s="21">
        <v>2815045.18</v>
      </c>
      <c r="L102" s="21">
        <v>2535463.88</v>
      </c>
      <c r="M102" s="25">
        <f t="shared" si="54"/>
        <v>0.11026830325029134</v>
      </c>
      <c r="N102" s="10"/>
      <c r="R102" s="2"/>
    </row>
    <row r="103" spans="1:18" ht="15" customHeight="1" x14ac:dyDescent="0.25">
      <c r="A103" s="19"/>
      <c r="B103" s="20">
        <f>DATE(2019,11,1)</f>
        <v>43770</v>
      </c>
      <c r="C103" s="21">
        <v>56040</v>
      </c>
      <c r="D103" s="21">
        <v>49028</v>
      </c>
      <c r="E103" s="23">
        <f t="shared" si="50"/>
        <v>0.14302031492208533</v>
      </c>
      <c r="F103" s="21">
        <f>+C103-27978</f>
        <v>28062</v>
      </c>
      <c r="G103" s="21">
        <f>+D103-24232</f>
        <v>24796</v>
      </c>
      <c r="H103" s="23">
        <f t="shared" si="51"/>
        <v>0.13171479270850137</v>
      </c>
      <c r="I103" s="24">
        <f t="shared" si="52"/>
        <v>52.130084939329052</v>
      </c>
      <c r="J103" s="24">
        <f t="shared" si="53"/>
        <v>104.10412515145036</v>
      </c>
      <c r="K103" s="21">
        <v>2921369.96</v>
      </c>
      <c r="L103" s="21">
        <v>2404704.69</v>
      </c>
      <c r="M103" s="25">
        <f t="shared" si="54"/>
        <v>0.21485601627033882</v>
      </c>
      <c r="N103" s="10"/>
      <c r="R103" s="2"/>
    </row>
    <row r="104" spans="1:18" ht="15" customHeight="1" x14ac:dyDescent="0.25">
      <c r="A104" s="19"/>
      <c r="B104" s="20">
        <f>DATE(2019,12,1)</f>
        <v>43800</v>
      </c>
      <c r="C104" s="21">
        <v>57797</v>
      </c>
      <c r="D104" s="21">
        <v>58147</v>
      </c>
      <c r="E104" s="23">
        <f t="shared" si="50"/>
        <v>-6.0192271312363493E-3</v>
      </c>
      <c r="F104" s="21">
        <f>+C104-28840</f>
        <v>28957</v>
      </c>
      <c r="G104" s="21">
        <f>+D104-29074</f>
        <v>29073</v>
      </c>
      <c r="H104" s="23">
        <f t="shared" si="51"/>
        <v>-3.9899563168575656E-3</v>
      </c>
      <c r="I104" s="24">
        <f t="shared" si="52"/>
        <v>48.264124781563062</v>
      </c>
      <c r="J104" s="24">
        <f t="shared" si="53"/>
        <v>96.333239631177264</v>
      </c>
      <c r="K104" s="21">
        <v>2789521.62</v>
      </c>
      <c r="L104" s="21">
        <v>2611923.73</v>
      </c>
      <c r="M104" s="25">
        <f t="shared" si="54"/>
        <v>6.7995052060727715E-2</v>
      </c>
      <c r="N104" s="10"/>
      <c r="R104" s="2"/>
    </row>
    <row r="105" spans="1:18" ht="15.75" thickBot="1" x14ac:dyDescent="0.25">
      <c r="A105" s="38"/>
      <c r="B105" s="20"/>
      <c r="C105" s="21"/>
      <c r="D105" s="21"/>
      <c r="E105" s="23"/>
      <c r="F105" s="21"/>
      <c r="G105" s="21"/>
      <c r="H105" s="23"/>
      <c r="I105" s="24"/>
      <c r="J105" s="24"/>
      <c r="K105" s="21"/>
      <c r="L105" s="21"/>
      <c r="M105" s="25"/>
      <c r="N105" s="10"/>
      <c r="R105" s="2"/>
    </row>
    <row r="106" spans="1:18" ht="17.25" thickTop="1" thickBot="1" x14ac:dyDescent="0.3">
      <c r="A106" s="62" t="s">
        <v>14</v>
      </c>
      <c r="B106" s="52"/>
      <c r="C106" s="48">
        <f>SUM(C99:C105)</f>
        <v>353356</v>
      </c>
      <c r="D106" s="48">
        <f>SUM(D99:D105)</f>
        <v>344474</v>
      </c>
      <c r="E106" s="279">
        <f>(+C106-D106)/D106</f>
        <v>2.5784239158833468E-2</v>
      </c>
      <c r="F106" s="48">
        <f>SUM(F99:F105)</f>
        <v>180294</v>
      </c>
      <c r="G106" s="48">
        <f>SUM(G99:G105)</f>
        <v>177803</v>
      </c>
      <c r="H106" s="42">
        <f>(+F106-G106)/G106</f>
        <v>1.4009887347232611E-2</v>
      </c>
      <c r="I106" s="50">
        <f>K106/C106</f>
        <v>47.920926317934324</v>
      </c>
      <c r="J106" s="50">
        <f>K106/F106</f>
        <v>93.919635927984288</v>
      </c>
      <c r="K106" s="48">
        <f>SUM(K99:K105)</f>
        <v>16933146.84</v>
      </c>
      <c r="L106" s="48">
        <f>SUM(L99:L105)</f>
        <v>15768581.970000001</v>
      </c>
      <c r="M106" s="44">
        <f>(+K106-L106)/L106</f>
        <v>7.3853493752044669E-2</v>
      </c>
      <c r="N106" s="10"/>
      <c r="R106" s="2"/>
    </row>
    <row r="107" spans="1:18" ht="15.75" customHeight="1" thickTop="1" x14ac:dyDescent="0.25">
      <c r="A107" s="19"/>
      <c r="B107" s="45"/>
      <c r="C107" s="21"/>
      <c r="D107" s="21"/>
      <c r="E107" s="23"/>
      <c r="F107" s="21"/>
      <c r="G107" s="21"/>
      <c r="H107" s="23"/>
      <c r="I107" s="24"/>
      <c r="J107" s="24"/>
      <c r="K107" s="21"/>
      <c r="L107" s="21"/>
      <c r="M107" s="25"/>
      <c r="N107" s="10"/>
      <c r="R107" s="2"/>
    </row>
    <row r="108" spans="1:18" ht="15.75" x14ac:dyDescent="0.25">
      <c r="A108" s="19" t="s">
        <v>19</v>
      </c>
      <c r="B108" s="20">
        <f>DATE(2019,7,1)</f>
        <v>43647</v>
      </c>
      <c r="C108" s="21">
        <v>447474</v>
      </c>
      <c r="D108" s="21">
        <v>470294</v>
      </c>
      <c r="E108" s="23">
        <f t="shared" ref="E108:E113" si="55">(+C108-D108)/D108</f>
        <v>-4.8522838905025366E-2</v>
      </c>
      <c r="F108" s="21">
        <f>+C108-208413</f>
        <v>239061</v>
      </c>
      <c r="G108" s="21">
        <f>+D108-224781</f>
        <v>245513</v>
      </c>
      <c r="H108" s="23">
        <f t="shared" ref="H108:H113" si="56">(+F108-G108)/G108</f>
        <v>-2.627966747178357E-2</v>
      </c>
      <c r="I108" s="24">
        <f t="shared" ref="I108:I113" si="57">K108/C108</f>
        <v>50.948363234511952</v>
      </c>
      <c r="J108" s="24">
        <f t="shared" ref="J108:J113" si="58">K108/F108</f>
        <v>95.365065359887225</v>
      </c>
      <c r="K108" s="21">
        <v>22798067.890000001</v>
      </c>
      <c r="L108" s="21">
        <v>23419555.780000001</v>
      </c>
      <c r="M108" s="25">
        <f t="shared" ref="M108:M113" si="59">(+K108-L108)/L108</f>
        <v>-2.6537134001949909E-2</v>
      </c>
      <c r="N108" s="10"/>
      <c r="R108" s="2"/>
    </row>
    <row r="109" spans="1:18" ht="15.75" x14ac:dyDescent="0.25">
      <c r="A109" s="19"/>
      <c r="B109" s="20">
        <f>DATE(2019,8,1)</f>
        <v>43678</v>
      </c>
      <c r="C109" s="21">
        <v>463395</v>
      </c>
      <c r="D109" s="21">
        <v>474770</v>
      </c>
      <c r="E109" s="23">
        <f t="shared" si="55"/>
        <v>-2.39589696063357E-2</v>
      </c>
      <c r="F109" s="21">
        <f>+C109-219743</f>
        <v>243652</v>
      </c>
      <c r="G109" s="21">
        <f>+D109-232249</f>
        <v>242521</v>
      </c>
      <c r="H109" s="23">
        <f t="shared" si="56"/>
        <v>4.663513675104424E-3</v>
      </c>
      <c r="I109" s="24">
        <f t="shared" si="57"/>
        <v>50.067066649402783</v>
      </c>
      <c r="J109" s="24">
        <f t="shared" si="58"/>
        <v>95.22116933166977</v>
      </c>
      <c r="K109" s="21">
        <v>23200828.350000001</v>
      </c>
      <c r="L109" s="21">
        <v>23787231.309999999</v>
      </c>
      <c r="M109" s="25">
        <f t="shared" si="59"/>
        <v>-2.4652005622591192E-2</v>
      </c>
      <c r="N109" s="10"/>
      <c r="R109" s="2"/>
    </row>
    <row r="110" spans="1:18" ht="15.75" x14ac:dyDescent="0.25">
      <c r="A110" s="19"/>
      <c r="B110" s="20">
        <f>DATE(2019,9,1)</f>
        <v>43709</v>
      </c>
      <c r="C110" s="21">
        <v>425892</v>
      </c>
      <c r="D110" s="21">
        <v>439040</v>
      </c>
      <c r="E110" s="23">
        <f t="shared" si="55"/>
        <v>-2.9947157434402332E-2</v>
      </c>
      <c r="F110" s="21">
        <f>+C110-202215</f>
        <v>223677</v>
      </c>
      <c r="G110" s="21">
        <f>+D110-213778</f>
        <v>225262</v>
      </c>
      <c r="H110" s="23">
        <f t="shared" si="56"/>
        <v>-7.0362511209169764E-3</v>
      </c>
      <c r="I110" s="24">
        <f t="shared" si="57"/>
        <v>50.554840593389876</v>
      </c>
      <c r="J110" s="24">
        <f t="shared" si="58"/>
        <v>96.258900870451598</v>
      </c>
      <c r="K110" s="21">
        <v>21530902.170000002</v>
      </c>
      <c r="L110" s="21">
        <v>21674295.539999999</v>
      </c>
      <c r="M110" s="25">
        <f t="shared" si="59"/>
        <v>-6.6158260938799273E-3</v>
      </c>
      <c r="N110" s="10"/>
      <c r="R110" s="2"/>
    </row>
    <row r="111" spans="1:18" ht="15.75" x14ac:dyDescent="0.25">
      <c r="A111" s="19"/>
      <c r="B111" s="20">
        <f>DATE(2019,10,1)</f>
        <v>43739</v>
      </c>
      <c r="C111" s="21">
        <v>405696</v>
      </c>
      <c r="D111" s="21">
        <v>422287</v>
      </c>
      <c r="E111" s="23">
        <f t="shared" si="55"/>
        <v>-3.9288446009467494E-2</v>
      </c>
      <c r="F111" s="21">
        <f>+C111-186355</f>
        <v>219341</v>
      </c>
      <c r="G111" s="21">
        <f>+D111-199383</f>
        <v>222904</v>
      </c>
      <c r="H111" s="23">
        <f t="shared" si="56"/>
        <v>-1.5984459677708788E-2</v>
      </c>
      <c r="I111" s="24">
        <f t="shared" si="57"/>
        <v>53.730310848517121</v>
      </c>
      <c r="J111" s="24">
        <f t="shared" si="58"/>
        <v>99.380290005060615</v>
      </c>
      <c r="K111" s="21">
        <v>21798172.190000001</v>
      </c>
      <c r="L111" s="21">
        <v>20754214.07</v>
      </c>
      <c r="M111" s="25">
        <f t="shared" si="59"/>
        <v>5.0301019179956885E-2</v>
      </c>
      <c r="N111" s="10"/>
      <c r="R111" s="2"/>
    </row>
    <row r="112" spans="1:18" ht="15.75" x14ac:dyDescent="0.25">
      <c r="A112" s="19"/>
      <c r="B112" s="20">
        <f>DATE(2019,11,1)</f>
        <v>43770</v>
      </c>
      <c r="C112" s="21">
        <v>410734</v>
      </c>
      <c r="D112" s="21">
        <v>425527</v>
      </c>
      <c r="E112" s="23">
        <f t="shared" si="55"/>
        <v>-3.4763951523640098E-2</v>
      </c>
      <c r="F112" s="21">
        <f>+C112-191355</f>
        <v>219379</v>
      </c>
      <c r="G112" s="21">
        <f>+D112-204971</f>
        <v>220556</v>
      </c>
      <c r="H112" s="23">
        <f t="shared" si="56"/>
        <v>-5.3365131757920894E-3</v>
      </c>
      <c r="I112" s="24">
        <f t="shared" si="57"/>
        <v>50.703642673847305</v>
      </c>
      <c r="J112" s="24">
        <f t="shared" si="58"/>
        <v>94.930280336768789</v>
      </c>
      <c r="K112" s="21">
        <v>20825709.969999999</v>
      </c>
      <c r="L112" s="21">
        <v>21387450.190000001</v>
      </c>
      <c r="M112" s="25">
        <f t="shared" si="59"/>
        <v>-2.626494579810416E-2</v>
      </c>
      <c r="N112" s="10"/>
      <c r="R112" s="2"/>
    </row>
    <row r="113" spans="1:18" ht="15.75" x14ac:dyDescent="0.25">
      <c r="A113" s="19"/>
      <c r="B113" s="20">
        <f>DATE(2019,12,1)</f>
        <v>43800</v>
      </c>
      <c r="C113" s="21">
        <v>436988</v>
      </c>
      <c r="D113" s="21">
        <v>480889</v>
      </c>
      <c r="E113" s="23">
        <f t="shared" si="55"/>
        <v>-9.1291337502001496E-2</v>
      </c>
      <c r="F113" s="21">
        <f>+C113-202156</f>
        <v>234832</v>
      </c>
      <c r="G113" s="21">
        <f>+D113-230072</f>
        <v>250817</v>
      </c>
      <c r="H113" s="23">
        <f t="shared" si="56"/>
        <v>-6.3731724723603264E-2</v>
      </c>
      <c r="I113" s="24">
        <f t="shared" si="57"/>
        <v>50.367651239850979</v>
      </c>
      <c r="J113" s="24">
        <f t="shared" si="58"/>
        <v>93.726831011105816</v>
      </c>
      <c r="K113" s="21">
        <v>22010059.18</v>
      </c>
      <c r="L113" s="21">
        <v>23039096.699999999</v>
      </c>
      <c r="M113" s="25">
        <f t="shared" si="59"/>
        <v>-4.4664837923094426E-2</v>
      </c>
      <c r="N113" s="10"/>
      <c r="R113" s="2"/>
    </row>
    <row r="114" spans="1:18" ht="15.75" thickBot="1" x14ac:dyDescent="0.25">
      <c r="A114" s="38"/>
      <c r="B114" s="45"/>
      <c r="C114" s="21"/>
      <c r="D114" s="21"/>
      <c r="E114" s="23"/>
      <c r="F114" s="21"/>
      <c r="G114" s="21"/>
      <c r="H114" s="23"/>
      <c r="I114" s="24"/>
      <c r="J114" s="24"/>
      <c r="K114" s="21"/>
      <c r="L114" s="21"/>
      <c r="M114" s="25"/>
      <c r="N114" s="10"/>
      <c r="R114" s="2"/>
    </row>
    <row r="115" spans="1:18" ht="17.25" thickTop="1" thickBot="1" x14ac:dyDescent="0.3">
      <c r="A115" s="39" t="s">
        <v>14</v>
      </c>
      <c r="B115" s="40"/>
      <c r="C115" s="41">
        <f>SUM(C108:C114)</f>
        <v>2590179</v>
      </c>
      <c r="D115" s="41">
        <f>SUM(D108:D114)</f>
        <v>2712807</v>
      </c>
      <c r="E115" s="279">
        <f>(+C115-D115)/D115</f>
        <v>-4.5203363158529151E-2</v>
      </c>
      <c r="F115" s="41">
        <f>SUM(F108:F114)</f>
        <v>1379942</v>
      </c>
      <c r="G115" s="41">
        <f>SUM(G108:G114)</f>
        <v>1407573</v>
      </c>
      <c r="H115" s="42">
        <f>(+F115-G115)/G115</f>
        <v>-1.9630242978516923E-2</v>
      </c>
      <c r="I115" s="43">
        <f>K115/C115</f>
        <v>51.024944511556924</v>
      </c>
      <c r="J115" s="43">
        <f>K115/F115</f>
        <v>95.774851225631224</v>
      </c>
      <c r="K115" s="41">
        <f>SUM(K108:K114)</f>
        <v>132163739.75</v>
      </c>
      <c r="L115" s="41">
        <f>SUM(L108:L114)</f>
        <v>134061843.58999999</v>
      </c>
      <c r="M115" s="44">
        <f>(+K115-L115)/L115</f>
        <v>-1.4158419645525246E-2</v>
      </c>
      <c r="N115" s="10"/>
      <c r="R115" s="2"/>
    </row>
    <row r="116" spans="1:18" ht="15.75" customHeight="1" thickTop="1" x14ac:dyDescent="0.25">
      <c r="A116" s="19"/>
      <c r="B116" s="45"/>
      <c r="C116" s="21"/>
      <c r="D116" s="21"/>
      <c r="E116" s="23"/>
      <c r="F116" s="21"/>
      <c r="G116" s="21"/>
      <c r="H116" s="23"/>
      <c r="I116" s="24"/>
      <c r="J116" s="24"/>
      <c r="K116" s="21"/>
      <c r="L116" s="21"/>
      <c r="M116" s="25"/>
      <c r="N116" s="10"/>
      <c r="R116" s="2"/>
    </row>
    <row r="117" spans="1:18" ht="15.75" x14ac:dyDescent="0.25">
      <c r="A117" s="19" t="s">
        <v>63</v>
      </c>
      <c r="B117" s="20">
        <f>DATE(2019,7,1)</f>
        <v>43647</v>
      </c>
      <c r="C117" s="21">
        <v>77431</v>
      </c>
      <c r="D117" s="21">
        <v>83462</v>
      </c>
      <c r="E117" s="23">
        <f t="shared" ref="E117:E122" si="60">(+C117-D117)/D117</f>
        <v>-7.2260429896240208E-2</v>
      </c>
      <c r="F117" s="21">
        <f>+C117-35761</f>
        <v>41670</v>
      </c>
      <c r="G117" s="21">
        <f>+D117-37670</f>
        <v>45792</v>
      </c>
      <c r="H117" s="23">
        <f t="shared" ref="H117:H122" si="61">(+F117-G117)/G117</f>
        <v>-9.0015723270440245E-2</v>
      </c>
      <c r="I117" s="24">
        <f t="shared" ref="I117:I122" si="62">K117/C117</f>
        <v>43.866899303896368</v>
      </c>
      <c r="J117" s="24">
        <f t="shared" ref="J117:J122" si="63">K117/F117</f>
        <v>81.513268058555312</v>
      </c>
      <c r="K117" s="21">
        <v>3396657.88</v>
      </c>
      <c r="L117" s="21">
        <v>3596592.5</v>
      </c>
      <c r="M117" s="25">
        <f t="shared" ref="M117:M122" si="64">(+K117-L117)/L117</f>
        <v>-5.5590011934907861E-2</v>
      </c>
      <c r="N117" s="10"/>
      <c r="R117" s="2"/>
    </row>
    <row r="118" spans="1:18" ht="15.75" x14ac:dyDescent="0.25">
      <c r="A118" s="19"/>
      <c r="B118" s="20">
        <f>DATE(2019,8,1)</f>
        <v>43678</v>
      </c>
      <c r="C118" s="21">
        <v>83032</v>
      </c>
      <c r="D118" s="21">
        <v>82775</v>
      </c>
      <c r="E118" s="23">
        <f t="shared" si="60"/>
        <v>3.1048021745696164E-3</v>
      </c>
      <c r="F118" s="21">
        <f>+C118-37844</f>
        <v>45188</v>
      </c>
      <c r="G118" s="21">
        <f>+D118-37255</f>
        <v>45520</v>
      </c>
      <c r="H118" s="23">
        <f t="shared" si="61"/>
        <v>-7.2934973637961333E-3</v>
      </c>
      <c r="I118" s="24">
        <f t="shared" si="62"/>
        <v>42.053671957799402</v>
      </c>
      <c r="J118" s="24">
        <f t="shared" si="63"/>
        <v>77.272738116314073</v>
      </c>
      <c r="K118" s="21">
        <v>3491800.49</v>
      </c>
      <c r="L118" s="21">
        <v>3639194.09</v>
      </c>
      <c r="M118" s="25">
        <f t="shared" si="64"/>
        <v>-4.0501714488110643E-2</v>
      </c>
      <c r="N118" s="10"/>
      <c r="R118" s="2"/>
    </row>
    <row r="119" spans="1:18" ht="15.75" x14ac:dyDescent="0.25">
      <c r="A119" s="19"/>
      <c r="B119" s="20">
        <f>DATE(2019,9,1)</f>
        <v>43709</v>
      </c>
      <c r="C119" s="21">
        <v>70924</v>
      </c>
      <c r="D119" s="21">
        <v>77092</v>
      </c>
      <c r="E119" s="23">
        <f t="shared" si="60"/>
        <v>-8.0008301769314588E-2</v>
      </c>
      <c r="F119" s="21">
        <f>+C119-32729</f>
        <v>38195</v>
      </c>
      <c r="G119" s="21">
        <f>+D119-35421</f>
        <v>41671</v>
      </c>
      <c r="H119" s="23">
        <f t="shared" si="61"/>
        <v>-8.3415324806220159E-2</v>
      </c>
      <c r="I119" s="24">
        <f t="shared" si="62"/>
        <v>47.535936354407532</v>
      </c>
      <c r="J119" s="24">
        <f t="shared" si="63"/>
        <v>88.269112449273464</v>
      </c>
      <c r="K119" s="21">
        <v>3371438.75</v>
      </c>
      <c r="L119" s="21">
        <v>3422069</v>
      </c>
      <c r="M119" s="25">
        <f t="shared" si="64"/>
        <v>-1.4795215993599195E-2</v>
      </c>
      <c r="N119" s="10"/>
      <c r="R119" s="2"/>
    </row>
    <row r="120" spans="1:18" ht="15.75" x14ac:dyDescent="0.25">
      <c r="A120" s="19"/>
      <c r="B120" s="20">
        <f>DATE(2019,10,1)</f>
        <v>43739</v>
      </c>
      <c r="C120" s="21">
        <v>70482</v>
      </c>
      <c r="D120" s="21">
        <v>82223</v>
      </c>
      <c r="E120" s="23">
        <f t="shared" si="60"/>
        <v>-0.14279459518626175</v>
      </c>
      <c r="F120" s="21">
        <f>+C120-33635</f>
        <v>36847</v>
      </c>
      <c r="G120" s="21">
        <f>+D120-37480</f>
        <v>44743</v>
      </c>
      <c r="H120" s="23">
        <f t="shared" si="61"/>
        <v>-0.17647453232907942</v>
      </c>
      <c r="I120" s="24">
        <f t="shared" si="62"/>
        <v>46.451715189693822</v>
      </c>
      <c r="J120" s="24">
        <f t="shared" si="63"/>
        <v>88.854175102450682</v>
      </c>
      <c r="K120" s="21">
        <v>3274009.79</v>
      </c>
      <c r="L120" s="21">
        <v>3392612.93</v>
      </c>
      <c r="M120" s="25">
        <f t="shared" si="64"/>
        <v>-3.4959231261315782E-2</v>
      </c>
      <c r="N120" s="10"/>
      <c r="R120" s="2"/>
    </row>
    <row r="121" spans="1:18" ht="15.75" x14ac:dyDescent="0.25">
      <c r="A121" s="19"/>
      <c r="B121" s="20">
        <f>DATE(2019,11,1)</f>
        <v>43770</v>
      </c>
      <c r="C121" s="21">
        <v>73056</v>
      </c>
      <c r="D121" s="21">
        <v>76303</v>
      </c>
      <c r="E121" s="23">
        <f t="shared" si="60"/>
        <v>-4.2554028019868156E-2</v>
      </c>
      <c r="F121" s="21">
        <f>+C121-35437</f>
        <v>37619</v>
      </c>
      <c r="G121" s="21">
        <f>+D121-35181</f>
        <v>41122</v>
      </c>
      <c r="H121" s="23">
        <f t="shared" si="61"/>
        <v>-8.5185545450124023E-2</v>
      </c>
      <c r="I121" s="24">
        <f t="shared" si="62"/>
        <v>46.231660643889619</v>
      </c>
      <c r="J121" s="24">
        <f t="shared" si="63"/>
        <v>89.781764533879155</v>
      </c>
      <c r="K121" s="21">
        <v>3377500.2</v>
      </c>
      <c r="L121" s="21">
        <v>3366475.85</v>
      </c>
      <c r="M121" s="25">
        <f t="shared" si="64"/>
        <v>3.2747450126517593E-3</v>
      </c>
      <c r="N121" s="10"/>
      <c r="R121" s="2"/>
    </row>
    <row r="122" spans="1:18" ht="15.75" x14ac:dyDescent="0.25">
      <c r="A122" s="19"/>
      <c r="B122" s="20">
        <f>DATE(2019,12,1)</f>
        <v>43800</v>
      </c>
      <c r="C122" s="21">
        <v>74995</v>
      </c>
      <c r="D122" s="21">
        <v>85578</v>
      </c>
      <c r="E122" s="23">
        <f t="shared" si="60"/>
        <v>-0.12366496062072029</v>
      </c>
      <c r="F122" s="21">
        <f>+C122-35471</f>
        <v>39524</v>
      </c>
      <c r="G122" s="21">
        <f>+D122-40324</f>
        <v>45254</v>
      </c>
      <c r="H122" s="23">
        <f t="shared" si="61"/>
        <v>-0.12661864144606003</v>
      </c>
      <c r="I122" s="24">
        <f t="shared" si="62"/>
        <v>47.131188612574178</v>
      </c>
      <c r="J122" s="24">
        <f t="shared" si="63"/>
        <v>89.429295870863285</v>
      </c>
      <c r="K122" s="21">
        <v>3534603.49</v>
      </c>
      <c r="L122" s="21">
        <v>3763977.96</v>
      </c>
      <c r="M122" s="25">
        <f t="shared" si="64"/>
        <v>-6.0939376488803813E-2</v>
      </c>
      <c r="N122" s="10"/>
      <c r="R122" s="2"/>
    </row>
    <row r="123" spans="1:18" ht="15.75" thickBot="1" x14ac:dyDescent="0.25">
      <c r="A123" s="38"/>
      <c r="B123" s="45"/>
      <c r="C123" s="21"/>
      <c r="D123" s="21"/>
      <c r="E123" s="23"/>
      <c r="F123" s="21"/>
      <c r="G123" s="21"/>
      <c r="H123" s="23"/>
      <c r="I123" s="24"/>
      <c r="J123" s="24"/>
      <c r="K123" s="21"/>
      <c r="L123" s="21"/>
      <c r="M123" s="25"/>
      <c r="N123" s="10"/>
      <c r="R123" s="2"/>
    </row>
    <row r="124" spans="1:18" ht="17.25" thickTop="1" thickBot="1" x14ac:dyDescent="0.3">
      <c r="A124" s="26" t="s">
        <v>14</v>
      </c>
      <c r="B124" s="27"/>
      <c r="C124" s="28">
        <f>SUM(C117:C123)</f>
        <v>449920</v>
      </c>
      <c r="D124" s="28">
        <f>SUM(D117:D123)</f>
        <v>487433</v>
      </c>
      <c r="E124" s="279">
        <f>(+C124-D124)/D124</f>
        <v>-7.6960320700486015E-2</v>
      </c>
      <c r="F124" s="28">
        <f>SUM(F117:F123)</f>
        <v>239043</v>
      </c>
      <c r="G124" s="28">
        <f>SUM(G117:G123)</f>
        <v>264102</v>
      </c>
      <c r="H124" s="42">
        <f>(+F124-G124)/G124</f>
        <v>-9.4883794897425988E-2</v>
      </c>
      <c r="I124" s="43">
        <f>K124/C124</f>
        <v>45.443657983641536</v>
      </c>
      <c r="J124" s="43">
        <f>K124/F124</f>
        <v>85.532772764732712</v>
      </c>
      <c r="K124" s="28">
        <f>SUM(K117:K123)</f>
        <v>20446010.600000001</v>
      </c>
      <c r="L124" s="28">
        <f>SUM(L117:L123)</f>
        <v>21180922.330000002</v>
      </c>
      <c r="M124" s="44">
        <f>(+K124-L124)/L124</f>
        <v>-3.4696871012037764E-2</v>
      </c>
      <c r="N124" s="10"/>
      <c r="R124" s="2"/>
    </row>
    <row r="125" spans="1:18" ht="16.5" thickTop="1" thickBot="1" x14ac:dyDescent="0.25">
      <c r="A125" s="63"/>
      <c r="B125" s="34"/>
      <c r="C125" s="35"/>
      <c r="D125" s="35"/>
      <c r="E125" s="29"/>
      <c r="F125" s="35"/>
      <c r="G125" s="35"/>
      <c r="H125" s="29"/>
      <c r="I125" s="36"/>
      <c r="J125" s="36"/>
      <c r="K125" s="35"/>
      <c r="L125" s="35"/>
      <c r="M125" s="37"/>
      <c r="N125" s="10"/>
      <c r="R125" s="2"/>
    </row>
    <row r="126" spans="1:18" ht="17.25" thickTop="1" thickBot="1" x14ac:dyDescent="0.3">
      <c r="A126" s="64" t="s">
        <v>20</v>
      </c>
      <c r="B126" s="65"/>
      <c r="C126" s="28">
        <f>C124+C115+C52+C70+C79+C34+C16+C88+C97+C43+C106+C25+C61</f>
        <v>18487474</v>
      </c>
      <c r="D126" s="28">
        <f>D124+D115+D52+D70+D79+D34+D16+D88+D97+D43+D106+D25+D61</f>
        <v>19282338</v>
      </c>
      <c r="E126" s="278">
        <f>(+C126-D126)/D126</f>
        <v>-4.1222387036260855E-2</v>
      </c>
      <c r="F126" s="28">
        <f>F124+F115+F52+F70+F79+F34+F16+F88+F97+F43+F106+F25+F61</f>
        <v>9803592</v>
      </c>
      <c r="G126" s="28">
        <f>G124+G115+G52+G70+G79+G34+G16+G88+G97+G43+G106+G25+G61</f>
        <v>10127046</v>
      </c>
      <c r="H126" s="30">
        <f>(+F126-G126)/G126</f>
        <v>-3.1939619904955502E-2</v>
      </c>
      <c r="I126" s="31">
        <f>K126/C126</f>
        <v>46.935853383755948</v>
      </c>
      <c r="J126" s="31">
        <f>K126/F126</f>
        <v>88.510963032733329</v>
      </c>
      <c r="K126" s="28">
        <f>K124+K115+K52+K70+K79+K34+K16+K88+K97+K43+K106+K25+K61</f>
        <v>867725369.10000014</v>
      </c>
      <c r="L126" s="28">
        <f>L124+L115+L52+L70+L79+L34+L16+L88+L97+L43+L106+L25+L61</f>
        <v>873993412.38000011</v>
      </c>
      <c r="M126" s="32">
        <f>(+K126-L126)/L126</f>
        <v>-7.1717282890396816E-3</v>
      </c>
      <c r="N126" s="10"/>
      <c r="R126" s="2"/>
    </row>
    <row r="127" spans="1:18" ht="17.25" thickTop="1" thickBot="1" x14ac:dyDescent="0.3">
      <c r="A127" s="64"/>
      <c r="B127" s="65"/>
      <c r="C127" s="28"/>
      <c r="D127" s="28"/>
      <c r="E127" s="29"/>
      <c r="F127" s="28"/>
      <c r="G127" s="28"/>
      <c r="H127" s="30"/>
      <c r="I127" s="31"/>
      <c r="J127" s="31"/>
      <c r="K127" s="28"/>
      <c r="L127" s="28"/>
      <c r="M127" s="32"/>
      <c r="N127" s="10"/>
      <c r="R127" s="2"/>
    </row>
    <row r="128" spans="1:18" ht="17.25" thickTop="1" thickBot="1" x14ac:dyDescent="0.3">
      <c r="A128" s="64" t="s">
        <v>21</v>
      </c>
      <c r="B128" s="65"/>
      <c r="C128" s="28">
        <f>SUM(C14+C23+C32+C41+C50+C59+C68+C77+C86+C95+C104+C113+C122)</f>
        <v>3117146</v>
      </c>
      <c r="D128" s="28">
        <f>SUM(D14+D23+D32+D41+D50+D59+D68+D77+D86+D95+D104+D113+D122)</f>
        <v>3367815</v>
      </c>
      <c r="E128" s="278">
        <f>(+C128-D128)/D128</f>
        <v>-7.443075109529472E-2</v>
      </c>
      <c r="F128" s="28">
        <f>SUM(F14+F23+F32+F41+F50+F59+F68+F77+F86+F95+F104+F113+F122)</f>
        <v>1629014</v>
      </c>
      <c r="G128" s="28">
        <f>SUM(G14+G23+G32+G41+G50+G59+G68+G77+G86+G95+G104+G113+G122)</f>
        <v>1751430</v>
      </c>
      <c r="H128" s="30">
        <f>(+F128-G128)/G128</f>
        <v>-6.9894885893241526E-2</v>
      </c>
      <c r="I128" s="31">
        <f>K128/C128</f>
        <v>46.931285281472228</v>
      </c>
      <c r="J128" s="31">
        <f>K128/F128</f>
        <v>89.803812729663477</v>
      </c>
      <c r="K128" s="28">
        <f>SUM(K14+K23+K32+K41+K50+K59+K68+K77+K86+K95+K104+K113+K122)</f>
        <v>146291668.19000003</v>
      </c>
      <c r="L128" s="28">
        <f>SUM(L14+L23+L32+L41+L50+L59+L68+L77+L86+L95+L104+L113+L122)</f>
        <v>152123297.72999999</v>
      </c>
      <c r="M128" s="44">
        <f>(+K128-L128)/L128</f>
        <v>-3.8334887732649488E-2</v>
      </c>
      <c r="N128" s="10"/>
      <c r="R128" s="2"/>
    </row>
    <row r="129" spans="1:18" ht="15.75" thickTop="1" x14ac:dyDescent="0.2">
      <c r="A129" s="66"/>
      <c r="B129" s="67"/>
      <c r="C129" s="68"/>
      <c r="D129" s="67"/>
      <c r="E129" s="67"/>
      <c r="F129" s="67"/>
      <c r="G129" s="67"/>
      <c r="H129" s="67"/>
      <c r="I129" s="67"/>
      <c r="J129" s="67"/>
      <c r="K129" s="68"/>
      <c r="L129" s="68"/>
      <c r="M129" s="67"/>
      <c r="R129" s="2"/>
    </row>
    <row r="130" spans="1:18" ht="18.75" x14ac:dyDescent="0.3">
      <c r="A130" s="264" t="s">
        <v>22</v>
      </c>
      <c r="B130" s="70"/>
      <c r="C130" s="71"/>
      <c r="D130" s="71"/>
      <c r="E130" s="71"/>
      <c r="F130" s="71"/>
      <c r="G130" s="71"/>
      <c r="H130" s="71"/>
      <c r="I130" s="71"/>
      <c r="J130" s="71"/>
      <c r="K130" s="198"/>
      <c r="L130" s="198"/>
      <c r="M130" s="71"/>
      <c r="N130" s="2"/>
      <c r="O130" s="2"/>
      <c r="P130" s="2"/>
      <c r="Q130" s="2"/>
      <c r="R130" s="2"/>
    </row>
    <row r="131" spans="1:18" ht="18" x14ac:dyDescent="0.25">
      <c r="A131" s="69"/>
      <c r="B131" s="70"/>
      <c r="C131" s="71"/>
      <c r="D131" s="71"/>
      <c r="E131" s="71"/>
      <c r="F131" s="71"/>
      <c r="G131" s="71"/>
      <c r="H131" s="71"/>
      <c r="I131" s="71"/>
      <c r="J131" s="71"/>
      <c r="K131" s="198"/>
      <c r="L131" s="198"/>
      <c r="M131" s="71"/>
      <c r="N131" s="2"/>
      <c r="O131" s="2"/>
      <c r="P131" s="2"/>
      <c r="Q131" s="2"/>
      <c r="R131" s="2"/>
    </row>
    <row r="132" spans="1:18" ht="15.75" x14ac:dyDescent="0.25">
      <c r="A132" s="72"/>
      <c r="B132" s="73"/>
      <c r="C132" s="74"/>
      <c r="D132" s="74"/>
      <c r="E132" s="74"/>
      <c r="F132" s="74"/>
      <c r="G132" s="74"/>
      <c r="H132" s="74"/>
      <c r="I132" s="74"/>
      <c r="J132" s="74"/>
      <c r="K132" s="192"/>
      <c r="L132" s="192"/>
      <c r="M132" s="75"/>
      <c r="N132" s="2"/>
      <c r="O132" s="2"/>
      <c r="P132" s="2"/>
      <c r="Q132" s="2"/>
      <c r="R132" s="2"/>
    </row>
    <row r="133" spans="1:18" x14ac:dyDescent="0.2">
      <c r="A133" s="2"/>
      <c r="B133" s="73"/>
      <c r="C133" s="74"/>
      <c r="D133" s="74"/>
      <c r="E133" s="74"/>
      <c r="F133" s="74"/>
      <c r="G133" s="74"/>
      <c r="H133" s="74"/>
      <c r="I133" s="74"/>
      <c r="J133" s="74"/>
      <c r="K133" s="192"/>
      <c r="L133" s="192"/>
      <c r="M133" s="75"/>
      <c r="N133" s="2"/>
      <c r="O133" s="2"/>
      <c r="P133" s="2"/>
      <c r="Q133" s="2"/>
      <c r="R133" s="2"/>
    </row>
    <row r="134" spans="1:18" x14ac:dyDescent="0.2">
      <c r="A134" s="2"/>
      <c r="B134" s="73"/>
      <c r="C134" s="74"/>
      <c r="D134" s="74"/>
      <c r="E134" s="74"/>
      <c r="F134" s="74"/>
      <c r="G134" s="74"/>
      <c r="H134" s="74"/>
      <c r="I134" s="74"/>
      <c r="J134" s="74"/>
      <c r="K134" s="192"/>
      <c r="L134" s="192"/>
      <c r="M134" s="75"/>
      <c r="N134" s="2"/>
      <c r="O134" s="2"/>
      <c r="P134" s="2"/>
      <c r="Q134" s="2"/>
      <c r="R134" s="2"/>
    </row>
    <row r="135" spans="1:18" x14ac:dyDescent="0.2">
      <c r="A135" s="2"/>
      <c r="B135" s="73"/>
      <c r="C135" s="74"/>
      <c r="D135" s="74"/>
      <c r="E135" s="74"/>
      <c r="F135" s="74"/>
      <c r="G135" s="74"/>
      <c r="H135" s="74"/>
      <c r="I135" s="74"/>
      <c r="J135" s="74"/>
      <c r="K135" s="192"/>
      <c r="L135" s="192"/>
      <c r="M135" s="75"/>
      <c r="N135" s="2"/>
      <c r="O135" s="2"/>
      <c r="P135" s="2"/>
      <c r="Q135" s="2"/>
      <c r="R135" s="2"/>
    </row>
    <row r="136" spans="1:18" x14ac:dyDescent="0.2">
      <c r="A136" s="2"/>
      <c r="B136" s="73"/>
      <c r="C136" s="74"/>
      <c r="D136" s="74"/>
      <c r="E136" s="74"/>
      <c r="F136" s="74"/>
      <c r="G136" s="74"/>
      <c r="H136" s="74"/>
      <c r="I136" s="74"/>
      <c r="J136" s="74"/>
      <c r="K136" s="192"/>
      <c r="L136" s="192"/>
      <c r="M136" s="75"/>
      <c r="N136" s="2"/>
      <c r="O136" s="2"/>
      <c r="P136" s="2"/>
      <c r="Q136" s="2"/>
      <c r="R136" s="2"/>
    </row>
    <row r="137" spans="1:18" x14ac:dyDescent="0.2">
      <c r="A137" s="2"/>
      <c r="B137" s="73"/>
      <c r="C137" s="74"/>
      <c r="D137" s="74"/>
      <c r="E137" s="74"/>
      <c r="F137" s="74"/>
      <c r="G137" s="74"/>
      <c r="H137" s="74"/>
      <c r="I137" s="74"/>
      <c r="J137" s="74"/>
      <c r="K137" s="192"/>
      <c r="L137" s="192"/>
      <c r="M137" s="75"/>
      <c r="N137" s="2"/>
      <c r="O137" s="2"/>
      <c r="P137" s="2"/>
      <c r="Q137" s="2"/>
      <c r="R137" s="2"/>
    </row>
    <row r="138" spans="1:18" x14ac:dyDescent="0.2">
      <c r="A138" s="2"/>
      <c r="B138" s="73"/>
      <c r="C138" s="74"/>
      <c r="D138" s="74"/>
      <c r="E138" s="74"/>
      <c r="F138" s="74"/>
      <c r="G138" s="74"/>
      <c r="H138" s="74"/>
      <c r="I138" s="74"/>
      <c r="J138" s="74"/>
      <c r="K138" s="192"/>
      <c r="L138" s="192"/>
      <c r="M138" s="75"/>
      <c r="N138" s="2"/>
      <c r="O138" s="2"/>
      <c r="P138" s="2"/>
      <c r="Q138" s="2"/>
      <c r="R138" s="2"/>
    </row>
    <row r="139" spans="1:18" x14ac:dyDescent="0.2">
      <c r="A139" s="2"/>
      <c r="B139" s="73"/>
      <c r="C139" s="74"/>
      <c r="D139" s="74"/>
      <c r="E139" s="74"/>
      <c r="F139" s="74"/>
      <c r="G139" s="74"/>
      <c r="H139" s="74"/>
      <c r="I139" s="74"/>
      <c r="J139" s="74"/>
      <c r="K139" s="192"/>
      <c r="L139" s="192"/>
      <c r="M139" s="75"/>
      <c r="N139" s="2"/>
      <c r="O139" s="2"/>
      <c r="P139" s="2"/>
      <c r="Q139" s="2"/>
      <c r="R139" s="2"/>
    </row>
    <row r="140" spans="1:18" x14ac:dyDescent="0.2">
      <c r="A140" s="2"/>
      <c r="B140" s="73"/>
      <c r="C140" s="74"/>
      <c r="D140" s="74"/>
      <c r="E140" s="74"/>
      <c r="F140" s="74"/>
      <c r="G140" s="74"/>
      <c r="H140" s="74"/>
      <c r="I140" s="74"/>
      <c r="J140" s="74"/>
      <c r="K140" s="192"/>
      <c r="L140" s="192"/>
      <c r="M140" s="75"/>
      <c r="N140" s="2"/>
      <c r="O140" s="2"/>
      <c r="P140" s="2"/>
      <c r="Q140" s="2"/>
      <c r="R140" s="2"/>
    </row>
    <row r="141" spans="1:18" x14ac:dyDescent="0.2">
      <c r="A141" s="2"/>
      <c r="B141" s="73"/>
      <c r="C141" s="74"/>
      <c r="D141" s="74"/>
      <c r="E141" s="74"/>
      <c r="F141" s="74"/>
      <c r="G141" s="74"/>
      <c r="H141" s="74"/>
      <c r="I141" s="74"/>
      <c r="J141" s="74"/>
      <c r="K141" s="192"/>
      <c r="L141" s="192"/>
      <c r="M141" s="74"/>
      <c r="N141" s="2"/>
      <c r="O141" s="2"/>
      <c r="P141" s="2"/>
      <c r="Q141" s="2"/>
      <c r="R141" s="2"/>
    </row>
    <row r="142" spans="1:18" x14ac:dyDescent="0.2">
      <c r="A142" s="2"/>
      <c r="B142" s="73"/>
      <c r="C142" s="74"/>
      <c r="D142" s="74"/>
      <c r="E142" s="74"/>
      <c r="F142" s="74"/>
      <c r="G142" s="74"/>
      <c r="H142" s="74"/>
      <c r="I142" s="74"/>
      <c r="J142" s="74"/>
      <c r="K142" s="192"/>
      <c r="L142" s="192"/>
      <c r="M142" s="74"/>
      <c r="N142" s="2"/>
      <c r="O142" s="2"/>
      <c r="P142" s="2"/>
      <c r="Q142" s="2"/>
      <c r="R142" s="2"/>
    </row>
    <row r="143" spans="1:18" x14ac:dyDescent="0.2">
      <c r="A143" s="2"/>
      <c r="B143" s="70"/>
      <c r="C143" s="74"/>
      <c r="D143" s="74"/>
      <c r="E143" s="74"/>
      <c r="F143" s="74"/>
      <c r="G143" s="74"/>
      <c r="H143" s="74"/>
      <c r="I143" s="74"/>
      <c r="J143" s="74"/>
      <c r="K143" s="192"/>
      <c r="L143" s="192"/>
      <c r="M143" s="74"/>
      <c r="N143" s="2"/>
      <c r="O143" s="2"/>
      <c r="P143" s="2"/>
      <c r="Q143" s="2"/>
      <c r="R143" s="2"/>
    </row>
    <row r="144" spans="1:18" ht="15.75" x14ac:dyDescent="0.25">
      <c r="A144" s="76"/>
      <c r="B144" s="70"/>
      <c r="C144" s="74"/>
      <c r="D144" s="74"/>
      <c r="E144" s="74"/>
      <c r="F144" s="74"/>
      <c r="G144" s="74"/>
      <c r="H144" s="74"/>
      <c r="I144" s="74"/>
      <c r="J144" s="74"/>
      <c r="K144" s="192"/>
      <c r="L144" s="192"/>
      <c r="M144" s="75"/>
      <c r="N144" s="2"/>
      <c r="O144" s="2"/>
      <c r="P144" s="2"/>
      <c r="Q144" s="2"/>
      <c r="R144" s="2"/>
    </row>
    <row r="145" spans="1:18" ht="15.75" x14ac:dyDescent="0.25">
      <c r="A145" s="76"/>
      <c r="B145" s="70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ht="15.75" x14ac:dyDescent="0.25">
      <c r="A146" s="76"/>
      <c r="B146" s="70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x14ac:dyDescent="0.2">
      <c r="A147" s="2"/>
      <c r="B147" s="70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ht="15.75" x14ac:dyDescent="0.25">
      <c r="A148" s="76"/>
      <c r="B148" s="73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x14ac:dyDescent="0.2">
      <c r="A149" s="2"/>
      <c r="B149" s="73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x14ac:dyDescent="0.2">
      <c r="A150" s="2"/>
      <c r="B150" s="73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x14ac:dyDescent="0.2">
      <c r="A151" s="2"/>
      <c r="B151" s="77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x14ac:dyDescent="0.2">
      <c r="A152" s="2"/>
      <c r="B152" s="77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x14ac:dyDescent="0.2">
      <c r="A153" s="2"/>
      <c r="B153" s="77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x14ac:dyDescent="0.2">
      <c r="A154" s="2"/>
      <c r="B154" s="77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5"/>
      <c r="N154" s="2"/>
      <c r="O154" s="2"/>
      <c r="P154" s="2"/>
      <c r="Q154" s="2"/>
      <c r="R154" s="2"/>
    </row>
    <row r="155" spans="1:18" x14ac:dyDescent="0.2">
      <c r="A155" s="2"/>
      <c r="B155" s="77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5"/>
      <c r="N155" s="2"/>
      <c r="O155" s="2"/>
      <c r="P155" s="2"/>
      <c r="Q155" s="2"/>
      <c r="R155" s="2"/>
    </row>
    <row r="156" spans="1:18" x14ac:dyDescent="0.2">
      <c r="A156" s="2"/>
      <c r="B156" s="77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5"/>
      <c r="N156" s="2"/>
      <c r="O156" s="2"/>
      <c r="P156" s="2"/>
      <c r="Q156" s="2"/>
      <c r="R156" s="2"/>
    </row>
    <row r="157" spans="1:18" x14ac:dyDescent="0.2">
      <c r="A157" s="2"/>
      <c r="B157" s="77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x14ac:dyDescent="0.2">
      <c r="A158" s="2"/>
      <c r="B158" s="77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x14ac:dyDescent="0.2">
      <c r="A159" s="2"/>
      <c r="B159" s="77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x14ac:dyDescent="0.2">
      <c r="A160" s="2"/>
      <c r="B160" s="2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ht="15.75" x14ac:dyDescent="0.25">
      <c r="A161" s="76"/>
      <c r="B161" s="2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x14ac:dyDescent="0.2">
      <c r="A162" s="2"/>
      <c r="B162" s="2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x14ac:dyDescent="0.2">
      <c r="A163" s="2"/>
      <c r="B163" s="2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ht="15.75" x14ac:dyDescent="0.25">
      <c r="A164" s="76"/>
      <c r="B164" s="2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ht="15.75" x14ac:dyDescent="0.25">
      <c r="A165" s="76"/>
      <c r="B165" s="2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ht="15.75" x14ac:dyDescent="0.25">
      <c r="A166" s="76"/>
      <c r="B166" s="77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x14ac:dyDescent="0.2">
      <c r="A167" s="2"/>
      <c r="B167" s="77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x14ac:dyDescent="0.2">
      <c r="A168" s="2"/>
      <c r="B168" s="77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x14ac:dyDescent="0.2">
      <c r="A169" s="2"/>
      <c r="B169" s="77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x14ac:dyDescent="0.2">
      <c r="A170" s="2"/>
      <c r="B170" s="77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x14ac:dyDescent="0.2">
      <c r="A171" s="2"/>
      <c r="B171" s="77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x14ac:dyDescent="0.2">
      <c r="A172" s="2"/>
      <c r="B172" s="77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x14ac:dyDescent="0.2">
      <c r="A173" s="2"/>
      <c r="B173" s="77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x14ac:dyDescent="0.2">
      <c r="A174" s="2"/>
      <c r="B174" s="77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x14ac:dyDescent="0.2">
      <c r="A175" s="2"/>
      <c r="B175" s="77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x14ac:dyDescent="0.2">
      <c r="A176" s="2"/>
      <c r="B176" s="77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x14ac:dyDescent="0.2">
      <c r="A177" s="2"/>
      <c r="B177" s="77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x14ac:dyDescent="0.2">
      <c r="A178" s="2"/>
      <c r="B178" s="2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ht="15.75" x14ac:dyDescent="0.25">
      <c r="A179" s="76"/>
      <c r="B179" s="2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x14ac:dyDescent="0.2">
      <c r="A180" s="2"/>
      <c r="B180" s="2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x14ac:dyDescent="0.2">
      <c r="A181" s="2"/>
      <c r="B181" s="2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ht="15.75" x14ac:dyDescent="0.25">
      <c r="A182" s="76"/>
      <c r="B182" s="77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x14ac:dyDescent="0.2">
      <c r="A183" s="2"/>
      <c r="B183" s="77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x14ac:dyDescent="0.2">
      <c r="A184" s="2"/>
      <c r="B184" s="77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x14ac:dyDescent="0.2">
      <c r="A185" s="2"/>
      <c r="B185" s="2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x14ac:dyDescent="0.2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x14ac:dyDescent="0.2">
      <c r="A187" s="2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ht="15.75" x14ac:dyDescent="0.25">
      <c r="A188" s="76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x14ac:dyDescent="0.2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x14ac:dyDescent="0.2">
      <c r="A190" s="2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ht="15.75" x14ac:dyDescent="0.25">
      <c r="A191" s="76"/>
      <c r="B191" s="76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x14ac:dyDescent="0.2">
      <c r="A192" s="2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x14ac:dyDescent="0.2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x14ac:dyDescent="0.2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x14ac:dyDescent="0.2">
      <c r="A195" s="2"/>
      <c r="B195" s="2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x14ac:dyDescent="0.2">
      <c r="A196" s="2"/>
      <c r="B196" s="2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x14ac:dyDescent="0.2">
      <c r="A197" s="2"/>
      <c r="B197" s="2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x14ac:dyDescent="0.2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x14ac:dyDescent="0.2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x14ac:dyDescent="0.2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x14ac:dyDescent="0.2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x14ac:dyDescent="0.2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x14ac:dyDescent="0.2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x14ac:dyDescent="0.2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x14ac:dyDescent="0.2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x14ac:dyDescent="0.2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x14ac:dyDescent="0.2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x14ac:dyDescent="0.2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x14ac:dyDescent="0.2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x14ac:dyDescent="0.2">
      <c r="A210" s="2"/>
      <c r="B210" s="2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x14ac:dyDescent="0.2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x14ac:dyDescent="0.2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x14ac:dyDescent="0.2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x14ac:dyDescent="0.2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x14ac:dyDescent="0.2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x14ac:dyDescent="0.2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x14ac:dyDescent="0.2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x14ac:dyDescent="0.2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x14ac:dyDescent="0.2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x14ac:dyDescent="0.2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x14ac:dyDescent="0.2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x14ac:dyDescent="0.2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x14ac:dyDescent="0.2">
      <c r="A223" s="2"/>
      <c r="B223" s="2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x14ac:dyDescent="0.2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x14ac:dyDescent="0.2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x14ac:dyDescent="0.2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x14ac:dyDescent="0.2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x14ac:dyDescent="0.2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x14ac:dyDescent="0.2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x14ac:dyDescent="0.2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x14ac:dyDescent="0.2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x14ac:dyDescent="0.2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x14ac:dyDescent="0.2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x14ac:dyDescent="0.2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x14ac:dyDescent="0.2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x14ac:dyDescent="0.2">
      <c r="A236" s="2"/>
      <c r="B236" s="2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x14ac:dyDescent="0.2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x14ac:dyDescent="0.2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x14ac:dyDescent="0.2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x14ac:dyDescent="0.2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x14ac:dyDescent="0.2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x14ac:dyDescent="0.2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x14ac:dyDescent="0.2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x14ac:dyDescent="0.2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x14ac:dyDescent="0.2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x14ac:dyDescent="0.2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x14ac:dyDescent="0.2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x14ac:dyDescent="0.2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x14ac:dyDescent="0.2">
      <c r="A249" s="2"/>
      <c r="B249" s="2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x14ac:dyDescent="0.2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x14ac:dyDescent="0.2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x14ac:dyDescent="0.2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x14ac:dyDescent="0.2">
      <c r="A253" s="2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x14ac:dyDescent="0.2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x14ac:dyDescent="0.2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x14ac:dyDescent="0.2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x14ac:dyDescent="0.2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x14ac:dyDescent="0.2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x14ac:dyDescent="0.2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x14ac:dyDescent="0.2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x14ac:dyDescent="0.2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x14ac:dyDescent="0.2">
      <c r="A262" s="2"/>
      <c r="B262" s="2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x14ac:dyDescent="0.2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x14ac:dyDescent="0.2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x14ac:dyDescent="0.2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x14ac:dyDescent="0.2">
      <c r="A266" s="2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x14ac:dyDescent="0.2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x14ac:dyDescent="0.2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x14ac:dyDescent="0.2">
      <c r="A269" s="2"/>
      <c r="B269" s="2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x14ac:dyDescent="0.2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x14ac:dyDescent="0.2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x14ac:dyDescent="0.2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x14ac:dyDescent="0.2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x14ac:dyDescent="0.2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92"/>
      <c r="L275" s="192"/>
      <c r="M275" s="75"/>
      <c r="N275" s="2"/>
      <c r="O275" s="2"/>
      <c r="P275" s="2"/>
      <c r="Q275" s="2"/>
      <c r="R275" s="2"/>
    </row>
    <row r="276" spans="1:18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92"/>
      <c r="L276" s="192"/>
      <c r="M276" s="75"/>
      <c r="N276" s="2"/>
      <c r="O276" s="2"/>
      <c r="P276" s="2"/>
      <c r="Q276" s="2"/>
      <c r="R276" s="2"/>
    </row>
    <row r="277" spans="1:18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92"/>
      <c r="L277" s="192"/>
      <c r="M277" s="75"/>
      <c r="N277" s="2"/>
      <c r="O277" s="2"/>
      <c r="P277" s="2"/>
      <c r="Q277" s="2"/>
      <c r="R277" s="2"/>
    </row>
    <row r="278" spans="1:18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92"/>
      <c r="L278" s="192"/>
      <c r="M278" s="75"/>
      <c r="N278" s="2"/>
      <c r="O278" s="2"/>
      <c r="P278" s="2"/>
      <c r="Q278" s="2"/>
      <c r="R278" s="2"/>
    </row>
    <row r="279" spans="1:18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92"/>
      <c r="L279" s="192"/>
      <c r="M279" s="75"/>
      <c r="N279" s="2"/>
      <c r="O279" s="2"/>
      <c r="P279" s="2"/>
      <c r="Q279" s="2"/>
      <c r="R279" s="2"/>
    </row>
    <row r="280" spans="1:18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92"/>
      <c r="L280" s="192"/>
      <c r="M280" s="75"/>
      <c r="N280" s="2"/>
      <c r="O280" s="2"/>
      <c r="P280" s="2"/>
      <c r="Q280" s="2"/>
      <c r="R280" s="2"/>
    </row>
    <row r="281" spans="1:18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92"/>
      <c r="L281" s="192"/>
      <c r="M281" s="75"/>
      <c r="N281" s="2"/>
      <c r="O281" s="2"/>
      <c r="P281" s="2"/>
      <c r="Q281" s="2"/>
      <c r="R281" s="2"/>
    </row>
    <row r="282" spans="1:18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92"/>
      <c r="L282" s="192"/>
      <c r="M282" s="75"/>
      <c r="N282" s="2"/>
      <c r="O282" s="2"/>
      <c r="P282" s="2"/>
      <c r="Q282" s="2"/>
      <c r="R282" s="2"/>
    </row>
    <row r="283" spans="1:18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92"/>
      <c r="L283" s="192"/>
      <c r="M283" s="75"/>
      <c r="N283" s="2"/>
      <c r="O283" s="2"/>
      <c r="P283" s="2"/>
      <c r="Q283" s="2"/>
      <c r="R283" s="2"/>
    </row>
    <row r="284" spans="1:18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92"/>
      <c r="L284" s="192"/>
      <c r="M284" s="75"/>
      <c r="N284" s="2"/>
      <c r="O284" s="2"/>
      <c r="P284" s="2"/>
      <c r="Q284" s="2"/>
      <c r="R284" s="2"/>
    </row>
    <row r="285" spans="1:18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92"/>
      <c r="L285" s="192"/>
      <c r="M285" s="75"/>
      <c r="N285" s="2"/>
      <c r="O285" s="2"/>
      <c r="P285" s="2"/>
      <c r="Q285" s="2"/>
      <c r="R285" s="2"/>
    </row>
    <row r="286" spans="1:18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92"/>
      <c r="L286" s="192"/>
      <c r="M286" s="75"/>
      <c r="N286" s="2"/>
      <c r="O286" s="2"/>
      <c r="P286" s="2"/>
      <c r="Q286" s="2"/>
      <c r="R286" s="2"/>
    </row>
    <row r="287" spans="1:18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92"/>
      <c r="L287" s="192"/>
      <c r="M287" s="75"/>
      <c r="N287" s="2"/>
      <c r="O287" s="2"/>
      <c r="P287" s="2"/>
      <c r="Q287" s="2"/>
      <c r="R287" s="2"/>
    </row>
    <row r="288" spans="1:18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2" manualBreakCount="2">
    <brk id="52" max="12" man="1"/>
    <brk id="9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1"/>
  <sheetViews>
    <sheetView showOutlineSymbols="0" zoomScaleNormal="100" workbookViewId="0">
      <selection activeCell="A4" sqref="A4"/>
    </sheetView>
  </sheetViews>
  <sheetFormatPr defaultColWidth="9.6640625" defaultRowHeight="15" x14ac:dyDescent="0.2"/>
  <cols>
    <col min="1" max="1" width="10.21875" style="80" customWidth="1"/>
    <col min="2" max="2" width="9.77734375" style="80" customWidth="1"/>
    <col min="3" max="3" width="16.109375" style="80" customWidth="1"/>
    <col min="4" max="4" width="16.21875" style="80" customWidth="1"/>
    <col min="5" max="5" width="13.6640625" style="80" customWidth="1"/>
    <col min="6" max="6" width="14.33203125" style="80" customWidth="1"/>
    <col min="7" max="7" width="21.44140625" style="80" customWidth="1"/>
    <col min="8" max="8" width="17.88671875" style="80" customWidth="1"/>
    <col min="9" max="9" width="15.441406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140625" style="80" customWidth="1"/>
    <col min="15" max="15" width="13.88671875" style="80" customWidth="1"/>
    <col min="16" max="16" width="3.77734375" style="80" customWidth="1"/>
    <col min="17" max="16384" width="9.6640625" style="80"/>
  </cols>
  <sheetData>
    <row r="1" spans="1:16" ht="23.25" x14ac:dyDescent="0.3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23.25" x14ac:dyDescent="0.35">
      <c r="A2" s="78" t="s">
        <v>23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23.25" x14ac:dyDescent="0.35">
      <c r="A3" s="78" t="s">
        <v>71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23.25" x14ac:dyDescent="0.3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24" thickBot="1" x14ac:dyDescent="0.4">
      <c r="A5" s="78" t="s">
        <v>24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25</v>
      </c>
      <c r="P6" s="83"/>
    </row>
    <row r="7" spans="1:16" ht="15.75" x14ac:dyDescent="0.25">
      <c r="A7" s="105" t="s">
        <v>26</v>
      </c>
      <c r="B7" s="84" t="s">
        <v>13</v>
      </c>
      <c r="C7" s="84" t="s">
        <v>15</v>
      </c>
      <c r="D7" s="84" t="s">
        <v>56</v>
      </c>
      <c r="E7" s="275" t="s">
        <v>62</v>
      </c>
      <c r="F7" s="84" t="s">
        <v>16</v>
      </c>
      <c r="G7" s="84" t="s">
        <v>61</v>
      </c>
      <c r="H7" s="84" t="s">
        <v>17</v>
      </c>
      <c r="I7" s="84" t="s">
        <v>55</v>
      </c>
      <c r="J7" s="84" t="s">
        <v>27</v>
      </c>
      <c r="K7" s="84" t="s">
        <v>57</v>
      </c>
      <c r="L7" s="84" t="s">
        <v>53</v>
      </c>
      <c r="M7" s="84" t="s">
        <v>19</v>
      </c>
      <c r="N7" s="84" t="s">
        <v>54</v>
      </c>
      <c r="O7" s="84" t="s">
        <v>28</v>
      </c>
      <c r="P7" s="83"/>
    </row>
    <row r="8" spans="1:16" ht="16.5" thickBot="1" x14ac:dyDescent="0.3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 x14ac:dyDescent="0.2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 x14ac:dyDescent="0.25">
      <c r="A10" s="88">
        <f>DATE(2019,7,1)</f>
        <v>43647</v>
      </c>
      <c r="B10" s="89">
        <f>'MONTHLY STATS'!$C$9*2</f>
        <v>547638</v>
      </c>
      <c r="C10" s="89">
        <f>'MONTHLY STATS'!$C$18*2</f>
        <v>257754</v>
      </c>
      <c r="D10" s="89">
        <f>'MONTHLY STATS'!$C$27*2</f>
        <v>133644</v>
      </c>
      <c r="E10" s="89">
        <f>'MONTHLY STATS'!$C$36*2</f>
        <v>876434</v>
      </c>
      <c r="F10" s="89">
        <f>'MONTHLY STATS'!$C$45*2</f>
        <v>577518</v>
      </c>
      <c r="G10" s="89">
        <f>'MONTHLY STATS'!$C$54*2</f>
        <v>221856</v>
      </c>
      <c r="H10" s="89">
        <f>'MONTHLY STATS'!$C$63*2</f>
        <v>302822</v>
      </c>
      <c r="I10" s="89">
        <f>'MONTHLY STATS'!$C$72*2</f>
        <v>647442</v>
      </c>
      <c r="J10" s="89">
        <f>'MONTHLY STATS'!$C$81*2</f>
        <v>733218</v>
      </c>
      <c r="K10" s="89">
        <f>'MONTHLY STATS'!$C$90*2</f>
        <v>840884</v>
      </c>
      <c r="L10" s="89">
        <f>'MONTHLY STATS'!$C$99*2</f>
        <v>122654</v>
      </c>
      <c r="M10" s="89">
        <f>'MONTHLY STATS'!$C$108*2</f>
        <v>894948</v>
      </c>
      <c r="N10" s="89">
        <f>'MONTHLY STATS'!$C$117*2</f>
        <v>154862</v>
      </c>
      <c r="O10" s="90">
        <f t="shared" ref="O10:O15" si="0">SUM(B10:N10)</f>
        <v>6311674</v>
      </c>
      <c r="P10" s="83"/>
    </row>
    <row r="11" spans="1:16" ht="15.75" x14ac:dyDescent="0.25">
      <c r="A11" s="88">
        <f>DATE(2019,8,1)</f>
        <v>43678</v>
      </c>
      <c r="B11" s="89">
        <f>'MONTHLY STATS'!$C$10*2</f>
        <v>553760</v>
      </c>
      <c r="C11" s="89">
        <f>'MONTHLY STATS'!$C$19*2</f>
        <v>260266</v>
      </c>
      <c r="D11" s="89">
        <f>'MONTHLY STATS'!$C$28*2</f>
        <v>138050</v>
      </c>
      <c r="E11" s="89">
        <f>'MONTHLY STATS'!$C$37*2</f>
        <v>874058</v>
      </c>
      <c r="F11" s="89">
        <f>'MONTHLY STATS'!$C$46*2</f>
        <v>585914</v>
      </c>
      <c r="G11" s="89">
        <f>'MONTHLY STATS'!$C$55*2</f>
        <v>228616</v>
      </c>
      <c r="H11" s="89">
        <f>'MONTHLY STATS'!$C$64*2</f>
        <v>306888</v>
      </c>
      <c r="I11" s="89">
        <f>'MONTHLY STATS'!$C$73*2</f>
        <v>649404</v>
      </c>
      <c r="J11" s="89">
        <f>'MONTHLY STATS'!$C$82*2</f>
        <v>769892</v>
      </c>
      <c r="K11" s="89">
        <f>'MONTHLY STATS'!$C$91*2</f>
        <v>880314</v>
      </c>
      <c r="L11" s="89">
        <f>'MONTHLY STATS'!$C$100*2</f>
        <v>125774</v>
      </c>
      <c r="M11" s="89">
        <f>'MONTHLY STATS'!$C$109*2</f>
        <v>926790</v>
      </c>
      <c r="N11" s="89">
        <f>'MONTHLY STATS'!$C$118*2</f>
        <v>166064</v>
      </c>
      <c r="O11" s="90">
        <f t="shared" si="0"/>
        <v>6465790</v>
      </c>
      <c r="P11" s="83"/>
    </row>
    <row r="12" spans="1:16" ht="15.75" x14ac:dyDescent="0.25">
      <c r="A12" s="88">
        <f>DATE(2019,9,1)</f>
        <v>43709</v>
      </c>
      <c r="B12" s="89">
        <f>'MONTHLY STATS'!$C$11*2</f>
        <v>508056</v>
      </c>
      <c r="C12" s="89">
        <f>'MONTHLY STATS'!$C$20*2</f>
        <v>236502</v>
      </c>
      <c r="D12" s="89">
        <f>'MONTHLY STATS'!$C$29*2</f>
        <v>131146</v>
      </c>
      <c r="E12" s="89">
        <f>'MONTHLY STATS'!$C$38*2</f>
        <v>807698</v>
      </c>
      <c r="F12" s="89">
        <f>'MONTHLY STATS'!$C$47*2</f>
        <v>553426</v>
      </c>
      <c r="G12" s="89">
        <f>'MONTHLY STATS'!$C$56*2</f>
        <v>217338</v>
      </c>
      <c r="H12" s="89">
        <f>'MONTHLY STATS'!$C$65*2</f>
        <v>286098</v>
      </c>
      <c r="I12" s="89">
        <f>'MONTHLY STATS'!$C$74*2</f>
        <v>601564</v>
      </c>
      <c r="J12" s="89">
        <f>'MONTHLY STATS'!$C$83*2</f>
        <v>696336</v>
      </c>
      <c r="K12" s="89">
        <f>'MONTHLY STATS'!$C$92*2</f>
        <v>847168</v>
      </c>
      <c r="L12" s="89">
        <f>'MONTHLY STATS'!$C$101*2</f>
        <v>118216</v>
      </c>
      <c r="M12" s="89">
        <f>'MONTHLY STATS'!$C$110*2</f>
        <v>851784</v>
      </c>
      <c r="N12" s="89">
        <f>'MONTHLY STATS'!$C$119*2</f>
        <v>141848</v>
      </c>
      <c r="O12" s="90">
        <f t="shared" si="0"/>
        <v>5997180</v>
      </c>
      <c r="P12" s="83"/>
    </row>
    <row r="13" spans="1:16" ht="15.75" x14ac:dyDescent="0.25">
      <c r="A13" s="88">
        <f>DATE(2019,10,1)</f>
        <v>43739</v>
      </c>
      <c r="B13" s="89">
        <f>'MONTHLY STATS'!$C$12*2</f>
        <v>501904</v>
      </c>
      <c r="C13" s="89">
        <f>'MONTHLY STATS'!$C$21*2</f>
        <v>226104</v>
      </c>
      <c r="D13" s="89">
        <f>'MONTHLY STATS'!$C$30*2</f>
        <v>126078</v>
      </c>
      <c r="E13" s="89">
        <f>'MONTHLY STATS'!$C$39*2</f>
        <v>793172</v>
      </c>
      <c r="F13" s="89">
        <f>'MONTHLY STATS'!$C$48*2</f>
        <v>530564</v>
      </c>
      <c r="G13" s="89">
        <f>'MONTHLY STATS'!$C$57*2</f>
        <v>217448</v>
      </c>
      <c r="H13" s="89">
        <f>'MONTHLY STATS'!$C$66*2</f>
        <v>294266</v>
      </c>
      <c r="I13" s="89">
        <f>'MONTHLY STATS'!$C$75*2</f>
        <v>567086</v>
      </c>
      <c r="J13" s="89">
        <f>'MONTHLY STATS'!$C$84*2</f>
        <v>694800</v>
      </c>
      <c r="K13" s="89">
        <f>'MONTHLY STATS'!$C$93*2</f>
        <v>844538</v>
      </c>
      <c r="L13" s="89">
        <f>'MONTHLY STATS'!$C$102*2</f>
        <v>112394</v>
      </c>
      <c r="M13" s="89">
        <f>'MONTHLY STATS'!$C$111*2</f>
        <v>811392</v>
      </c>
      <c r="N13" s="89">
        <f>'MONTHLY STATS'!$C$120*2</f>
        <v>140964</v>
      </c>
      <c r="O13" s="90">
        <f t="shared" si="0"/>
        <v>5860710</v>
      </c>
      <c r="P13" s="83"/>
    </row>
    <row r="14" spans="1:16" ht="15.75" x14ac:dyDescent="0.25">
      <c r="A14" s="88">
        <f>DATE(2019,11,1)</f>
        <v>43770</v>
      </c>
      <c r="B14" s="89">
        <f>'MONTHLY STATS'!$C$13*2</f>
        <v>544836</v>
      </c>
      <c r="C14" s="89">
        <f>'MONTHLY STATS'!$C$22*2</f>
        <v>233310</v>
      </c>
      <c r="D14" s="89">
        <f>'MONTHLY STATS'!$C$31*2</f>
        <v>128624</v>
      </c>
      <c r="E14" s="89">
        <f>'MONTHLY STATS'!$C$40*2</f>
        <v>839574</v>
      </c>
      <c r="F14" s="89">
        <f>'MONTHLY STATS'!$C$49*2</f>
        <v>577528</v>
      </c>
      <c r="G14" s="89">
        <f>'MONTHLY STATS'!$C$58*2</f>
        <v>217956</v>
      </c>
      <c r="H14" s="89">
        <f>'MONTHLY STATS'!$C$67*2</f>
        <v>295218</v>
      </c>
      <c r="I14" s="89">
        <f>'MONTHLY STATS'!$C$76*2</f>
        <v>583098</v>
      </c>
      <c r="J14" s="89">
        <f>'MONTHLY STATS'!$C$85*2</f>
        <v>735812</v>
      </c>
      <c r="K14" s="89">
        <f>'MONTHLY STATS'!$C$94*2</f>
        <v>869686</v>
      </c>
      <c r="L14" s="89">
        <f>'MONTHLY STATS'!$C$103*2</f>
        <v>112080</v>
      </c>
      <c r="M14" s="89">
        <f>'MONTHLY STATS'!$C$112*2</f>
        <v>821468</v>
      </c>
      <c r="N14" s="89">
        <f>'MONTHLY STATS'!$C$121*2</f>
        <v>146112</v>
      </c>
      <c r="O14" s="90">
        <f t="shared" si="0"/>
        <v>6105302</v>
      </c>
      <c r="P14" s="83"/>
    </row>
    <row r="15" spans="1:16" ht="15.75" x14ac:dyDescent="0.25">
      <c r="A15" s="88">
        <f>DATE(2019,12,1)</f>
        <v>43800</v>
      </c>
      <c r="B15" s="89">
        <f>'MONTHLY STATS'!$C$14*2</f>
        <v>564690</v>
      </c>
      <c r="C15" s="89">
        <f>'MONTHLY STATS'!$C$23*2</f>
        <v>230978</v>
      </c>
      <c r="D15" s="89">
        <f>'MONTHLY STATS'!$C$32*2</f>
        <v>138108</v>
      </c>
      <c r="E15" s="89">
        <f>'MONTHLY STATS'!$C$41*2</f>
        <v>796040</v>
      </c>
      <c r="F15" s="89">
        <f>'MONTHLY STATS'!$C$50*2</f>
        <v>604618</v>
      </c>
      <c r="G15" s="89">
        <f>'MONTHLY STATS'!$C$59*2</f>
        <v>231708</v>
      </c>
      <c r="H15" s="89">
        <f>'MONTHLY STATS'!$C$68*2</f>
        <v>297648</v>
      </c>
      <c r="I15" s="89">
        <f>'MONTHLY STATS'!$C$77*2</f>
        <v>629628</v>
      </c>
      <c r="J15" s="89">
        <f>'MONTHLY STATS'!$C$86*2</f>
        <v>751566</v>
      </c>
      <c r="K15" s="89">
        <f>'MONTHLY STATS'!$C$95*2</f>
        <v>849748</v>
      </c>
      <c r="L15" s="89">
        <f>'MONTHLY STATS'!$C$104*2</f>
        <v>115594</v>
      </c>
      <c r="M15" s="89">
        <f>'MONTHLY STATS'!$C$113*2</f>
        <v>873976</v>
      </c>
      <c r="N15" s="89">
        <f>'MONTHLY STATS'!$C$122*2</f>
        <v>149990</v>
      </c>
      <c r="O15" s="90">
        <f t="shared" si="0"/>
        <v>6234292</v>
      </c>
      <c r="P15" s="83"/>
    </row>
    <row r="16" spans="1:16" ht="15.75" x14ac:dyDescent="0.2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83"/>
    </row>
    <row r="17" spans="1:16" ht="15.75" x14ac:dyDescent="0.2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.75" x14ac:dyDescent="0.2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 x14ac:dyDescent="0.2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 x14ac:dyDescent="0.2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 x14ac:dyDescent="0.25">
      <c r="A23" s="91" t="s">
        <v>29</v>
      </c>
      <c r="B23" s="90">
        <f t="shared" ref="B23:O23" si="1">SUM(B10:B21)</f>
        <v>3220884</v>
      </c>
      <c r="C23" s="90">
        <f t="shared" si="1"/>
        <v>1444914</v>
      </c>
      <c r="D23" s="90">
        <f t="shared" si="1"/>
        <v>795650</v>
      </c>
      <c r="E23" s="90">
        <f t="shared" si="1"/>
        <v>4986976</v>
      </c>
      <c r="F23" s="90">
        <f t="shared" si="1"/>
        <v>3429568</v>
      </c>
      <c r="G23" s="90">
        <f>SUM(G10:G21)</f>
        <v>1334922</v>
      </c>
      <c r="H23" s="90">
        <f t="shared" si="1"/>
        <v>1782940</v>
      </c>
      <c r="I23" s="90">
        <f>SUM(I10:I21)</f>
        <v>3678222</v>
      </c>
      <c r="J23" s="90">
        <f t="shared" si="1"/>
        <v>4381624</v>
      </c>
      <c r="K23" s="90">
        <f>SUM(K10:K21)</f>
        <v>5132338</v>
      </c>
      <c r="L23" s="90">
        <f t="shared" si="1"/>
        <v>706712</v>
      </c>
      <c r="M23" s="90">
        <f t="shared" si="1"/>
        <v>5180358</v>
      </c>
      <c r="N23" s="90">
        <f t="shared" si="1"/>
        <v>899840</v>
      </c>
      <c r="O23" s="90">
        <f t="shared" si="1"/>
        <v>36974948</v>
      </c>
      <c r="P23" s="83"/>
    </row>
    <row r="24" spans="1:16" ht="16.5" thickBot="1" x14ac:dyDescent="0.3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6" ht="15.75" thickTop="1" x14ac:dyDescent="0.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6" ht="24" thickBot="1" x14ac:dyDescent="0.4">
      <c r="A26" s="96" t="s">
        <v>30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 x14ac:dyDescent="0.25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25</v>
      </c>
      <c r="P27" s="83"/>
    </row>
    <row r="28" spans="1:16" ht="15.75" x14ac:dyDescent="0.25">
      <c r="A28" s="105" t="s">
        <v>26</v>
      </c>
      <c r="B28" s="84" t="s">
        <v>13</v>
      </c>
      <c r="C28" s="84" t="s">
        <v>15</v>
      </c>
      <c r="D28" s="84" t="s">
        <v>56</v>
      </c>
      <c r="E28" s="275" t="s">
        <v>62</v>
      </c>
      <c r="F28" s="84" t="s">
        <v>16</v>
      </c>
      <c r="G28" s="84" t="s">
        <v>61</v>
      </c>
      <c r="H28" s="84" t="s">
        <v>17</v>
      </c>
      <c r="I28" s="84" t="s">
        <v>55</v>
      </c>
      <c r="J28" s="84" t="s">
        <v>27</v>
      </c>
      <c r="K28" s="106" t="s">
        <v>57</v>
      </c>
      <c r="L28" s="106" t="s">
        <v>53</v>
      </c>
      <c r="M28" s="106" t="s">
        <v>19</v>
      </c>
      <c r="N28" s="106" t="s">
        <v>54</v>
      </c>
      <c r="O28" s="106" t="s">
        <v>28</v>
      </c>
      <c r="P28" s="83"/>
    </row>
    <row r="29" spans="1:16" ht="16.5" thickBot="1" x14ac:dyDescent="0.3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 x14ac:dyDescent="0.2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 x14ac:dyDescent="0.25">
      <c r="A31" s="88">
        <f>DATE(2019,7,1)</f>
        <v>43647</v>
      </c>
      <c r="B31" s="89">
        <f>'MONTHLY STATS'!$K$9*0.21</f>
        <v>3064505.5707</v>
      </c>
      <c r="C31" s="89">
        <f>'MONTHLY STATS'!$K$18*0.21</f>
        <v>1462853.8743</v>
      </c>
      <c r="D31" s="89">
        <f>'MONTHLY STATS'!$K$27*0.21</f>
        <v>684695.08169999998</v>
      </c>
      <c r="E31" s="89">
        <f>'MONTHLY STATS'!$K$36*0.21</f>
        <v>4293878.6624999996</v>
      </c>
      <c r="F31" s="89">
        <f>'MONTHLY STATS'!$K$45*0.21</f>
        <v>2956269.6954000001</v>
      </c>
      <c r="G31" s="89">
        <f>'MONTHLY STATS'!$K$54*0.21</f>
        <v>935961.4299000001</v>
      </c>
      <c r="H31" s="89">
        <f>'MONTHLY STATS'!$K$63*0.21</f>
        <v>1101109.2120000001</v>
      </c>
      <c r="I31" s="89">
        <f>'MONTHLY STATS'!$K$72*0.21</f>
        <v>2638122.8495999998</v>
      </c>
      <c r="J31" s="89">
        <f>'MONTHLY STATS'!$K$81*0.21</f>
        <v>3294770.8562999996</v>
      </c>
      <c r="K31" s="89">
        <f>'MONTHLY STATS'!$K$90*0.21</f>
        <v>3827720.7779999999</v>
      </c>
      <c r="L31" s="89">
        <f>'MONTHLY STATS'!$K$99*0.21</f>
        <v>577273.81739999994</v>
      </c>
      <c r="M31" s="89">
        <f>'MONTHLY STATS'!$K$108*0.21</f>
        <v>4787594.2569000004</v>
      </c>
      <c r="N31" s="89">
        <f>'MONTHLY STATS'!$K$117*0.21</f>
        <v>713298.1547999999</v>
      </c>
      <c r="O31" s="90">
        <f t="shared" ref="O31:O36" si="2">SUM(B31:N31)</f>
        <v>30338054.239500001</v>
      </c>
      <c r="P31" s="83"/>
    </row>
    <row r="32" spans="1:16" ht="15.75" x14ac:dyDescent="0.25">
      <c r="A32" s="88">
        <f>DATE(2019,8,1)</f>
        <v>43678</v>
      </c>
      <c r="B32" s="89">
        <f>'MONTHLY STATS'!$K$10*0.21</f>
        <v>3045430.4958000001</v>
      </c>
      <c r="C32" s="89">
        <f>'MONTHLY STATS'!$K$19*0.21</f>
        <v>1462946.0684999998</v>
      </c>
      <c r="D32" s="89">
        <f>'MONTHLY STATS'!$K$28*0.21</f>
        <v>676743.23639999994</v>
      </c>
      <c r="E32" s="89">
        <f>'MONTHLY STATS'!$K$37*0.21</f>
        <v>4480740.0917999996</v>
      </c>
      <c r="F32" s="89">
        <f>'MONTHLY STATS'!$K$46*0.21</f>
        <v>3271877.1245999997</v>
      </c>
      <c r="G32" s="89">
        <f>'MONTHLY STATS'!$K$55*0.21</f>
        <v>1095307.4894999999</v>
      </c>
      <c r="H32" s="89">
        <f>'MONTHLY STATS'!$K$64*0.21</f>
        <v>1189395.375</v>
      </c>
      <c r="I32" s="89">
        <f>'MONTHLY STATS'!$K$73*0.21</f>
        <v>2712053.7380999997</v>
      </c>
      <c r="J32" s="89">
        <f>'MONTHLY STATS'!$K$82*0.21</f>
        <v>3485481.7787999995</v>
      </c>
      <c r="K32" s="89">
        <f>'MONTHLY STATS'!$K$91*0.21</f>
        <v>4099393.2629999998</v>
      </c>
      <c r="L32" s="89">
        <f>'MONTHLY STATS'!$K$100*0.21</f>
        <v>621704.08019999997</v>
      </c>
      <c r="M32" s="89">
        <f>'MONTHLY STATS'!$K$109*0.21</f>
        <v>4872173.9534999998</v>
      </c>
      <c r="N32" s="89">
        <f>'MONTHLY STATS'!$K$118*0.21</f>
        <v>733278.10290000006</v>
      </c>
      <c r="O32" s="90">
        <f t="shared" si="2"/>
        <v>31746524.798099998</v>
      </c>
      <c r="P32" s="83"/>
    </row>
    <row r="33" spans="1:16" ht="15.75" x14ac:dyDescent="0.25">
      <c r="A33" s="88">
        <f>DATE(2019,9,1)</f>
        <v>43709</v>
      </c>
      <c r="B33" s="89">
        <f>'MONTHLY STATS'!$K$11*0.21</f>
        <v>2682516.9797999999</v>
      </c>
      <c r="C33" s="89">
        <f>'MONTHLY STATS'!$K$20*0.21</f>
        <v>1347099.7259999998</v>
      </c>
      <c r="D33" s="89">
        <f>'MONTHLY STATS'!$K$29*0.21</f>
        <v>653521.67790000001</v>
      </c>
      <c r="E33" s="89">
        <f>'MONTHLY STATS'!$K$38*0.21</f>
        <v>3975747.0710999998</v>
      </c>
      <c r="F33" s="89">
        <f>'MONTHLY STATS'!$K$47*0.21</f>
        <v>3075068.3207999999</v>
      </c>
      <c r="G33" s="89">
        <f>'MONTHLY STATS'!$K$56*0.21</f>
        <v>1064622.0311999999</v>
      </c>
      <c r="H33" s="89">
        <f>'MONTHLY STATS'!$K$65*0.21</f>
        <v>1067073.9975000001</v>
      </c>
      <c r="I33" s="89">
        <f>'MONTHLY STATS'!$K$74*0.21</f>
        <v>2580957.3509999998</v>
      </c>
      <c r="J33" s="89">
        <f>'MONTHLY STATS'!$K$83*0.21</f>
        <v>3247928.1302999998</v>
      </c>
      <c r="K33" s="89">
        <f>'MONTHLY STATS'!$K$92*0.21</f>
        <v>3876567.9813000001</v>
      </c>
      <c r="L33" s="89">
        <f>'MONTHLY STATS'!$K$101*0.21</f>
        <v>566536.21919999993</v>
      </c>
      <c r="M33" s="89">
        <f>'MONTHLY STATS'!$K$110*0.21</f>
        <v>4521489.4556999998</v>
      </c>
      <c r="N33" s="89">
        <f>'MONTHLY STATS'!$K$119*0.21</f>
        <v>708002.13749999995</v>
      </c>
      <c r="O33" s="90">
        <f t="shared" si="2"/>
        <v>29367131.079299998</v>
      </c>
      <c r="P33" s="83"/>
    </row>
    <row r="34" spans="1:16" ht="15.75" x14ac:dyDescent="0.25">
      <c r="A34" s="88">
        <f>DATE(2019,10,1)</f>
        <v>43739</v>
      </c>
      <c r="B34" s="89">
        <f>'MONTHLY STATS'!$K$12*0.21</f>
        <v>2808656.8460999997</v>
      </c>
      <c r="C34" s="89">
        <f>'MONTHLY STATS'!$K$21*0.21</f>
        <v>1270524.0954</v>
      </c>
      <c r="D34" s="89">
        <f>'MONTHLY STATS'!$K$30*0.21</f>
        <v>656377.92989999999</v>
      </c>
      <c r="E34" s="89">
        <f>'MONTHLY STATS'!$K$39*0.21</f>
        <v>3996979.6754999999</v>
      </c>
      <c r="F34" s="89">
        <f>'MONTHLY STATS'!$K$48*0.21</f>
        <v>3081834.2771999999</v>
      </c>
      <c r="G34" s="89">
        <f>'MONTHLY STATS'!$K$57*0.21</f>
        <v>1071722.4966</v>
      </c>
      <c r="H34" s="89">
        <f>'MONTHLY STATS'!$K$66*0.21</f>
        <v>1134567.2541</v>
      </c>
      <c r="I34" s="89">
        <f>'MONTHLY STATS'!$K$75*0.21</f>
        <v>2500454.2626</v>
      </c>
      <c r="J34" s="89">
        <f>'MONTHLY STATS'!$K$84*0.21</f>
        <v>3431470.9085999997</v>
      </c>
      <c r="K34" s="89">
        <f>'MONTHLY STATS'!$K$93*0.21</f>
        <v>3910565.9228999997</v>
      </c>
      <c r="L34" s="89">
        <f>'MONTHLY STATS'!$K$102*0.21</f>
        <v>591159.4878</v>
      </c>
      <c r="M34" s="89">
        <f>'MONTHLY STATS'!$K$111*0.21</f>
        <v>4577616.1599000003</v>
      </c>
      <c r="N34" s="89">
        <f>'MONTHLY STATS'!$K$120*0.21</f>
        <v>687542.05590000004</v>
      </c>
      <c r="O34" s="90">
        <f t="shared" si="2"/>
        <v>29719471.372499995</v>
      </c>
      <c r="P34" s="83"/>
    </row>
    <row r="35" spans="1:16" ht="15.75" x14ac:dyDescent="0.25">
      <c r="A35" s="88">
        <f>DATE(2019,11,1)</f>
        <v>43770</v>
      </c>
      <c r="B35" s="89">
        <f>'MONTHLY STATS'!$K$13*0.21</f>
        <v>2933297.9570999998</v>
      </c>
      <c r="C35" s="89">
        <f>'MONTHLY STATS'!$K$22*0.21</f>
        <v>1336399.6106999998</v>
      </c>
      <c r="D35" s="89">
        <f>'MONTHLY STATS'!$K$31*0.21</f>
        <v>674038.20750000002</v>
      </c>
      <c r="E35" s="89">
        <f>'MONTHLY STATS'!$K$40*0.21</f>
        <v>4250414.3072999995</v>
      </c>
      <c r="F35" s="89">
        <f>'MONTHLY STATS'!$K$49*0.21</f>
        <v>3054671.8629000001</v>
      </c>
      <c r="G35" s="89">
        <f>'MONTHLY STATS'!$K$58*0.21</f>
        <v>1072822.3443</v>
      </c>
      <c r="H35" s="89">
        <f>'MONTHLY STATS'!$K$67*0.21</f>
        <v>1139863.5906</v>
      </c>
      <c r="I35" s="89">
        <f>'MONTHLY STATS'!$K$76*0.21</f>
        <v>2542853.6594999996</v>
      </c>
      <c r="J35" s="89">
        <f>'MONTHLY STATS'!$K$85*0.21</f>
        <v>3481744.8330000001</v>
      </c>
      <c r="K35" s="89">
        <f>'MONTHLY STATS'!$K$94*0.21</f>
        <v>4147627.5014999993</v>
      </c>
      <c r="L35" s="89">
        <f>'MONTHLY STATS'!$K$103*0.21</f>
        <v>613487.69160000002</v>
      </c>
      <c r="M35" s="89">
        <f>'MONTHLY STATS'!$K$112*0.21</f>
        <v>4373399.0936999992</v>
      </c>
      <c r="N35" s="89">
        <f>'MONTHLY STATS'!$K$121*0.21</f>
        <v>709275.04200000002</v>
      </c>
      <c r="O35" s="90">
        <f t="shared" si="2"/>
        <v>30329895.701699998</v>
      </c>
      <c r="P35" s="83"/>
    </row>
    <row r="36" spans="1:16" ht="15.75" x14ac:dyDescent="0.25">
      <c r="A36" s="88">
        <f>DATE(2019,12,1)</f>
        <v>43800</v>
      </c>
      <c r="B36" s="89">
        <f>'MONTHLY STATS'!$K$14*0.21</f>
        <v>3075788.0769000002</v>
      </c>
      <c r="C36" s="89">
        <f>'MONTHLY STATS'!$K$23*0.21</f>
        <v>1317813.4179</v>
      </c>
      <c r="D36" s="89">
        <f>'MONTHLY STATS'!$K$32*0.21</f>
        <v>718635.15989999997</v>
      </c>
      <c r="E36" s="89">
        <f>'MONTHLY STATS'!$K$41*0.21</f>
        <v>4116497.6244000001</v>
      </c>
      <c r="F36" s="89">
        <f>'MONTHLY STATS'!$K$50*0.21</f>
        <v>3126436.6202999996</v>
      </c>
      <c r="G36" s="89">
        <f>'MONTHLY STATS'!$K$59*0.21</f>
        <v>1126026.1550999999</v>
      </c>
      <c r="H36" s="89">
        <f>'MONTHLY STATS'!$K$68*0.21</f>
        <v>1135280.7542999999</v>
      </c>
      <c r="I36" s="89">
        <f>'MONTHLY STATS'!$K$77*0.21</f>
        <v>2673491.9441999998</v>
      </c>
      <c r="J36" s="89">
        <f>'MONTHLY STATS'!$K$86*0.21</f>
        <v>3293908.8314999999</v>
      </c>
      <c r="K36" s="89">
        <f>'MONTHLY STATS'!$K$95*0.21</f>
        <v>4187193.0344999996</v>
      </c>
      <c r="L36" s="89">
        <f>'MONTHLY STATS'!$K$104*0.21</f>
        <v>585799.54020000005</v>
      </c>
      <c r="M36" s="89">
        <f>'MONTHLY STATS'!$K$113*0.21</f>
        <v>4622112.4277999997</v>
      </c>
      <c r="N36" s="89">
        <f>'MONTHLY STATS'!$K$122*0.21</f>
        <v>742266.73290000006</v>
      </c>
      <c r="O36" s="90">
        <f t="shared" si="2"/>
        <v>30721250.319899999</v>
      </c>
      <c r="P36" s="83"/>
    </row>
    <row r="37" spans="1:16" ht="15.75" x14ac:dyDescent="0.2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83"/>
    </row>
    <row r="38" spans="1:16" ht="15.75" x14ac:dyDescent="0.2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.75" x14ac:dyDescent="0.2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 x14ac:dyDescent="0.2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 x14ac:dyDescent="0.2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 x14ac:dyDescent="0.25">
      <c r="A44" s="91" t="s">
        <v>29</v>
      </c>
      <c r="B44" s="90">
        <f t="shared" ref="B44:O44" si="3">SUM(B31:B42)</f>
        <v>17610195.926400002</v>
      </c>
      <c r="C44" s="90">
        <f t="shared" si="3"/>
        <v>8197636.7927999999</v>
      </c>
      <c r="D44" s="90">
        <f t="shared" si="3"/>
        <v>4064011.2932999996</v>
      </c>
      <c r="E44" s="90">
        <f t="shared" si="3"/>
        <v>25114257.432599999</v>
      </c>
      <c r="F44" s="90">
        <f t="shared" si="3"/>
        <v>18566157.9012</v>
      </c>
      <c r="G44" s="90">
        <f t="shared" si="3"/>
        <v>6366461.9466000004</v>
      </c>
      <c r="H44" s="90">
        <f t="shared" si="3"/>
        <v>6767290.1835000003</v>
      </c>
      <c r="I44" s="90">
        <f>SUM(I31:I42)</f>
        <v>15647933.804999998</v>
      </c>
      <c r="J44" s="90">
        <f t="shared" si="3"/>
        <v>20235305.338500001</v>
      </c>
      <c r="K44" s="90">
        <f>SUM(K31:K42)</f>
        <v>24049068.481199998</v>
      </c>
      <c r="L44" s="90">
        <f t="shared" si="3"/>
        <v>3555960.8363999999</v>
      </c>
      <c r="M44" s="90">
        <f t="shared" si="3"/>
        <v>27754385.347499996</v>
      </c>
      <c r="N44" s="90">
        <f t="shared" si="3"/>
        <v>4293662.2259999998</v>
      </c>
      <c r="O44" s="90">
        <f t="shared" si="3"/>
        <v>182222327.51100001</v>
      </c>
      <c r="P44" s="83"/>
    </row>
    <row r="45" spans="1:16" ht="16.5" thickBot="1" x14ac:dyDescent="0.3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6" ht="15.75" thickTop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6" x14ac:dyDescent="0.2">
      <c r="A47" s="284"/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</row>
    <row r="48" spans="1:16" x14ac:dyDescent="0.2">
      <c r="A48" s="283"/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</row>
    <row r="49" spans="1:9" ht="15.75" x14ac:dyDescent="0.25">
      <c r="A49" s="115" t="s">
        <v>31</v>
      </c>
      <c r="B49" s="98"/>
      <c r="C49" s="98"/>
      <c r="D49" s="98"/>
      <c r="E49" s="98"/>
      <c r="F49" s="98"/>
      <c r="G49" s="98"/>
      <c r="H49" s="98"/>
      <c r="I49" s="98"/>
    </row>
    <row r="50" spans="1:9" ht="15.75" x14ac:dyDescent="0.25">
      <c r="A50" s="115"/>
      <c r="B50" s="98"/>
      <c r="C50" s="98"/>
      <c r="D50" s="98"/>
      <c r="E50" s="98"/>
      <c r="F50" s="98"/>
      <c r="G50" s="98"/>
      <c r="H50" s="98"/>
      <c r="I50" s="98"/>
    </row>
    <row r="51" spans="1:9" ht="15.75" x14ac:dyDescent="0.25">
      <c r="A51" s="72"/>
    </row>
  </sheetData>
  <phoneticPr fontId="0" type="noConversion"/>
  <printOptions horizontalCentered="1"/>
  <pageMargins left="0.3" right="0.05" top="0.31944444444444398" bottom="0.25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31"/>
  <sheetViews>
    <sheetView showOutlineSymbols="0" zoomScaleNormal="100" workbookViewId="0">
      <selection activeCell="A5" sqref="A5"/>
    </sheetView>
  </sheetViews>
  <sheetFormatPr defaultColWidth="9.6640625" defaultRowHeight="15" x14ac:dyDescent="0.2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/>
  </cols>
  <sheetData>
    <row r="1" spans="1:8" ht="18" x14ac:dyDescent="0.25">
      <c r="A1" s="116" t="s">
        <v>0</v>
      </c>
      <c r="B1" s="117"/>
      <c r="C1" s="200"/>
      <c r="D1" s="200"/>
      <c r="E1" s="200"/>
      <c r="F1" s="117"/>
      <c r="G1" s="210"/>
    </row>
    <row r="2" spans="1:8" ht="18" customHeight="1" x14ac:dyDescent="0.3">
      <c r="A2" s="119" t="s">
        <v>32</v>
      </c>
      <c r="B2" s="117"/>
      <c r="C2" s="200"/>
      <c r="D2" s="200"/>
      <c r="E2" s="200"/>
      <c r="F2" s="117"/>
      <c r="G2" s="210"/>
    </row>
    <row r="3" spans="1:8" ht="18" customHeight="1" x14ac:dyDescent="0.25">
      <c r="A3" s="116" t="s">
        <v>72</v>
      </c>
      <c r="B3" s="117"/>
      <c r="C3" s="200"/>
      <c r="D3" s="200"/>
      <c r="E3" s="200"/>
      <c r="F3" s="117"/>
      <c r="G3" s="210"/>
    </row>
    <row r="4" spans="1:8" x14ac:dyDescent="0.2">
      <c r="A4" s="281" t="s">
        <v>73</v>
      </c>
      <c r="B4" s="117"/>
      <c r="C4" s="200"/>
      <c r="D4" s="200"/>
      <c r="E4" s="200"/>
      <c r="F4" s="117"/>
      <c r="G4" s="210"/>
    </row>
    <row r="5" spans="1:8" ht="15.75" x14ac:dyDescent="0.25">
      <c r="A5" s="117"/>
      <c r="B5" s="117"/>
      <c r="C5" s="200"/>
      <c r="D5" s="200"/>
      <c r="E5" s="200"/>
      <c r="F5" s="117"/>
      <c r="G5" s="211" t="s">
        <v>1</v>
      </c>
    </row>
    <row r="6" spans="1:8" ht="16.5" thickTop="1" x14ac:dyDescent="0.25">
      <c r="A6" s="120"/>
      <c r="B6" s="121" t="s">
        <v>2</v>
      </c>
      <c r="C6" s="201" t="s">
        <v>33</v>
      </c>
      <c r="D6" s="201" t="s">
        <v>33</v>
      </c>
      <c r="E6" s="201" t="s">
        <v>3</v>
      </c>
      <c r="F6" s="122"/>
      <c r="G6" s="212" t="s">
        <v>34</v>
      </c>
      <c r="H6" s="123"/>
    </row>
    <row r="7" spans="1:8" ht="16.5" thickBot="1" x14ac:dyDescent="0.3">
      <c r="A7" s="124" t="s">
        <v>5</v>
      </c>
      <c r="B7" s="125" t="s">
        <v>6</v>
      </c>
      <c r="C7" s="262" t="s">
        <v>35</v>
      </c>
      <c r="D7" s="202" t="s">
        <v>36</v>
      </c>
      <c r="E7" s="202" t="s">
        <v>36</v>
      </c>
      <c r="F7" s="126" t="s">
        <v>8</v>
      </c>
      <c r="G7" s="213" t="s">
        <v>37</v>
      </c>
      <c r="H7" s="123"/>
    </row>
    <row r="8" spans="1:8" ht="15.75" customHeight="1" thickTop="1" x14ac:dyDescent="0.25">
      <c r="A8" s="127"/>
      <c r="B8" s="128"/>
      <c r="C8" s="203"/>
      <c r="D8" s="203"/>
      <c r="E8" s="203"/>
      <c r="F8" s="129"/>
      <c r="G8" s="214"/>
      <c r="H8" s="123"/>
    </row>
    <row r="9" spans="1:8" ht="15.75" x14ac:dyDescent="0.25">
      <c r="A9" s="130" t="s">
        <v>38</v>
      </c>
      <c r="B9" s="131">
        <f>DATE(2019,7,1)</f>
        <v>43647</v>
      </c>
      <c r="C9" s="204">
        <v>11145172</v>
      </c>
      <c r="D9" s="204">
        <v>2192281.5</v>
      </c>
      <c r="E9" s="204">
        <v>1826329</v>
      </c>
      <c r="F9" s="132">
        <f t="shared" ref="F9:F14" si="0">(+D9-E9)/E9</f>
        <v>0.20037600016207374</v>
      </c>
      <c r="G9" s="215">
        <f t="shared" ref="G9:G14" si="1">D9/C9</f>
        <v>0.19670234788660057</v>
      </c>
      <c r="H9" s="123"/>
    </row>
    <row r="10" spans="1:8" ht="15.75" x14ac:dyDescent="0.25">
      <c r="A10" s="130"/>
      <c r="B10" s="131">
        <f>DATE(2019,8,1)</f>
        <v>43678</v>
      </c>
      <c r="C10" s="204">
        <v>9635568</v>
      </c>
      <c r="D10" s="204">
        <v>1845303</v>
      </c>
      <c r="E10" s="204">
        <v>1679235.5</v>
      </c>
      <c r="F10" s="132">
        <f t="shared" si="0"/>
        <v>9.8894705358480092E-2</v>
      </c>
      <c r="G10" s="215">
        <f t="shared" si="1"/>
        <v>0.19150951972940256</v>
      </c>
      <c r="H10" s="123"/>
    </row>
    <row r="11" spans="1:8" ht="15.75" x14ac:dyDescent="0.25">
      <c r="A11" s="130"/>
      <c r="B11" s="131">
        <f>DATE(2019,9,1)</f>
        <v>43709</v>
      </c>
      <c r="C11" s="204">
        <v>9952207.5</v>
      </c>
      <c r="D11" s="204">
        <v>1703371</v>
      </c>
      <c r="E11" s="204">
        <v>2056251</v>
      </c>
      <c r="F11" s="132">
        <f t="shared" si="0"/>
        <v>-0.17161329040083143</v>
      </c>
      <c r="G11" s="215">
        <f t="shared" si="1"/>
        <v>0.17115509297811565</v>
      </c>
      <c r="H11" s="123"/>
    </row>
    <row r="12" spans="1:8" ht="15.75" x14ac:dyDescent="0.25">
      <c r="A12" s="130"/>
      <c r="B12" s="131">
        <f>DATE(2019,10,1)</f>
        <v>43739</v>
      </c>
      <c r="C12" s="204">
        <v>10226229</v>
      </c>
      <c r="D12" s="204">
        <v>1844628</v>
      </c>
      <c r="E12" s="204">
        <v>2198521</v>
      </c>
      <c r="F12" s="132">
        <f t="shared" si="0"/>
        <v>-0.16096866939183205</v>
      </c>
      <c r="G12" s="215">
        <f t="shared" si="1"/>
        <v>0.18038203525463786</v>
      </c>
      <c r="H12" s="123"/>
    </row>
    <row r="13" spans="1:8" ht="15.75" x14ac:dyDescent="0.25">
      <c r="A13" s="130"/>
      <c r="B13" s="131">
        <f>DATE(2019,11,1)</f>
        <v>43770</v>
      </c>
      <c r="C13" s="204">
        <v>9749060.5</v>
      </c>
      <c r="D13" s="204">
        <v>1695442.5</v>
      </c>
      <c r="E13" s="204">
        <v>2373996</v>
      </c>
      <c r="F13" s="132">
        <f t="shared" si="0"/>
        <v>-0.28582756668503234</v>
      </c>
      <c r="G13" s="215">
        <f t="shared" si="1"/>
        <v>0.17390829608658187</v>
      </c>
      <c r="H13" s="123"/>
    </row>
    <row r="14" spans="1:8" ht="15.75" x14ac:dyDescent="0.25">
      <c r="A14" s="130"/>
      <c r="B14" s="131">
        <f>DATE(2019,12,1)</f>
        <v>43800</v>
      </c>
      <c r="C14" s="204">
        <v>10058823</v>
      </c>
      <c r="D14" s="204">
        <v>1854170.5</v>
      </c>
      <c r="E14" s="204">
        <v>2548450</v>
      </c>
      <c r="F14" s="132">
        <f t="shared" si="0"/>
        <v>-0.27243206655025604</v>
      </c>
      <c r="G14" s="215">
        <f t="shared" si="1"/>
        <v>0.18433274946780553</v>
      </c>
      <c r="H14" s="123"/>
    </row>
    <row r="15" spans="1:8" ht="15.75" thickBot="1" x14ac:dyDescent="0.25">
      <c r="A15" s="133"/>
      <c r="B15" s="134"/>
      <c r="C15" s="204"/>
      <c r="D15" s="204"/>
      <c r="E15" s="204"/>
      <c r="F15" s="132"/>
      <c r="G15" s="215"/>
      <c r="H15" s="123"/>
    </row>
    <row r="16" spans="1:8" ht="17.25" thickTop="1" thickBot="1" x14ac:dyDescent="0.3">
      <c r="A16" s="135" t="s">
        <v>14</v>
      </c>
      <c r="B16" s="136"/>
      <c r="C16" s="201">
        <f>SUM(C9:C15)</f>
        <v>60767060</v>
      </c>
      <c r="D16" s="201">
        <f>SUM(D9:D15)</f>
        <v>11135196.5</v>
      </c>
      <c r="E16" s="201">
        <f>SUM(E9:E15)</f>
        <v>12682782.5</v>
      </c>
      <c r="F16" s="137">
        <f>(+D16-E16)/E16</f>
        <v>-0.12202259243978993</v>
      </c>
      <c r="G16" s="212">
        <f>D16/C16</f>
        <v>0.18324395651196554</v>
      </c>
      <c r="H16" s="123"/>
    </row>
    <row r="17" spans="1:8" ht="15.75" customHeight="1" thickTop="1" x14ac:dyDescent="0.25">
      <c r="A17" s="138"/>
      <c r="B17" s="139"/>
      <c r="C17" s="205"/>
      <c r="D17" s="205"/>
      <c r="E17" s="205"/>
      <c r="F17" s="140"/>
      <c r="G17" s="216"/>
      <c r="H17" s="123"/>
    </row>
    <row r="18" spans="1:8" ht="15.75" x14ac:dyDescent="0.25">
      <c r="A18" s="19" t="s">
        <v>15</v>
      </c>
      <c r="B18" s="131">
        <f>DATE(2019,7,1)</f>
        <v>43647</v>
      </c>
      <c r="C18" s="204">
        <v>2591163</v>
      </c>
      <c r="D18" s="204">
        <v>728719</v>
      </c>
      <c r="E18" s="204">
        <v>544502.5</v>
      </c>
      <c r="F18" s="132">
        <f t="shared" ref="F18:F23" si="2">(+D18-E18)/E18</f>
        <v>0.33832076069439532</v>
      </c>
      <c r="G18" s="215">
        <f t="shared" ref="G18:G23" si="3">D18/C18</f>
        <v>0.28123240413667533</v>
      </c>
      <c r="H18" s="123"/>
    </row>
    <row r="19" spans="1:8" ht="15.75" x14ac:dyDescent="0.25">
      <c r="A19" s="19"/>
      <c r="B19" s="131">
        <f>DATE(2019,8,1)</f>
        <v>43678</v>
      </c>
      <c r="C19" s="204">
        <v>2727354</v>
      </c>
      <c r="D19" s="204">
        <v>718107.5</v>
      </c>
      <c r="E19" s="204">
        <v>656165</v>
      </c>
      <c r="F19" s="132">
        <f t="shared" si="2"/>
        <v>9.440079857962555E-2</v>
      </c>
      <c r="G19" s="215">
        <f t="shared" si="3"/>
        <v>0.26329823704586935</v>
      </c>
      <c r="H19" s="123"/>
    </row>
    <row r="20" spans="1:8" ht="15.75" x14ac:dyDescent="0.25">
      <c r="A20" s="19"/>
      <c r="B20" s="131">
        <f>DATE(2019,9,1)</f>
        <v>43709</v>
      </c>
      <c r="C20" s="204">
        <v>2626262</v>
      </c>
      <c r="D20" s="204">
        <v>573243</v>
      </c>
      <c r="E20" s="204">
        <v>251895.5</v>
      </c>
      <c r="F20" s="132">
        <f t="shared" si="2"/>
        <v>1.2757175098403901</v>
      </c>
      <c r="G20" s="215">
        <f t="shared" si="3"/>
        <v>0.21827334820364458</v>
      </c>
      <c r="H20" s="123"/>
    </row>
    <row r="21" spans="1:8" ht="15.75" x14ac:dyDescent="0.25">
      <c r="A21" s="19"/>
      <c r="B21" s="131">
        <f>DATE(2019,10,1)</f>
        <v>43739</v>
      </c>
      <c r="C21" s="204">
        <v>2539016.5</v>
      </c>
      <c r="D21" s="204">
        <v>592260.5</v>
      </c>
      <c r="E21" s="204">
        <v>763257.5</v>
      </c>
      <c r="F21" s="132">
        <f t="shared" si="2"/>
        <v>-0.22403579394896217</v>
      </c>
      <c r="G21" s="215">
        <f t="shared" si="3"/>
        <v>0.23326374602134331</v>
      </c>
      <c r="H21" s="123"/>
    </row>
    <row r="22" spans="1:8" ht="15.75" x14ac:dyDescent="0.25">
      <c r="A22" s="19"/>
      <c r="B22" s="131">
        <f>DATE(2019,11,1)</f>
        <v>43770</v>
      </c>
      <c r="C22" s="204">
        <v>2588437</v>
      </c>
      <c r="D22" s="204">
        <v>527573</v>
      </c>
      <c r="E22" s="204">
        <v>497141.5</v>
      </c>
      <c r="F22" s="132">
        <f t="shared" si="2"/>
        <v>6.1212954460651545E-2</v>
      </c>
      <c r="G22" s="215">
        <f t="shared" si="3"/>
        <v>0.20381913873121116</v>
      </c>
      <c r="H22" s="123"/>
    </row>
    <row r="23" spans="1:8" ht="15.75" x14ac:dyDescent="0.25">
      <c r="A23" s="19"/>
      <c r="B23" s="131">
        <f>DATE(2019,12,1)</f>
        <v>43800</v>
      </c>
      <c r="C23" s="204">
        <v>2806085</v>
      </c>
      <c r="D23" s="204">
        <v>731643</v>
      </c>
      <c r="E23" s="204">
        <v>725952.5</v>
      </c>
      <c r="F23" s="132">
        <f t="shared" si="2"/>
        <v>7.8386671304252007E-3</v>
      </c>
      <c r="G23" s="215">
        <f t="shared" si="3"/>
        <v>0.2607344396196124</v>
      </c>
      <c r="H23" s="123"/>
    </row>
    <row r="24" spans="1:8" ht="15.75" thickBot="1" x14ac:dyDescent="0.25">
      <c r="A24" s="133"/>
      <c r="B24" s="131"/>
      <c r="C24" s="204"/>
      <c r="D24" s="204"/>
      <c r="E24" s="204"/>
      <c r="F24" s="132"/>
      <c r="G24" s="215"/>
      <c r="H24" s="123"/>
    </row>
    <row r="25" spans="1:8" ht="17.25" thickTop="1" thickBot="1" x14ac:dyDescent="0.3">
      <c r="A25" s="135" t="s">
        <v>14</v>
      </c>
      <c r="B25" s="136"/>
      <c r="C25" s="201">
        <f>SUM(C18:C24)</f>
        <v>15878317.5</v>
      </c>
      <c r="D25" s="201">
        <f>SUM(D18:D24)</f>
        <v>3871546</v>
      </c>
      <c r="E25" s="201">
        <f>SUM(E18:E24)</f>
        <v>3438914.5</v>
      </c>
      <c r="F25" s="137">
        <f>(+D25-E25)/E25</f>
        <v>0.12580466888606856</v>
      </c>
      <c r="G25" s="212">
        <f>D25/C25</f>
        <v>0.24382595951995545</v>
      </c>
      <c r="H25" s="123"/>
    </row>
    <row r="26" spans="1:8" ht="15.75" customHeight="1" thickTop="1" x14ac:dyDescent="0.25">
      <c r="A26" s="255"/>
      <c r="B26" s="139"/>
      <c r="C26" s="205"/>
      <c r="D26" s="205"/>
      <c r="E26" s="205"/>
      <c r="F26" s="140"/>
      <c r="G26" s="219"/>
      <c r="H26" s="123"/>
    </row>
    <row r="27" spans="1:8" ht="15.75" x14ac:dyDescent="0.25">
      <c r="A27" s="19" t="s">
        <v>56</v>
      </c>
      <c r="B27" s="131">
        <f>DATE(2019,7,1)</f>
        <v>43647</v>
      </c>
      <c r="C27" s="204">
        <v>1246714</v>
      </c>
      <c r="D27" s="204">
        <v>293379.5</v>
      </c>
      <c r="E27" s="204">
        <v>373264</v>
      </c>
      <c r="F27" s="132">
        <f t="shared" ref="F27:F32" si="4">(+D27-E27)/E27</f>
        <v>-0.2140160851300956</v>
      </c>
      <c r="G27" s="215">
        <f t="shared" ref="G27:G32" si="5">D27/C27</f>
        <v>0.23532221503889425</v>
      </c>
      <c r="H27" s="123"/>
    </row>
    <row r="28" spans="1:8" ht="15.75" x14ac:dyDescent="0.25">
      <c r="A28" s="19"/>
      <c r="B28" s="131">
        <f>DATE(2019,8,1)</f>
        <v>43678</v>
      </c>
      <c r="C28" s="204">
        <v>1240704</v>
      </c>
      <c r="D28" s="204">
        <v>306469</v>
      </c>
      <c r="E28" s="204">
        <v>339140.5</v>
      </c>
      <c r="F28" s="132">
        <f t="shared" si="4"/>
        <v>-9.6336179253141391E-2</v>
      </c>
      <c r="G28" s="215">
        <f t="shared" si="5"/>
        <v>0.24701218018157434</v>
      </c>
      <c r="H28" s="123"/>
    </row>
    <row r="29" spans="1:8" ht="15.75" x14ac:dyDescent="0.25">
      <c r="A29" s="19"/>
      <c r="B29" s="131">
        <f>DATE(2019,9,1)</f>
        <v>43709</v>
      </c>
      <c r="C29" s="204">
        <v>1288109</v>
      </c>
      <c r="D29" s="204">
        <v>301048.5</v>
      </c>
      <c r="E29" s="204">
        <v>349109</v>
      </c>
      <c r="F29" s="132">
        <f t="shared" si="4"/>
        <v>-0.13766617302905396</v>
      </c>
      <c r="G29" s="215">
        <f t="shared" si="5"/>
        <v>0.23371352890166905</v>
      </c>
      <c r="H29" s="123"/>
    </row>
    <row r="30" spans="1:8" ht="15.75" x14ac:dyDescent="0.25">
      <c r="A30" s="19"/>
      <c r="B30" s="131">
        <f>DATE(2019,10,1)</f>
        <v>43739</v>
      </c>
      <c r="C30" s="204">
        <v>1303670</v>
      </c>
      <c r="D30" s="204">
        <v>332474</v>
      </c>
      <c r="E30" s="204">
        <v>213321</v>
      </c>
      <c r="F30" s="132">
        <f t="shared" si="4"/>
        <v>0.55856197936443197</v>
      </c>
      <c r="G30" s="215">
        <f t="shared" si="5"/>
        <v>0.25502926354061994</v>
      </c>
      <c r="H30" s="123"/>
    </row>
    <row r="31" spans="1:8" ht="15.75" x14ac:dyDescent="0.25">
      <c r="A31" s="19"/>
      <c r="B31" s="131">
        <f>DATE(2019,11,1)</f>
        <v>43770</v>
      </c>
      <c r="C31" s="204">
        <v>1310179</v>
      </c>
      <c r="D31" s="204">
        <v>408121.5</v>
      </c>
      <c r="E31" s="204">
        <v>301353.5</v>
      </c>
      <c r="F31" s="132">
        <f t="shared" si="4"/>
        <v>0.35429487296480711</v>
      </c>
      <c r="G31" s="215">
        <f t="shared" si="5"/>
        <v>0.3115005659532018</v>
      </c>
      <c r="H31" s="123"/>
    </row>
    <row r="32" spans="1:8" ht="15.75" x14ac:dyDescent="0.25">
      <c r="A32" s="19"/>
      <c r="B32" s="131">
        <f>DATE(2019,12,1)</f>
        <v>43800</v>
      </c>
      <c r="C32" s="204">
        <v>1419526</v>
      </c>
      <c r="D32" s="204">
        <v>350849</v>
      </c>
      <c r="E32" s="204">
        <v>461887</v>
      </c>
      <c r="F32" s="132">
        <f t="shared" si="4"/>
        <v>-0.24040079066957937</v>
      </c>
      <c r="G32" s="215">
        <f t="shared" si="5"/>
        <v>0.24715926302160016</v>
      </c>
      <c r="H32" s="123"/>
    </row>
    <row r="33" spans="1:8" ht="15.75" thickBot="1" x14ac:dyDescent="0.25">
      <c r="A33" s="133"/>
      <c r="B33" s="131"/>
      <c r="C33" s="204"/>
      <c r="D33" s="204"/>
      <c r="E33" s="204"/>
      <c r="F33" s="132"/>
      <c r="G33" s="215"/>
      <c r="H33" s="123"/>
    </row>
    <row r="34" spans="1:8" ht="17.25" thickTop="1" thickBot="1" x14ac:dyDescent="0.3">
      <c r="A34" s="141" t="s">
        <v>14</v>
      </c>
      <c r="B34" s="142"/>
      <c r="C34" s="206">
        <f>SUM(C27:C33)</f>
        <v>7808902</v>
      </c>
      <c r="D34" s="206">
        <f>SUM(D27:D33)</f>
        <v>1992341.5</v>
      </c>
      <c r="E34" s="206">
        <f>SUM(E27:E33)</f>
        <v>2038075</v>
      </c>
      <c r="F34" s="143">
        <f>(+D34-E34)/E34</f>
        <v>-2.243955693485274E-2</v>
      </c>
      <c r="G34" s="217">
        <f>D34/C34</f>
        <v>0.25513721391304439</v>
      </c>
      <c r="H34" s="123"/>
    </row>
    <row r="35" spans="1:8" ht="15.75" thickTop="1" x14ac:dyDescent="0.2">
      <c r="A35" s="133"/>
      <c r="B35" s="134"/>
      <c r="C35" s="204"/>
      <c r="D35" s="204"/>
      <c r="E35" s="204"/>
      <c r="F35" s="132"/>
      <c r="G35" s="218"/>
      <c r="H35" s="123"/>
    </row>
    <row r="36" spans="1:8" ht="15.75" x14ac:dyDescent="0.25">
      <c r="A36" s="177" t="s">
        <v>65</v>
      </c>
      <c r="B36" s="131">
        <f>DATE(2019,7,1)</f>
        <v>43647</v>
      </c>
      <c r="C36" s="204">
        <v>16460624.75</v>
      </c>
      <c r="D36" s="204">
        <v>3167330.9</v>
      </c>
      <c r="E36" s="204">
        <v>2640847.2400000002</v>
      </c>
      <c r="F36" s="132">
        <f t="shared" ref="F36:F41" si="6">(+D36-E36)/E36</f>
        <v>0.19936164880176849</v>
      </c>
      <c r="G36" s="215">
        <f t="shared" ref="G36:G41" si="7">D36/C36</f>
        <v>0.19241863222718808</v>
      </c>
      <c r="H36" s="123"/>
    </row>
    <row r="37" spans="1:8" ht="15.75" x14ac:dyDescent="0.25">
      <c r="A37" s="177"/>
      <c r="B37" s="131">
        <f>DATE(2019,8,1)</f>
        <v>43678</v>
      </c>
      <c r="C37" s="204">
        <v>17103013</v>
      </c>
      <c r="D37" s="204">
        <v>3869820.12</v>
      </c>
      <c r="E37" s="204">
        <v>3019576.86</v>
      </c>
      <c r="F37" s="132">
        <f t="shared" si="6"/>
        <v>0.28157695578578523</v>
      </c>
      <c r="G37" s="215">
        <f t="shared" si="7"/>
        <v>0.2262654024761602</v>
      </c>
      <c r="H37" s="123"/>
    </row>
    <row r="38" spans="1:8" ht="15.75" x14ac:dyDescent="0.25">
      <c r="A38" s="177"/>
      <c r="B38" s="131">
        <f>DATE(2019,9,1)</f>
        <v>43709</v>
      </c>
      <c r="C38" s="204">
        <v>13722156.5</v>
      </c>
      <c r="D38" s="204">
        <v>2776000.96</v>
      </c>
      <c r="E38" s="204">
        <v>3074145.25</v>
      </c>
      <c r="F38" s="132">
        <f t="shared" si="6"/>
        <v>-9.698445120639633E-2</v>
      </c>
      <c r="G38" s="215">
        <f t="shared" si="7"/>
        <v>0.20230063401477749</v>
      </c>
      <c r="H38" s="123"/>
    </row>
    <row r="39" spans="1:8" ht="15.75" x14ac:dyDescent="0.25">
      <c r="A39" s="177"/>
      <c r="B39" s="131">
        <f>DATE(2019,10,1)</f>
        <v>43739</v>
      </c>
      <c r="C39" s="204">
        <v>13658392</v>
      </c>
      <c r="D39" s="204">
        <v>3235148.5</v>
      </c>
      <c r="E39" s="204">
        <v>2577292.69</v>
      </c>
      <c r="F39" s="132">
        <f t="shared" si="6"/>
        <v>0.25525071814796479</v>
      </c>
      <c r="G39" s="215">
        <f t="shared" si="7"/>
        <v>0.23686159395630174</v>
      </c>
      <c r="H39" s="123"/>
    </row>
    <row r="40" spans="1:8" ht="15.75" x14ac:dyDescent="0.25">
      <c r="A40" s="177"/>
      <c r="B40" s="131">
        <f>DATE(2019,11,1)</f>
        <v>43770</v>
      </c>
      <c r="C40" s="204">
        <v>17067350</v>
      </c>
      <c r="D40" s="204">
        <v>3242492.5</v>
      </c>
      <c r="E40" s="204">
        <v>2885158.69</v>
      </c>
      <c r="F40" s="132">
        <f t="shared" si="6"/>
        <v>0.12385239371356729</v>
      </c>
      <c r="G40" s="215">
        <f t="shared" si="7"/>
        <v>0.18998218821316726</v>
      </c>
      <c r="H40" s="123"/>
    </row>
    <row r="41" spans="1:8" ht="15.75" x14ac:dyDescent="0.25">
      <c r="A41" s="177"/>
      <c r="B41" s="131">
        <f>DATE(2019,12,1)</f>
        <v>43800</v>
      </c>
      <c r="C41" s="204">
        <v>14731573</v>
      </c>
      <c r="D41" s="204">
        <v>2919249.74</v>
      </c>
      <c r="E41" s="204">
        <v>2894970.85</v>
      </c>
      <c r="F41" s="132">
        <f t="shared" si="6"/>
        <v>8.3865749459964781E-3</v>
      </c>
      <c r="G41" s="215">
        <f t="shared" si="7"/>
        <v>0.19816279904393103</v>
      </c>
      <c r="H41" s="123"/>
    </row>
    <row r="42" spans="1:8" ht="15.75" customHeight="1" thickBot="1" x14ac:dyDescent="0.25">
      <c r="A42" s="133"/>
      <c r="B42" s="134"/>
      <c r="C42" s="204"/>
      <c r="D42" s="204"/>
      <c r="E42" s="204"/>
      <c r="F42" s="132"/>
      <c r="G42" s="215"/>
      <c r="H42" s="123"/>
    </row>
    <row r="43" spans="1:8" ht="17.25" customHeight="1" thickTop="1" thickBot="1" x14ac:dyDescent="0.3">
      <c r="A43" s="141" t="s">
        <v>14</v>
      </c>
      <c r="B43" s="142"/>
      <c r="C43" s="206">
        <f>SUM(C36:C42)</f>
        <v>92743109.25</v>
      </c>
      <c r="D43" s="206">
        <f>SUM(D36:D42)</f>
        <v>19210042.719999999</v>
      </c>
      <c r="E43" s="206">
        <f>SUM(E36:E42)</f>
        <v>17091991.579999998</v>
      </c>
      <c r="F43" s="143">
        <f>(+D43-E43)/E43</f>
        <v>0.1239206753693007</v>
      </c>
      <c r="G43" s="217">
        <f>D43/C43</f>
        <v>0.20713175216303198</v>
      </c>
      <c r="H43" s="123"/>
    </row>
    <row r="44" spans="1:8" ht="15.75" customHeight="1" thickTop="1" x14ac:dyDescent="0.2">
      <c r="A44" s="133"/>
      <c r="B44" s="134"/>
      <c r="C44" s="204"/>
      <c r="D44" s="204"/>
      <c r="E44" s="204"/>
      <c r="F44" s="132"/>
      <c r="G44" s="218"/>
      <c r="H44" s="123"/>
    </row>
    <row r="45" spans="1:8" ht="15" customHeight="1" x14ac:dyDescent="0.25">
      <c r="A45" s="130" t="s">
        <v>39</v>
      </c>
      <c r="B45" s="131">
        <f>DATE(2019,7,1)</f>
        <v>43647</v>
      </c>
      <c r="C45" s="204">
        <v>14612843</v>
      </c>
      <c r="D45" s="204">
        <v>2665528.5</v>
      </c>
      <c r="E45" s="204">
        <v>3513953.5</v>
      </c>
      <c r="F45" s="132">
        <f t="shared" ref="F45:F50" si="8">(+D45-E45)/E45</f>
        <v>-0.241444572331421</v>
      </c>
      <c r="G45" s="215">
        <f t="shared" ref="G45:G50" si="9">D45/C45</f>
        <v>0.1824099868861932</v>
      </c>
      <c r="H45" s="123"/>
    </row>
    <row r="46" spans="1:8" ht="15" customHeight="1" x14ac:dyDescent="0.25">
      <c r="A46" s="130"/>
      <c r="B46" s="131">
        <f>DATE(2019,8,1)</f>
        <v>43678</v>
      </c>
      <c r="C46" s="204">
        <v>15994186</v>
      </c>
      <c r="D46" s="204">
        <v>3359489.5</v>
      </c>
      <c r="E46" s="204">
        <v>3570821.5</v>
      </c>
      <c r="F46" s="132">
        <f t="shared" si="8"/>
        <v>-5.9183019929727652E-2</v>
      </c>
      <c r="G46" s="215">
        <f t="shared" si="9"/>
        <v>0.21004441864062354</v>
      </c>
      <c r="H46" s="123"/>
    </row>
    <row r="47" spans="1:8" ht="15" customHeight="1" x14ac:dyDescent="0.25">
      <c r="A47" s="130"/>
      <c r="B47" s="131">
        <f>DATE(2019,9,1)</f>
        <v>43709</v>
      </c>
      <c r="C47" s="204">
        <v>14986232</v>
      </c>
      <c r="D47" s="204">
        <v>3201605.5</v>
      </c>
      <c r="E47" s="204">
        <v>3367544</v>
      </c>
      <c r="F47" s="132">
        <f t="shared" si="8"/>
        <v>-4.9275822379752129E-2</v>
      </c>
      <c r="G47" s="215">
        <f t="shared" si="9"/>
        <v>0.21363645644882584</v>
      </c>
      <c r="H47" s="123"/>
    </row>
    <row r="48" spans="1:8" ht="15" customHeight="1" x14ac:dyDescent="0.25">
      <c r="A48" s="130"/>
      <c r="B48" s="131">
        <f>DATE(2019,10,1)</f>
        <v>43739</v>
      </c>
      <c r="C48" s="204">
        <v>15802061</v>
      </c>
      <c r="D48" s="204">
        <v>3223827</v>
      </c>
      <c r="E48" s="204">
        <v>3631888</v>
      </c>
      <c r="F48" s="132">
        <f t="shared" si="8"/>
        <v>-0.11235506160982937</v>
      </c>
      <c r="G48" s="215">
        <f t="shared" si="9"/>
        <v>0.20401307145947609</v>
      </c>
      <c r="H48" s="123"/>
    </row>
    <row r="49" spans="1:8" ht="15" customHeight="1" x14ac:dyDescent="0.25">
      <c r="A49" s="130"/>
      <c r="B49" s="131">
        <f>DATE(2019,11,1)</f>
        <v>43770</v>
      </c>
      <c r="C49" s="204">
        <v>15611065</v>
      </c>
      <c r="D49" s="204">
        <v>2721670</v>
      </c>
      <c r="E49" s="204">
        <v>3478954.5</v>
      </c>
      <c r="F49" s="132">
        <f t="shared" si="8"/>
        <v>-0.21767588509708879</v>
      </c>
      <c r="G49" s="215">
        <f t="shared" si="9"/>
        <v>0.17434236549524329</v>
      </c>
      <c r="H49" s="123"/>
    </row>
    <row r="50" spans="1:8" ht="15" customHeight="1" x14ac:dyDescent="0.25">
      <c r="A50" s="130"/>
      <c r="B50" s="131">
        <f>DATE(2019,12,1)</f>
        <v>43800</v>
      </c>
      <c r="C50" s="204">
        <v>16030300</v>
      </c>
      <c r="D50" s="204">
        <v>2841867</v>
      </c>
      <c r="E50" s="204">
        <v>3863094</v>
      </c>
      <c r="F50" s="132">
        <f t="shared" si="8"/>
        <v>-0.26435468564834302</v>
      </c>
      <c r="G50" s="215">
        <f t="shared" si="9"/>
        <v>0.17728096167882074</v>
      </c>
      <c r="H50" s="123"/>
    </row>
    <row r="51" spans="1:8" ht="15.75" thickBot="1" x14ac:dyDescent="0.25">
      <c r="A51" s="133"/>
      <c r="B51" s="131"/>
      <c r="C51" s="204"/>
      <c r="D51" s="204"/>
      <c r="E51" s="204"/>
      <c r="F51" s="132"/>
      <c r="G51" s="215"/>
      <c r="H51" s="123"/>
    </row>
    <row r="52" spans="1:8" ht="17.25" customHeight="1" thickTop="1" thickBot="1" x14ac:dyDescent="0.3">
      <c r="A52" s="141" t="s">
        <v>14</v>
      </c>
      <c r="B52" s="142"/>
      <c r="C52" s="207">
        <f>SUM(C45:C51)</f>
        <v>93036687</v>
      </c>
      <c r="D52" s="261">
        <f>SUM(D45:D51)</f>
        <v>18013987.5</v>
      </c>
      <c r="E52" s="206">
        <f>SUM(E45:E51)</f>
        <v>21426255.5</v>
      </c>
      <c r="F52" s="268">
        <f>(+D52-E52)/E52</f>
        <v>-0.15925638523259467</v>
      </c>
      <c r="G52" s="267">
        <f>D52/C52</f>
        <v>0.19362240940501246</v>
      </c>
      <c r="H52" s="123"/>
    </row>
    <row r="53" spans="1:8" ht="15.75" customHeight="1" thickTop="1" x14ac:dyDescent="0.25">
      <c r="A53" s="130"/>
      <c r="B53" s="134"/>
      <c r="C53" s="204"/>
      <c r="D53" s="204"/>
      <c r="E53" s="204"/>
      <c r="F53" s="132"/>
      <c r="G53" s="218"/>
      <c r="H53" s="123"/>
    </row>
    <row r="54" spans="1:8" ht="15.75" x14ac:dyDescent="0.25">
      <c r="A54" s="130" t="s">
        <v>66</v>
      </c>
      <c r="B54" s="131">
        <f>DATE(2019,7,1)</f>
        <v>43647</v>
      </c>
      <c r="C54" s="204">
        <v>2326207</v>
      </c>
      <c r="D54" s="204">
        <v>550912.5</v>
      </c>
      <c r="E54" s="204">
        <v>682875.5</v>
      </c>
      <c r="F54" s="132">
        <f t="shared" ref="F54:F59" si="10">(+D54-E54)/E54</f>
        <v>-0.19324606022620522</v>
      </c>
      <c r="G54" s="215">
        <f t="shared" ref="G54:G59" si="11">D54/C54</f>
        <v>0.23682866572063449</v>
      </c>
      <c r="H54" s="123"/>
    </row>
    <row r="55" spans="1:8" ht="15.75" x14ac:dyDescent="0.25">
      <c r="A55" s="130"/>
      <c r="B55" s="131">
        <f>DATE(2019,8,1)</f>
        <v>43678</v>
      </c>
      <c r="C55" s="204">
        <v>2456667</v>
      </c>
      <c r="D55" s="204">
        <v>544892.5</v>
      </c>
      <c r="E55" s="204">
        <v>651283.5</v>
      </c>
      <c r="F55" s="132">
        <f t="shared" si="10"/>
        <v>-0.16335589647212007</v>
      </c>
      <c r="G55" s="215">
        <f t="shared" si="11"/>
        <v>0.22180153028473129</v>
      </c>
      <c r="H55" s="123"/>
    </row>
    <row r="56" spans="1:8" ht="15.75" x14ac:dyDescent="0.25">
      <c r="A56" s="130"/>
      <c r="B56" s="131">
        <f>DATE(2019,9,1)</f>
        <v>43709</v>
      </c>
      <c r="C56" s="204">
        <v>2398271</v>
      </c>
      <c r="D56" s="204">
        <v>648210.4</v>
      </c>
      <c r="E56" s="204">
        <v>584999.5</v>
      </c>
      <c r="F56" s="132">
        <f t="shared" si="10"/>
        <v>0.10805291286573754</v>
      </c>
      <c r="G56" s="215">
        <f t="shared" si="11"/>
        <v>0.27028238259979792</v>
      </c>
      <c r="H56" s="123"/>
    </row>
    <row r="57" spans="1:8" ht="15.75" x14ac:dyDescent="0.25">
      <c r="A57" s="130"/>
      <c r="B57" s="131">
        <f>DATE(2019,10,1)</f>
        <v>43739</v>
      </c>
      <c r="C57" s="204">
        <v>2701389</v>
      </c>
      <c r="D57" s="204">
        <v>633881.5</v>
      </c>
      <c r="E57" s="204">
        <v>681963.5</v>
      </c>
      <c r="F57" s="132">
        <f t="shared" si="10"/>
        <v>-7.0505239649922613E-2</v>
      </c>
      <c r="G57" s="215">
        <f t="shared" si="11"/>
        <v>0.23465021142826895</v>
      </c>
      <c r="H57" s="123"/>
    </row>
    <row r="58" spans="1:8" ht="15.75" x14ac:dyDescent="0.25">
      <c r="A58" s="130"/>
      <c r="B58" s="131">
        <f>DATE(2019,11,1)</f>
        <v>43770</v>
      </c>
      <c r="C58" s="204">
        <v>2978379</v>
      </c>
      <c r="D58" s="204">
        <v>745956</v>
      </c>
      <c r="E58" s="204">
        <v>534840</v>
      </c>
      <c r="F58" s="132">
        <f t="shared" si="10"/>
        <v>0.3947273951088176</v>
      </c>
      <c r="G58" s="215">
        <f t="shared" si="11"/>
        <v>0.250457043915499</v>
      </c>
      <c r="H58" s="123"/>
    </row>
    <row r="59" spans="1:8" ht="15.75" x14ac:dyDescent="0.25">
      <c r="A59" s="130"/>
      <c r="B59" s="131">
        <f>DATE(2019,12,1)</f>
        <v>43800</v>
      </c>
      <c r="C59" s="204">
        <v>3196038.5</v>
      </c>
      <c r="D59" s="204">
        <v>819937.5</v>
      </c>
      <c r="E59" s="204">
        <v>680547.57</v>
      </c>
      <c r="F59" s="132">
        <f t="shared" si="10"/>
        <v>0.20482025966237755</v>
      </c>
      <c r="G59" s="215">
        <f t="shared" si="11"/>
        <v>0.25654806724011614</v>
      </c>
      <c r="H59" s="123"/>
    </row>
    <row r="60" spans="1:8" ht="15.75" customHeight="1" thickBot="1" x14ac:dyDescent="0.3">
      <c r="A60" s="130"/>
      <c r="B60" s="131"/>
      <c r="C60" s="204"/>
      <c r="D60" s="204"/>
      <c r="E60" s="204"/>
      <c r="F60" s="132"/>
      <c r="G60" s="215"/>
      <c r="H60" s="123"/>
    </row>
    <row r="61" spans="1:8" ht="17.25" thickTop="1" thickBot="1" x14ac:dyDescent="0.3">
      <c r="A61" s="141" t="s">
        <v>14</v>
      </c>
      <c r="B61" s="142"/>
      <c r="C61" s="207">
        <f>SUM(C54:C60)</f>
        <v>16056951.5</v>
      </c>
      <c r="D61" s="261">
        <f>SUM(D54:D60)</f>
        <v>3943790.4</v>
      </c>
      <c r="E61" s="207">
        <f>SUM(E54:E60)</f>
        <v>3816509.57</v>
      </c>
      <c r="F61" s="268">
        <f>(+D61-E61)/E61</f>
        <v>3.3350061794814284E-2</v>
      </c>
      <c r="G61" s="267">
        <f>D61/C61</f>
        <v>0.24561264944967914</v>
      </c>
      <c r="H61" s="123"/>
    </row>
    <row r="62" spans="1:8" ht="15.75" customHeight="1" thickTop="1" x14ac:dyDescent="0.25">
      <c r="A62" s="130"/>
      <c r="B62" s="134"/>
      <c r="C62" s="204"/>
      <c r="D62" s="204"/>
      <c r="E62" s="204"/>
      <c r="F62" s="132"/>
      <c r="G62" s="218"/>
      <c r="H62" s="123"/>
    </row>
    <row r="63" spans="1:8" ht="15.75" x14ac:dyDescent="0.25">
      <c r="A63" s="130" t="s">
        <v>17</v>
      </c>
      <c r="B63" s="131">
        <f>DATE(2019,7,1)</f>
        <v>43647</v>
      </c>
      <c r="C63" s="204">
        <v>1428358</v>
      </c>
      <c r="D63" s="204">
        <v>255421</v>
      </c>
      <c r="E63" s="204">
        <v>395162.5</v>
      </c>
      <c r="F63" s="132">
        <f t="shared" ref="F63:F68" si="12">(+D63-E63)/E63</f>
        <v>-0.35363046847815771</v>
      </c>
      <c r="G63" s="215">
        <f t="shared" ref="G63:G68" si="13">D63/C63</f>
        <v>0.17882141591953837</v>
      </c>
      <c r="H63" s="123"/>
    </row>
    <row r="64" spans="1:8" ht="15.75" x14ac:dyDescent="0.25">
      <c r="A64" s="130"/>
      <c r="B64" s="131">
        <f>DATE(2019,8,1)</f>
        <v>43678</v>
      </c>
      <c r="C64" s="204">
        <v>1645771</v>
      </c>
      <c r="D64" s="204">
        <v>366605.5</v>
      </c>
      <c r="E64" s="204">
        <v>271146</v>
      </c>
      <c r="F64" s="132">
        <f t="shared" si="12"/>
        <v>0.35205940710908512</v>
      </c>
      <c r="G64" s="215">
        <f t="shared" si="13"/>
        <v>0.22275608210376777</v>
      </c>
      <c r="H64" s="123"/>
    </row>
    <row r="65" spans="1:8" ht="15.75" x14ac:dyDescent="0.25">
      <c r="A65" s="130"/>
      <c r="B65" s="131">
        <f>DATE(2019,9,1)</f>
        <v>43709</v>
      </c>
      <c r="C65" s="204">
        <v>1422549</v>
      </c>
      <c r="D65" s="204">
        <v>323382</v>
      </c>
      <c r="E65" s="204">
        <v>347747</v>
      </c>
      <c r="F65" s="132">
        <f t="shared" si="12"/>
        <v>-7.0065306098974253E-2</v>
      </c>
      <c r="G65" s="215">
        <f t="shared" si="13"/>
        <v>0.22732573710993434</v>
      </c>
      <c r="H65" s="123"/>
    </row>
    <row r="66" spans="1:8" ht="15.75" x14ac:dyDescent="0.25">
      <c r="A66" s="130"/>
      <c r="B66" s="131">
        <f>DATE(2019,10,1)</f>
        <v>43739</v>
      </c>
      <c r="C66" s="204">
        <v>1396946</v>
      </c>
      <c r="D66" s="204">
        <v>301934</v>
      </c>
      <c r="E66" s="204">
        <v>240203.5</v>
      </c>
      <c r="F66" s="132">
        <f t="shared" si="12"/>
        <v>0.25699250843555571</v>
      </c>
      <c r="G66" s="215">
        <f t="shared" si="13"/>
        <v>0.21613863384840931</v>
      </c>
      <c r="H66" s="123"/>
    </row>
    <row r="67" spans="1:8" ht="15.75" x14ac:dyDescent="0.25">
      <c r="A67" s="130"/>
      <c r="B67" s="131">
        <f>DATE(2019,11,1)</f>
        <v>43770</v>
      </c>
      <c r="C67" s="204">
        <v>1457385</v>
      </c>
      <c r="D67" s="204">
        <v>378106</v>
      </c>
      <c r="E67" s="204">
        <v>171704.5</v>
      </c>
      <c r="F67" s="132">
        <f t="shared" si="12"/>
        <v>1.2020739118660257</v>
      </c>
      <c r="G67" s="215">
        <f t="shared" si="13"/>
        <v>0.25944139674828548</v>
      </c>
      <c r="H67" s="123"/>
    </row>
    <row r="68" spans="1:8" ht="15.75" x14ac:dyDescent="0.25">
      <c r="A68" s="130"/>
      <c r="B68" s="131">
        <f>DATE(2019,12,1)</f>
        <v>43800</v>
      </c>
      <c r="C68" s="204">
        <v>1230603</v>
      </c>
      <c r="D68" s="204">
        <v>350447.5</v>
      </c>
      <c r="E68" s="204">
        <v>334648.5</v>
      </c>
      <c r="F68" s="132">
        <f t="shared" si="12"/>
        <v>4.7210730064530394E-2</v>
      </c>
      <c r="G68" s="215">
        <f t="shared" si="13"/>
        <v>0.28477705645118695</v>
      </c>
      <c r="H68" s="123"/>
    </row>
    <row r="69" spans="1:8" ht="15.75" customHeight="1" thickBot="1" x14ac:dyDescent="0.3">
      <c r="A69" s="130"/>
      <c r="B69" s="131"/>
      <c r="C69" s="204"/>
      <c r="D69" s="204"/>
      <c r="E69" s="204"/>
      <c r="F69" s="132"/>
      <c r="G69" s="215"/>
      <c r="H69" s="123"/>
    </row>
    <row r="70" spans="1:8" ht="17.25" thickTop="1" thickBot="1" x14ac:dyDescent="0.3">
      <c r="A70" s="141" t="s">
        <v>14</v>
      </c>
      <c r="B70" s="142"/>
      <c r="C70" s="207">
        <f>SUM(C63:C69)</f>
        <v>8581612</v>
      </c>
      <c r="D70" s="261">
        <f>SUM(D63:D69)</f>
        <v>1975896</v>
      </c>
      <c r="E70" s="207">
        <f>SUM(E63:E69)</f>
        <v>1760612</v>
      </c>
      <c r="F70" s="269">
        <f>(+D70-E70)/E70</f>
        <v>0.12227793517254228</v>
      </c>
      <c r="G70" s="267">
        <f>D70/C70</f>
        <v>0.23024765044143222</v>
      </c>
      <c r="H70" s="123"/>
    </row>
    <row r="71" spans="1:8" ht="15.75" customHeight="1" thickTop="1" x14ac:dyDescent="0.25">
      <c r="A71" s="130"/>
      <c r="B71" s="139"/>
      <c r="C71" s="205"/>
      <c r="D71" s="205"/>
      <c r="E71" s="205"/>
      <c r="F71" s="140"/>
      <c r="G71" s="216"/>
      <c r="H71" s="123"/>
    </row>
    <row r="72" spans="1:8" ht="15.75" x14ac:dyDescent="0.25">
      <c r="A72" s="130" t="s">
        <v>55</v>
      </c>
      <c r="B72" s="131">
        <f>DATE(2019,7,1)</f>
        <v>43647</v>
      </c>
      <c r="C72" s="204">
        <v>11352765</v>
      </c>
      <c r="D72" s="204">
        <v>1702644.86</v>
      </c>
      <c r="E72" s="204">
        <v>2057880.1</v>
      </c>
      <c r="F72" s="132">
        <f t="shared" ref="F72:F77" si="14">(+D72-E72)/E72</f>
        <v>-0.17262193263834952</v>
      </c>
      <c r="G72" s="215">
        <f t="shared" ref="G72:G77" si="15">D72/C72</f>
        <v>0.14997622693678589</v>
      </c>
      <c r="H72" s="123"/>
    </row>
    <row r="73" spans="1:8" ht="15.75" x14ac:dyDescent="0.25">
      <c r="A73" s="130"/>
      <c r="B73" s="131">
        <f>DATE(2019,8,1)</f>
        <v>43678</v>
      </c>
      <c r="C73" s="204">
        <v>11116688</v>
      </c>
      <c r="D73" s="204">
        <v>2308275.88</v>
      </c>
      <c r="E73" s="204">
        <v>2105874.34</v>
      </c>
      <c r="F73" s="132">
        <f t="shared" si="14"/>
        <v>9.6112828840490105E-2</v>
      </c>
      <c r="G73" s="215">
        <f t="shared" si="15"/>
        <v>0.20764061022491589</v>
      </c>
      <c r="H73" s="123"/>
    </row>
    <row r="74" spans="1:8" ht="15.75" x14ac:dyDescent="0.25">
      <c r="A74" s="130"/>
      <c r="B74" s="131">
        <f>DATE(2019,9,1)</f>
        <v>43709</v>
      </c>
      <c r="C74" s="204">
        <v>10317715</v>
      </c>
      <c r="D74" s="204">
        <v>1996051.56</v>
      </c>
      <c r="E74" s="204">
        <v>2555133.64</v>
      </c>
      <c r="F74" s="132">
        <f t="shared" si="14"/>
        <v>-0.21880737322216934</v>
      </c>
      <c r="G74" s="215">
        <f t="shared" si="15"/>
        <v>0.19345868343911418</v>
      </c>
      <c r="H74" s="123"/>
    </row>
    <row r="75" spans="1:8" ht="15.75" x14ac:dyDescent="0.25">
      <c r="A75" s="130"/>
      <c r="B75" s="131">
        <f>DATE(2019,10,1)</f>
        <v>43739</v>
      </c>
      <c r="C75" s="204">
        <v>10237727</v>
      </c>
      <c r="D75" s="204">
        <v>2026195.69</v>
      </c>
      <c r="E75" s="204">
        <v>2662687.6</v>
      </c>
      <c r="F75" s="132">
        <f t="shared" si="14"/>
        <v>-0.23904115150421706</v>
      </c>
      <c r="G75" s="215">
        <f t="shared" si="15"/>
        <v>0.19791460448203005</v>
      </c>
      <c r="H75" s="123"/>
    </row>
    <row r="76" spans="1:8" ht="15.75" x14ac:dyDescent="0.25">
      <c r="A76" s="130"/>
      <c r="B76" s="131">
        <f>DATE(2019,11,1)</f>
        <v>43770</v>
      </c>
      <c r="C76" s="204">
        <v>9911538</v>
      </c>
      <c r="D76" s="204">
        <v>1903177.96</v>
      </c>
      <c r="E76" s="204">
        <v>2453062.8199999998</v>
      </c>
      <c r="F76" s="132">
        <f t="shared" si="14"/>
        <v>-0.22416256751223351</v>
      </c>
      <c r="G76" s="215">
        <f t="shared" si="15"/>
        <v>0.19201641158012006</v>
      </c>
      <c r="H76" s="123"/>
    </row>
    <row r="77" spans="1:8" ht="15.75" x14ac:dyDescent="0.25">
      <c r="A77" s="130"/>
      <c r="B77" s="131">
        <f>DATE(2019,12,1)</f>
        <v>43800</v>
      </c>
      <c r="C77" s="204">
        <v>10227494</v>
      </c>
      <c r="D77" s="204">
        <v>1980334.65</v>
      </c>
      <c r="E77" s="204">
        <v>2360180.63</v>
      </c>
      <c r="F77" s="132">
        <f t="shared" si="14"/>
        <v>-0.16093936844147391</v>
      </c>
      <c r="G77" s="215">
        <f t="shared" si="15"/>
        <v>0.19362853207247052</v>
      </c>
      <c r="H77" s="123"/>
    </row>
    <row r="78" spans="1:8" ht="15.75" customHeight="1" thickBot="1" x14ac:dyDescent="0.3">
      <c r="A78" s="130"/>
      <c r="B78" s="131"/>
      <c r="C78" s="204"/>
      <c r="D78" s="204"/>
      <c r="E78" s="204"/>
      <c r="F78" s="132"/>
      <c r="G78" s="215"/>
      <c r="H78" s="123"/>
    </row>
    <row r="79" spans="1:8" ht="17.25" thickTop="1" thickBot="1" x14ac:dyDescent="0.3">
      <c r="A79" s="141" t="s">
        <v>14</v>
      </c>
      <c r="B79" s="142"/>
      <c r="C79" s="206">
        <f>SUM(C72:C78)</f>
        <v>63163927</v>
      </c>
      <c r="D79" s="206">
        <f>SUM(D72:D78)</f>
        <v>11916680.6</v>
      </c>
      <c r="E79" s="206">
        <f>SUM(E72:E78)</f>
        <v>14194819.129999999</v>
      </c>
      <c r="F79" s="143">
        <f>(+D79-E79)/E79</f>
        <v>-0.16049084593020801</v>
      </c>
      <c r="G79" s="217">
        <f>D79/C79</f>
        <v>0.18866275682954289</v>
      </c>
      <c r="H79" s="123"/>
    </row>
    <row r="80" spans="1:8" ht="15.75" customHeight="1" thickTop="1" x14ac:dyDescent="0.25">
      <c r="A80" s="138"/>
      <c r="B80" s="139"/>
      <c r="C80" s="205"/>
      <c r="D80" s="205"/>
      <c r="E80" s="205"/>
      <c r="F80" s="140"/>
      <c r="G80" s="216"/>
      <c r="H80" s="123"/>
    </row>
    <row r="81" spans="1:8" ht="15.75" x14ac:dyDescent="0.25">
      <c r="A81" s="130" t="s">
        <v>18</v>
      </c>
      <c r="B81" s="131">
        <f>DATE(2019,7,1)</f>
        <v>43647</v>
      </c>
      <c r="C81" s="204">
        <v>12048647</v>
      </c>
      <c r="D81" s="204">
        <v>2126440.5</v>
      </c>
      <c r="E81" s="204">
        <v>2729067.84</v>
      </c>
      <c r="F81" s="132">
        <f t="shared" ref="F81:F86" si="16">(+D81-E81)/E81</f>
        <v>-0.22081801381676167</v>
      </c>
      <c r="G81" s="215">
        <f t="shared" ref="G81:G86" si="17">D81/C81</f>
        <v>0.17648790772939069</v>
      </c>
      <c r="H81" s="123"/>
    </row>
    <row r="82" spans="1:8" ht="15.75" x14ac:dyDescent="0.25">
      <c r="A82" s="130"/>
      <c r="B82" s="131">
        <f>DATE(2019,8,1)</f>
        <v>43678</v>
      </c>
      <c r="C82" s="204">
        <v>12757078</v>
      </c>
      <c r="D82" s="204">
        <v>2726871</v>
      </c>
      <c r="E82" s="204">
        <v>2970026</v>
      </c>
      <c r="F82" s="132">
        <f t="shared" si="16"/>
        <v>-8.1869653666331546E-2</v>
      </c>
      <c r="G82" s="215">
        <f t="shared" si="17"/>
        <v>0.21375357272253098</v>
      </c>
      <c r="H82" s="123"/>
    </row>
    <row r="83" spans="1:8" ht="15.75" x14ac:dyDescent="0.25">
      <c r="A83" s="130"/>
      <c r="B83" s="131">
        <f>DATE(2019,9,1)</f>
        <v>43709</v>
      </c>
      <c r="C83" s="204">
        <v>12239206</v>
      </c>
      <c r="D83" s="204">
        <v>2679876</v>
      </c>
      <c r="E83" s="204">
        <v>2637413.5</v>
      </c>
      <c r="F83" s="132">
        <f t="shared" si="16"/>
        <v>1.6100054087081907E-2</v>
      </c>
      <c r="G83" s="215">
        <f t="shared" si="17"/>
        <v>0.21895832131594156</v>
      </c>
      <c r="H83" s="123"/>
    </row>
    <row r="84" spans="1:8" ht="15.75" x14ac:dyDescent="0.25">
      <c r="A84" s="130"/>
      <c r="B84" s="131">
        <f>DATE(2019,10,1)</f>
        <v>43739</v>
      </c>
      <c r="C84" s="204">
        <v>12190070</v>
      </c>
      <c r="D84" s="204">
        <v>3088829</v>
      </c>
      <c r="E84" s="204">
        <v>1894492</v>
      </c>
      <c r="F84" s="132">
        <f t="shared" si="16"/>
        <v>0.63042599282551737</v>
      </c>
      <c r="G84" s="215">
        <f t="shared" si="17"/>
        <v>0.25338894690514491</v>
      </c>
      <c r="H84" s="123"/>
    </row>
    <row r="85" spans="1:8" ht="15.75" x14ac:dyDescent="0.25">
      <c r="A85" s="130"/>
      <c r="B85" s="131">
        <f>DATE(2019,11,1)</f>
        <v>43770</v>
      </c>
      <c r="C85" s="204">
        <v>12234070</v>
      </c>
      <c r="D85" s="204">
        <v>2810591.5</v>
      </c>
      <c r="E85" s="204">
        <v>2412367</v>
      </c>
      <c r="F85" s="132">
        <f t="shared" si="16"/>
        <v>0.16507625083579738</v>
      </c>
      <c r="G85" s="215">
        <f t="shared" si="17"/>
        <v>0.2297347898123846</v>
      </c>
      <c r="H85" s="123"/>
    </row>
    <row r="86" spans="1:8" ht="15.75" x14ac:dyDescent="0.25">
      <c r="A86" s="130"/>
      <c r="B86" s="131">
        <f>DATE(2019,12,1)</f>
        <v>43800</v>
      </c>
      <c r="C86" s="204">
        <v>11492519.5</v>
      </c>
      <c r="D86" s="204">
        <v>1704640.5</v>
      </c>
      <c r="E86" s="204">
        <v>2615452.5</v>
      </c>
      <c r="F86" s="132">
        <f t="shared" si="16"/>
        <v>-0.34824260811465702</v>
      </c>
      <c r="G86" s="215">
        <f t="shared" si="17"/>
        <v>0.14832609159375365</v>
      </c>
      <c r="H86" s="123"/>
    </row>
    <row r="87" spans="1:8" ht="15.75" customHeight="1" thickBot="1" x14ac:dyDescent="0.3">
      <c r="A87" s="130"/>
      <c r="B87" s="131"/>
      <c r="C87" s="204"/>
      <c r="D87" s="204"/>
      <c r="E87" s="204"/>
      <c r="F87" s="132"/>
      <c r="G87" s="215"/>
      <c r="H87" s="123"/>
    </row>
    <row r="88" spans="1:8" ht="17.25" thickTop="1" thickBot="1" x14ac:dyDescent="0.3">
      <c r="A88" s="141" t="s">
        <v>14</v>
      </c>
      <c r="B88" s="142"/>
      <c r="C88" s="206">
        <f>SUM(C81:C87)</f>
        <v>72961590.5</v>
      </c>
      <c r="D88" s="206">
        <f>SUM(D81:D87)</f>
        <v>15137248.5</v>
      </c>
      <c r="E88" s="206">
        <f>SUM(E81:E87)</f>
        <v>15258818.84</v>
      </c>
      <c r="F88" s="143">
        <f>(+D88-E88)/E88</f>
        <v>-7.9672182542275902E-3</v>
      </c>
      <c r="G88" s="217">
        <f>D88/C88</f>
        <v>0.20746872972841787</v>
      </c>
      <c r="H88" s="123"/>
    </row>
    <row r="89" spans="1:8" ht="15.75" customHeight="1" thickTop="1" x14ac:dyDescent="0.25">
      <c r="A89" s="138"/>
      <c r="B89" s="139"/>
      <c r="C89" s="205"/>
      <c r="D89" s="205"/>
      <c r="E89" s="205"/>
      <c r="F89" s="140"/>
      <c r="G89" s="216"/>
      <c r="H89" s="123"/>
    </row>
    <row r="90" spans="1:8" ht="15.75" x14ac:dyDescent="0.25">
      <c r="A90" s="130" t="s">
        <v>58</v>
      </c>
      <c r="B90" s="131">
        <f>DATE(2019,7,1)</f>
        <v>43647</v>
      </c>
      <c r="C90" s="204">
        <v>11570649</v>
      </c>
      <c r="D90" s="204">
        <v>1977732.9</v>
      </c>
      <c r="E90" s="204">
        <v>2887936.73</v>
      </c>
      <c r="F90" s="132">
        <f t="shared" ref="F90:F95" si="18">(+D90-E90)/E90</f>
        <v>-0.31517443597180195</v>
      </c>
      <c r="G90" s="215">
        <f t="shared" ref="G90:G95" si="19">D90/C90</f>
        <v>0.17092670428426271</v>
      </c>
      <c r="H90" s="123"/>
    </row>
    <row r="91" spans="1:8" ht="15.75" x14ac:dyDescent="0.25">
      <c r="A91" s="130"/>
      <c r="B91" s="131">
        <f>DATE(2019,8,1)</f>
        <v>43678</v>
      </c>
      <c r="C91" s="204">
        <v>12902308</v>
      </c>
      <c r="D91" s="204">
        <v>2649402.5</v>
      </c>
      <c r="E91" s="204">
        <v>2450226.84</v>
      </c>
      <c r="F91" s="132">
        <f t="shared" si="18"/>
        <v>8.1288661420425942E-2</v>
      </c>
      <c r="G91" s="215">
        <f t="shared" si="19"/>
        <v>0.20534329981891611</v>
      </c>
      <c r="H91" s="123"/>
    </row>
    <row r="92" spans="1:8" ht="15.75" x14ac:dyDescent="0.25">
      <c r="A92" s="130"/>
      <c r="B92" s="131">
        <f>DATE(2019,9,1)</f>
        <v>43709</v>
      </c>
      <c r="C92" s="204">
        <v>12612498</v>
      </c>
      <c r="D92" s="204">
        <v>2515306.23</v>
      </c>
      <c r="E92" s="204">
        <v>1932757.4</v>
      </c>
      <c r="F92" s="132">
        <f t="shared" si="18"/>
        <v>0.30140814879301464</v>
      </c>
      <c r="G92" s="215">
        <f t="shared" si="19"/>
        <v>0.19942966333869785</v>
      </c>
      <c r="H92" s="123"/>
    </row>
    <row r="93" spans="1:8" ht="15.75" x14ac:dyDescent="0.25">
      <c r="A93" s="130"/>
      <c r="B93" s="131">
        <f>DATE(2019,10,1)</f>
        <v>43739</v>
      </c>
      <c r="C93" s="204">
        <v>13262208</v>
      </c>
      <c r="D93" s="204">
        <v>2541006.48</v>
      </c>
      <c r="E93" s="204">
        <v>1108774.5</v>
      </c>
      <c r="F93" s="132">
        <f t="shared" si="18"/>
        <v>1.291725215542024</v>
      </c>
      <c r="G93" s="215">
        <f t="shared" si="19"/>
        <v>0.19159754393838491</v>
      </c>
      <c r="H93" s="123"/>
    </row>
    <row r="94" spans="1:8" ht="15.75" x14ac:dyDescent="0.25">
      <c r="A94" s="130"/>
      <c r="B94" s="131">
        <f>DATE(2019,11,1)</f>
        <v>43770</v>
      </c>
      <c r="C94" s="204">
        <v>13497353</v>
      </c>
      <c r="D94" s="204">
        <v>2692124.24</v>
      </c>
      <c r="E94" s="204">
        <v>4255264.95</v>
      </c>
      <c r="F94" s="132">
        <f t="shared" si="18"/>
        <v>-0.36734274560271502</v>
      </c>
      <c r="G94" s="215">
        <f t="shared" si="19"/>
        <v>0.19945571846568733</v>
      </c>
      <c r="H94" s="123"/>
    </row>
    <row r="95" spans="1:8" ht="15.75" x14ac:dyDescent="0.25">
      <c r="A95" s="130"/>
      <c r="B95" s="131">
        <f>DATE(2019,12,1)</f>
        <v>43800</v>
      </c>
      <c r="C95" s="204">
        <v>15274965</v>
      </c>
      <c r="D95" s="204">
        <v>2968408.02</v>
      </c>
      <c r="E95" s="204">
        <v>3211966.31</v>
      </c>
      <c r="F95" s="132">
        <f t="shared" si="18"/>
        <v>-7.58284074280966E-2</v>
      </c>
      <c r="G95" s="215">
        <f t="shared" si="19"/>
        <v>0.19433157588249794</v>
      </c>
      <c r="H95" s="123"/>
    </row>
    <row r="96" spans="1:8" ht="15.75" thickBot="1" x14ac:dyDescent="0.25">
      <c r="A96" s="133"/>
      <c r="B96" s="131"/>
      <c r="C96" s="204"/>
      <c r="D96" s="204"/>
      <c r="E96" s="204"/>
      <c r="F96" s="132"/>
      <c r="G96" s="215"/>
      <c r="H96" s="123"/>
    </row>
    <row r="97" spans="1:8" ht="17.25" thickTop="1" thickBot="1" x14ac:dyDescent="0.3">
      <c r="A97" s="141" t="s">
        <v>14</v>
      </c>
      <c r="B97" s="142"/>
      <c r="C97" s="207">
        <f>SUM(C90:C96)</f>
        <v>79119981</v>
      </c>
      <c r="D97" s="207">
        <f>SUM(D90:D96)</f>
        <v>15343980.370000001</v>
      </c>
      <c r="E97" s="207">
        <f>SUM(E90:E96)</f>
        <v>15846926.730000002</v>
      </c>
      <c r="F97" s="143">
        <f>(+D97-E97)/E97</f>
        <v>-3.1737785412225557E-2</v>
      </c>
      <c r="G97" s="267">
        <f>D97/C97</f>
        <v>0.19393306439241942</v>
      </c>
      <c r="H97" s="123"/>
    </row>
    <row r="98" spans="1:8" ht="15.75" customHeight="1" thickTop="1" x14ac:dyDescent="0.25">
      <c r="A98" s="138"/>
      <c r="B98" s="139"/>
      <c r="C98" s="205"/>
      <c r="D98" s="205"/>
      <c r="E98" s="205"/>
      <c r="F98" s="140"/>
      <c r="G98" s="219"/>
      <c r="H98" s="123"/>
    </row>
    <row r="99" spans="1:8" ht="15.75" x14ac:dyDescent="0.25">
      <c r="A99" s="130" t="s">
        <v>59</v>
      </c>
      <c r="B99" s="131">
        <f>DATE(2019,7,1)</f>
        <v>43647</v>
      </c>
      <c r="C99" s="204">
        <v>679874</v>
      </c>
      <c r="D99" s="204">
        <v>135934</v>
      </c>
      <c r="E99" s="204">
        <v>154554.5</v>
      </c>
      <c r="F99" s="132">
        <f t="shared" ref="F99:F104" si="20">(+D99-E99)/E99</f>
        <v>-0.12047853669741095</v>
      </c>
      <c r="G99" s="215">
        <f t="shared" ref="G99:G104" si="21">D99/C99</f>
        <v>0.19993998888029252</v>
      </c>
      <c r="H99" s="123"/>
    </row>
    <row r="100" spans="1:8" ht="15.75" x14ac:dyDescent="0.25">
      <c r="A100" s="130"/>
      <c r="B100" s="131">
        <f>DATE(2019,8,1)</f>
        <v>43678</v>
      </c>
      <c r="C100" s="204">
        <v>642745</v>
      </c>
      <c r="D100" s="204">
        <v>134255.5</v>
      </c>
      <c r="E100" s="204">
        <v>228200</v>
      </c>
      <c r="F100" s="132">
        <f t="shared" si="20"/>
        <v>-0.41167616126205081</v>
      </c>
      <c r="G100" s="215">
        <f t="shared" si="21"/>
        <v>0.20887832655252084</v>
      </c>
      <c r="H100" s="123"/>
    </row>
    <row r="101" spans="1:8" ht="15.75" x14ac:dyDescent="0.25">
      <c r="A101" s="130"/>
      <c r="B101" s="131">
        <f>DATE(2019,9,1)</f>
        <v>43709</v>
      </c>
      <c r="C101" s="204">
        <v>552495</v>
      </c>
      <c r="D101" s="204">
        <v>147952</v>
      </c>
      <c r="E101" s="204">
        <v>133253.5</v>
      </c>
      <c r="F101" s="132">
        <f t="shared" si="20"/>
        <v>0.11030479499600386</v>
      </c>
      <c r="G101" s="215">
        <f t="shared" si="21"/>
        <v>0.26778884876786213</v>
      </c>
      <c r="H101" s="123"/>
    </row>
    <row r="102" spans="1:8" ht="15.75" x14ac:dyDescent="0.25">
      <c r="A102" s="130"/>
      <c r="B102" s="131">
        <f>DATE(2019,10,1)</f>
        <v>43739</v>
      </c>
      <c r="C102" s="204">
        <v>589373</v>
      </c>
      <c r="D102" s="204">
        <v>160874.5</v>
      </c>
      <c r="E102" s="204">
        <v>183569.5</v>
      </c>
      <c r="F102" s="132">
        <f t="shared" si="20"/>
        <v>-0.12363164904845304</v>
      </c>
      <c r="G102" s="215">
        <f t="shared" si="21"/>
        <v>0.27295872053860626</v>
      </c>
      <c r="H102" s="123"/>
    </row>
    <row r="103" spans="1:8" ht="15.75" x14ac:dyDescent="0.25">
      <c r="A103" s="130"/>
      <c r="B103" s="131">
        <f>DATE(2019,11,1)</f>
        <v>43770</v>
      </c>
      <c r="C103" s="204">
        <v>659075</v>
      </c>
      <c r="D103" s="204">
        <v>171123.5</v>
      </c>
      <c r="E103" s="204">
        <v>134566.5</v>
      </c>
      <c r="F103" s="132">
        <f t="shared" si="20"/>
        <v>0.2716649388963821</v>
      </c>
      <c r="G103" s="215">
        <f t="shared" si="21"/>
        <v>0.25964192239123013</v>
      </c>
      <c r="H103" s="123"/>
    </row>
    <row r="104" spans="1:8" ht="15.75" x14ac:dyDescent="0.25">
      <c r="A104" s="130"/>
      <c r="B104" s="131">
        <f>DATE(2019,12,1)</f>
        <v>43800</v>
      </c>
      <c r="C104" s="204">
        <v>700359</v>
      </c>
      <c r="D104" s="204">
        <v>110728</v>
      </c>
      <c r="E104" s="204">
        <v>155643.5</v>
      </c>
      <c r="F104" s="132">
        <f t="shared" si="20"/>
        <v>-0.28857934960342063</v>
      </c>
      <c r="G104" s="215">
        <f t="shared" si="21"/>
        <v>0.15810177351900953</v>
      </c>
      <c r="H104" s="123"/>
    </row>
    <row r="105" spans="1:8" ht="15.75" thickBot="1" x14ac:dyDescent="0.25">
      <c r="A105" s="133"/>
      <c r="B105" s="134"/>
      <c r="C105" s="204"/>
      <c r="D105" s="204"/>
      <c r="E105" s="204"/>
      <c r="F105" s="132"/>
      <c r="G105" s="215"/>
      <c r="H105" s="123"/>
    </row>
    <row r="106" spans="1:8" ht="17.25" thickTop="1" thickBot="1" x14ac:dyDescent="0.3">
      <c r="A106" s="144" t="s">
        <v>14</v>
      </c>
      <c r="B106" s="145"/>
      <c r="C106" s="207">
        <f>SUM(C99:C105)</f>
        <v>3823921</v>
      </c>
      <c r="D106" s="207">
        <f>SUM(D99:D105)</f>
        <v>860867.5</v>
      </c>
      <c r="E106" s="207">
        <f>SUM(E99:E105)</f>
        <v>989787.5</v>
      </c>
      <c r="F106" s="143">
        <f>(+D106-E106)/E106</f>
        <v>-0.1302501799628708</v>
      </c>
      <c r="G106" s="217">
        <f>D106/C106</f>
        <v>0.2251269050798905</v>
      </c>
      <c r="H106" s="123"/>
    </row>
    <row r="107" spans="1:8" ht="15.75" customHeight="1" thickTop="1" x14ac:dyDescent="0.25">
      <c r="A107" s="130"/>
      <c r="B107" s="134"/>
      <c r="C107" s="204"/>
      <c r="D107" s="204"/>
      <c r="E107" s="204"/>
      <c r="F107" s="132"/>
      <c r="G107" s="218"/>
      <c r="H107" s="123"/>
    </row>
    <row r="108" spans="1:8" ht="15.75" x14ac:dyDescent="0.25">
      <c r="A108" s="130" t="s">
        <v>40</v>
      </c>
      <c r="B108" s="131">
        <f>DATE(2019,7,1)</f>
        <v>43647</v>
      </c>
      <c r="C108" s="204">
        <v>18492660</v>
      </c>
      <c r="D108" s="204">
        <v>3678875.65</v>
      </c>
      <c r="E108" s="204">
        <v>4013253.36</v>
      </c>
      <c r="F108" s="132">
        <f t="shared" ref="F108:F113" si="22">(+D108-E108)/E108</f>
        <v>-8.3318365427095781E-2</v>
      </c>
      <c r="G108" s="215">
        <f t="shared" ref="G108:G113" si="23">D108/C108</f>
        <v>0.19893707287107426</v>
      </c>
      <c r="H108" s="123"/>
    </row>
    <row r="109" spans="1:8" ht="15.75" x14ac:dyDescent="0.25">
      <c r="A109" s="130"/>
      <c r="B109" s="131">
        <f>DATE(2019,8,1)</f>
        <v>43678</v>
      </c>
      <c r="C109" s="204">
        <v>18036604</v>
      </c>
      <c r="D109" s="204">
        <v>3806318.41</v>
      </c>
      <c r="E109" s="204">
        <v>4154776.6</v>
      </c>
      <c r="F109" s="132">
        <f t="shared" si="22"/>
        <v>-8.3869296366018795E-2</v>
      </c>
      <c r="G109" s="215">
        <f t="shared" si="23"/>
        <v>0.21103298658661021</v>
      </c>
      <c r="H109" s="123"/>
    </row>
    <row r="110" spans="1:8" ht="15.75" x14ac:dyDescent="0.25">
      <c r="A110" s="130"/>
      <c r="B110" s="131">
        <f>DATE(2019,9,1)</f>
        <v>43709</v>
      </c>
      <c r="C110" s="204">
        <v>19700815</v>
      </c>
      <c r="D110" s="204">
        <v>3987675.53</v>
      </c>
      <c r="E110" s="204">
        <v>3317290.2</v>
      </c>
      <c r="F110" s="132">
        <f t="shared" si="22"/>
        <v>0.20208823756209196</v>
      </c>
      <c r="G110" s="215">
        <f t="shared" si="23"/>
        <v>0.20241170377976747</v>
      </c>
      <c r="H110" s="123"/>
    </row>
    <row r="111" spans="1:8" ht="15.75" x14ac:dyDescent="0.25">
      <c r="A111" s="130"/>
      <c r="B111" s="131">
        <f>DATE(2019,10,1)</f>
        <v>43739</v>
      </c>
      <c r="C111" s="204">
        <v>15446007</v>
      </c>
      <c r="D111" s="204">
        <v>3485177.78</v>
      </c>
      <c r="E111" s="204">
        <v>3010473</v>
      </c>
      <c r="F111" s="132">
        <f t="shared" si="22"/>
        <v>0.15768445025084091</v>
      </c>
      <c r="G111" s="215">
        <f t="shared" si="23"/>
        <v>0.22563616473823944</v>
      </c>
      <c r="H111" s="123"/>
    </row>
    <row r="112" spans="1:8" ht="15.75" x14ac:dyDescent="0.25">
      <c r="A112" s="130"/>
      <c r="B112" s="131">
        <f>DATE(2019,11,1)</f>
        <v>43770</v>
      </c>
      <c r="C112" s="204">
        <v>16313312</v>
      </c>
      <c r="D112" s="204">
        <v>3099140.29</v>
      </c>
      <c r="E112" s="204">
        <v>3636412.28</v>
      </c>
      <c r="F112" s="132">
        <f t="shared" si="22"/>
        <v>-0.14774782082740073</v>
      </c>
      <c r="G112" s="215">
        <f t="shared" si="23"/>
        <v>0.18997615505668008</v>
      </c>
      <c r="H112" s="123"/>
    </row>
    <row r="113" spans="1:8" ht="15.75" x14ac:dyDescent="0.25">
      <c r="A113" s="130"/>
      <c r="B113" s="131">
        <f>DATE(2019,12,1)</f>
        <v>43800</v>
      </c>
      <c r="C113" s="204">
        <v>17539177</v>
      </c>
      <c r="D113" s="204">
        <v>4022599</v>
      </c>
      <c r="E113" s="204">
        <v>3158388.6</v>
      </c>
      <c r="F113" s="132">
        <f t="shared" si="22"/>
        <v>0.27362383463516804</v>
      </c>
      <c r="G113" s="215">
        <f t="shared" si="23"/>
        <v>0.22934935886672447</v>
      </c>
      <c r="H113" s="123"/>
    </row>
    <row r="114" spans="1:8" ht="15.75" thickBot="1" x14ac:dyDescent="0.25">
      <c r="A114" s="133"/>
      <c r="B114" s="134"/>
      <c r="C114" s="204"/>
      <c r="D114" s="204"/>
      <c r="E114" s="204"/>
      <c r="F114" s="132"/>
      <c r="G114" s="215"/>
      <c r="H114" s="123"/>
    </row>
    <row r="115" spans="1:8" ht="17.25" thickTop="1" thickBot="1" x14ac:dyDescent="0.3">
      <c r="A115" s="141" t="s">
        <v>14</v>
      </c>
      <c r="B115" s="142"/>
      <c r="C115" s="206">
        <f>SUM(C108:C114)</f>
        <v>105528575</v>
      </c>
      <c r="D115" s="207">
        <f>SUM(D108:D114)</f>
        <v>22079786.66</v>
      </c>
      <c r="E115" s="206">
        <f>SUM(E108:E114)</f>
        <v>21290594.040000003</v>
      </c>
      <c r="F115" s="143">
        <f>(+D115-E115)/E115</f>
        <v>3.7067665585905712E-2</v>
      </c>
      <c r="G115" s="217">
        <f>D115/C115</f>
        <v>0.20923040664578291</v>
      </c>
      <c r="H115" s="123"/>
    </row>
    <row r="116" spans="1:8" ht="15.75" customHeight="1" thickTop="1" x14ac:dyDescent="0.25">
      <c r="A116" s="130"/>
      <c r="B116" s="134"/>
      <c r="C116" s="204"/>
      <c r="D116" s="204"/>
      <c r="E116" s="204"/>
      <c r="F116" s="132"/>
      <c r="G116" s="218"/>
      <c r="H116" s="123"/>
    </row>
    <row r="117" spans="1:8" ht="15.75" x14ac:dyDescent="0.25">
      <c r="A117" s="130" t="s">
        <v>64</v>
      </c>
      <c r="B117" s="131">
        <f>DATE(2019,7,1)</f>
        <v>43647</v>
      </c>
      <c r="C117" s="204">
        <v>622244</v>
      </c>
      <c r="D117" s="204">
        <v>102948</v>
      </c>
      <c r="E117" s="204">
        <v>171143.5</v>
      </c>
      <c r="F117" s="132">
        <f t="shared" ref="F117:F122" si="24">(+D117-E117)/E117</f>
        <v>-0.39846970524735092</v>
      </c>
      <c r="G117" s="215">
        <f t="shared" ref="G117:G122" si="25">D117/C117</f>
        <v>0.16544635223481463</v>
      </c>
      <c r="H117" s="123"/>
    </row>
    <row r="118" spans="1:8" ht="15.75" x14ac:dyDescent="0.25">
      <c r="A118" s="130"/>
      <c r="B118" s="131">
        <f>DATE(2019,8,1)</f>
        <v>43678</v>
      </c>
      <c r="C118" s="204">
        <v>680355</v>
      </c>
      <c r="D118" s="204">
        <v>208443.5</v>
      </c>
      <c r="E118" s="204">
        <v>217353.5</v>
      </c>
      <c r="F118" s="132">
        <f t="shared" si="24"/>
        <v>-4.0993128705081816E-2</v>
      </c>
      <c r="G118" s="215">
        <f t="shared" si="25"/>
        <v>0.30637461325337506</v>
      </c>
      <c r="H118" s="123"/>
    </row>
    <row r="119" spans="1:8" ht="15.75" x14ac:dyDescent="0.25">
      <c r="A119" s="130"/>
      <c r="B119" s="131">
        <f>DATE(2019,9,1)</f>
        <v>43709</v>
      </c>
      <c r="C119" s="204">
        <v>591136</v>
      </c>
      <c r="D119" s="204">
        <v>206651.5</v>
      </c>
      <c r="E119" s="204">
        <v>169120</v>
      </c>
      <c r="F119" s="132">
        <f t="shared" si="24"/>
        <v>0.22192230368968779</v>
      </c>
      <c r="G119" s="215">
        <f t="shared" si="25"/>
        <v>0.34958368294267311</v>
      </c>
      <c r="H119" s="123"/>
    </row>
    <row r="120" spans="1:8" ht="15.75" x14ac:dyDescent="0.25">
      <c r="A120" s="130"/>
      <c r="B120" s="131">
        <f>DATE(2019,10,1)</f>
        <v>43739</v>
      </c>
      <c r="C120" s="204">
        <v>514035</v>
      </c>
      <c r="D120" s="204">
        <v>159975</v>
      </c>
      <c r="E120" s="204">
        <v>142213.5</v>
      </c>
      <c r="F120" s="132">
        <f t="shared" si="24"/>
        <v>0.12489320634117014</v>
      </c>
      <c r="G120" s="215">
        <f t="shared" si="25"/>
        <v>0.31121421693075374</v>
      </c>
      <c r="H120" s="123"/>
    </row>
    <row r="121" spans="1:8" ht="15.75" x14ac:dyDescent="0.25">
      <c r="A121" s="130"/>
      <c r="B121" s="131">
        <f>DATE(2019,11,1)</f>
        <v>43770</v>
      </c>
      <c r="C121" s="204">
        <v>627782</v>
      </c>
      <c r="D121" s="204">
        <v>185433.5</v>
      </c>
      <c r="E121" s="204">
        <v>170858.5</v>
      </c>
      <c r="F121" s="132">
        <f t="shared" si="24"/>
        <v>8.5304506360526403E-2</v>
      </c>
      <c r="G121" s="215">
        <f t="shared" si="25"/>
        <v>0.29537880984163295</v>
      </c>
      <c r="H121" s="123"/>
    </row>
    <row r="122" spans="1:8" ht="15.75" x14ac:dyDescent="0.25">
      <c r="A122" s="130"/>
      <c r="B122" s="131">
        <f>DATE(2019,12,1)</f>
        <v>43800</v>
      </c>
      <c r="C122" s="204">
        <v>733505</v>
      </c>
      <c r="D122" s="204">
        <v>198005</v>
      </c>
      <c r="E122" s="204">
        <v>191894</v>
      </c>
      <c r="F122" s="132">
        <f t="shared" si="24"/>
        <v>3.1845706483787928E-2</v>
      </c>
      <c r="G122" s="215">
        <f t="shared" si="25"/>
        <v>0.26994362683280959</v>
      </c>
      <c r="H122" s="123"/>
    </row>
    <row r="123" spans="1:8" ht="15.75" thickBot="1" x14ac:dyDescent="0.25">
      <c r="A123" s="133"/>
      <c r="B123" s="134"/>
      <c r="C123" s="204"/>
      <c r="D123" s="204"/>
      <c r="E123" s="204"/>
      <c r="F123" s="132"/>
      <c r="G123" s="215"/>
      <c r="H123" s="123"/>
    </row>
    <row r="124" spans="1:8" ht="17.25" thickTop="1" thickBot="1" x14ac:dyDescent="0.3">
      <c r="A124" s="135" t="s">
        <v>14</v>
      </c>
      <c r="B124" s="136"/>
      <c r="C124" s="201">
        <f>SUM(C117:C123)</f>
        <v>3769057</v>
      </c>
      <c r="D124" s="207">
        <f>SUM(D117:D123)</f>
        <v>1061456.5</v>
      </c>
      <c r="E124" s="207">
        <f>SUM(E117:E123)</f>
        <v>1062583</v>
      </c>
      <c r="F124" s="143">
        <f>(+D124-E124)/E124</f>
        <v>-1.0601524775005811E-3</v>
      </c>
      <c r="G124" s="217">
        <f>D124/C124</f>
        <v>0.28162389159941065</v>
      </c>
      <c r="H124" s="123"/>
    </row>
    <row r="125" spans="1:8" ht="16.5" thickTop="1" thickBot="1" x14ac:dyDescent="0.25">
      <c r="A125" s="146"/>
      <c r="B125" s="139"/>
      <c r="C125" s="205"/>
      <c r="D125" s="205"/>
      <c r="E125" s="205"/>
      <c r="F125" s="140"/>
      <c r="G125" s="216"/>
      <c r="H125" s="123"/>
    </row>
    <row r="126" spans="1:8" ht="17.25" thickTop="1" thickBot="1" x14ac:dyDescent="0.3">
      <c r="A126" s="147" t="s">
        <v>41</v>
      </c>
      <c r="B126" s="121"/>
      <c r="C126" s="201">
        <f>C124+C115+C88+C70+C52+C34+C16+C43+C106+C25+C79+C97+C61</f>
        <v>623239690.75</v>
      </c>
      <c r="D126" s="201">
        <f>D124+D115+D88+D70+D52+D34+D16+D43+D106+D25+D79+D97+D61</f>
        <v>126542820.75</v>
      </c>
      <c r="E126" s="201">
        <f>E124+E115+E88+E70+E52+E34+E16+E43+E106+E25+E79+E97+E61</f>
        <v>130898669.88999999</v>
      </c>
      <c r="F126" s="137">
        <f>(+D126-E126)/E126</f>
        <v>-3.3276496572962895E-2</v>
      </c>
      <c r="G126" s="212">
        <f>D126/C126</f>
        <v>0.20304037536139541</v>
      </c>
      <c r="H126" s="123"/>
    </row>
    <row r="127" spans="1:8" ht="17.25" thickTop="1" thickBot="1" x14ac:dyDescent="0.3">
      <c r="A127" s="147"/>
      <c r="B127" s="121"/>
      <c r="C127" s="201"/>
      <c r="D127" s="201"/>
      <c r="E127" s="201"/>
      <c r="F127" s="137"/>
      <c r="G127" s="212"/>
      <c r="H127" s="123"/>
    </row>
    <row r="128" spans="1:8" ht="17.25" thickTop="1" thickBot="1" x14ac:dyDescent="0.3">
      <c r="A128" s="265" t="s">
        <v>42</v>
      </c>
      <c r="B128" s="266"/>
      <c r="C128" s="206">
        <f>SUM(C14+C23+C32+C41+C50+C59+C68+C77+C86+C95+C104+C113+C122)</f>
        <v>105440968</v>
      </c>
      <c r="D128" s="206">
        <f>SUM(D14+D23+D32+D41+D50+D59+D68+D77+D86+D95+D104+D113+D122)</f>
        <v>20852879.41</v>
      </c>
      <c r="E128" s="206">
        <f>SUM(E14+E23+E32+E41+E50+E59+E68+E77+E86+E95+E104+E113+E122)</f>
        <v>23203075.960000001</v>
      </c>
      <c r="F128" s="143">
        <f>(+D128-E128)/E128</f>
        <v>-0.10128814619456172</v>
      </c>
      <c r="G128" s="217">
        <f>D128/C128</f>
        <v>0.19776828499905275</v>
      </c>
      <c r="H128" s="123"/>
    </row>
    <row r="129" spans="1:8" ht="16.5" thickTop="1" x14ac:dyDescent="0.25">
      <c r="A129" s="256"/>
      <c r="B129" s="258"/>
      <c r="C129" s="259"/>
      <c r="D129" s="259"/>
      <c r="E129" s="259"/>
      <c r="F129" s="260"/>
      <c r="G129" s="257"/>
      <c r="H129" s="257"/>
    </row>
    <row r="130" spans="1:8" ht="18.75" x14ac:dyDescent="0.3">
      <c r="A130" s="263" t="s">
        <v>43</v>
      </c>
      <c r="B130" s="117"/>
      <c r="C130" s="208"/>
      <c r="D130" s="208"/>
      <c r="E130" s="208"/>
      <c r="F130" s="148"/>
      <c r="G130" s="220"/>
    </row>
    <row r="131" spans="1:8" ht="15.75" x14ac:dyDescent="0.25">
      <c r="A131" s="7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2" manualBreakCount="2">
    <brk id="52" max="7" man="1"/>
    <brk id="9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33"/>
  <sheetViews>
    <sheetView showOutlineSymbols="0" zoomScaleNormal="100" workbookViewId="0">
      <selection activeCell="A6" sqref="A6"/>
    </sheetView>
  </sheetViews>
  <sheetFormatPr defaultColWidth="9.6640625" defaultRowHeight="15" x14ac:dyDescent="0.2"/>
  <cols>
    <col min="1" max="1" width="27.6640625" style="152" customWidth="1"/>
    <col min="2" max="2" width="9.6640625" style="152" customWidth="1"/>
    <col min="3" max="3" width="18.33203125" style="233" customWidth="1"/>
    <col min="4" max="4" width="16.441406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40625" style="152" customWidth="1"/>
    <col min="10" max="16384" width="9.6640625" style="152"/>
  </cols>
  <sheetData>
    <row r="1" spans="1:9" ht="18" x14ac:dyDescent="0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 x14ac:dyDescent="0.3">
      <c r="A2" s="153" t="s">
        <v>44</v>
      </c>
      <c r="B2" s="150"/>
      <c r="C2" s="222"/>
      <c r="D2" s="222"/>
      <c r="E2" s="222"/>
      <c r="F2" s="150"/>
      <c r="G2" s="234"/>
      <c r="H2" s="234"/>
      <c r="I2" s="151"/>
    </row>
    <row r="3" spans="1:9" ht="18" x14ac:dyDescent="0.25">
      <c r="A3" s="149" t="s">
        <v>45</v>
      </c>
      <c r="B3" s="150"/>
      <c r="C3" s="222"/>
      <c r="D3" s="222"/>
      <c r="E3" s="222"/>
      <c r="F3" s="150"/>
      <c r="G3" s="234"/>
      <c r="H3" s="234"/>
      <c r="I3" s="151"/>
    </row>
    <row r="4" spans="1:9" ht="18" x14ac:dyDescent="0.25">
      <c r="A4" s="149" t="s">
        <v>74</v>
      </c>
      <c r="B4" s="150"/>
      <c r="C4" s="222"/>
      <c r="D4" s="222"/>
      <c r="E4" s="222"/>
      <c r="F4" s="150"/>
      <c r="G4" s="234"/>
      <c r="H4" s="234"/>
      <c r="I4" s="151"/>
    </row>
    <row r="5" spans="1:9" x14ac:dyDescent="0.2">
      <c r="A5" s="282" t="s">
        <v>70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 x14ac:dyDescent="0.3">
      <c r="A6" s="150"/>
      <c r="B6" s="150"/>
      <c r="C6" s="222"/>
      <c r="D6" s="222"/>
      <c r="E6" s="222"/>
      <c r="F6" s="150"/>
      <c r="G6" s="235" t="s">
        <v>46</v>
      </c>
      <c r="H6" s="235"/>
      <c r="I6" s="151"/>
    </row>
    <row r="7" spans="1:9" ht="16.5" thickTop="1" x14ac:dyDescent="0.25">
      <c r="A7" s="154"/>
      <c r="B7" s="155" t="s">
        <v>2</v>
      </c>
      <c r="C7" s="223" t="s">
        <v>47</v>
      </c>
      <c r="D7" s="223" t="s">
        <v>33</v>
      </c>
      <c r="E7" s="223" t="s">
        <v>3</v>
      </c>
      <c r="F7" s="156"/>
      <c r="G7" s="236" t="s">
        <v>34</v>
      </c>
      <c r="H7" s="253" t="s">
        <v>34</v>
      </c>
      <c r="I7" s="157"/>
    </row>
    <row r="8" spans="1:9" ht="16.5" thickBot="1" x14ac:dyDescent="0.3">
      <c r="A8" s="158" t="s">
        <v>5</v>
      </c>
      <c r="B8" s="159" t="s">
        <v>6</v>
      </c>
      <c r="C8" s="224" t="s">
        <v>48</v>
      </c>
      <c r="D8" s="224" t="s">
        <v>49</v>
      </c>
      <c r="E8" s="224" t="s">
        <v>49</v>
      </c>
      <c r="F8" s="160" t="s">
        <v>8</v>
      </c>
      <c r="G8" s="238" t="s">
        <v>37</v>
      </c>
      <c r="H8" s="254" t="s">
        <v>50</v>
      </c>
      <c r="I8" s="157"/>
    </row>
    <row r="9" spans="1:9" ht="15.75" customHeight="1" thickTop="1" x14ac:dyDescent="0.25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 x14ac:dyDescent="0.25">
      <c r="A10" s="164" t="s">
        <v>38</v>
      </c>
      <c r="B10" s="165">
        <f>DATE(19,7,1)</f>
        <v>7122</v>
      </c>
      <c r="C10" s="226">
        <v>121214833.89</v>
      </c>
      <c r="D10" s="226">
        <v>12400602.17</v>
      </c>
      <c r="E10" s="226">
        <v>11548721.09</v>
      </c>
      <c r="F10" s="166">
        <f t="shared" ref="F10:F15" si="0">(+D10-E10)/E10</f>
        <v>7.3764105424421508E-2</v>
      </c>
      <c r="G10" s="241">
        <f t="shared" ref="G10:G15" si="1">D10/C10</f>
        <v>0.10230267841024551</v>
      </c>
      <c r="H10" s="242">
        <f t="shared" ref="H10:H15" si="2">1-G10</f>
        <v>0.89769732158975446</v>
      </c>
      <c r="I10" s="157"/>
    </row>
    <row r="11" spans="1:9" ht="15.75" x14ac:dyDescent="0.25">
      <c r="A11" s="164"/>
      <c r="B11" s="165">
        <f>DATE(19,8,1)</f>
        <v>7153</v>
      </c>
      <c r="C11" s="226">
        <v>127273364.16</v>
      </c>
      <c r="D11" s="226">
        <v>12656746.98</v>
      </c>
      <c r="E11" s="226">
        <v>12278666.34</v>
      </c>
      <c r="F11" s="166">
        <f t="shared" si="0"/>
        <v>3.0791669838631727E-2</v>
      </c>
      <c r="G11" s="241">
        <f t="shared" si="1"/>
        <v>9.9445371492567297E-2</v>
      </c>
      <c r="H11" s="242">
        <f t="shared" si="2"/>
        <v>0.90055462850743273</v>
      </c>
      <c r="I11" s="157"/>
    </row>
    <row r="12" spans="1:9" ht="15.75" x14ac:dyDescent="0.25">
      <c r="A12" s="164"/>
      <c r="B12" s="165">
        <f>DATE(19,9,1)</f>
        <v>7184</v>
      </c>
      <c r="C12" s="226">
        <v>113582337.68000001</v>
      </c>
      <c r="D12" s="226">
        <v>11070519.380000001</v>
      </c>
      <c r="E12" s="226">
        <v>11479851.300000001</v>
      </c>
      <c r="F12" s="166">
        <f t="shared" si="0"/>
        <v>-3.5656552450291749E-2</v>
      </c>
      <c r="G12" s="241">
        <f t="shared" si="1"/>
        <v>9.7466909082197364E-2</v>
      </c>
      <c r="H12" s="242">
        <f t="shared" si="2"/>
        <v>0.90253309091780265</v>
      </c>
      <c r="I12" s="157"/>
    </row>
    <row r="13" spans="1:9" ht="15.75" x14ac:dyDescent="0.25">
      <c r="A13" s="164"/>
      <c r="B13" s="165">
        <f>DATE(19,10,1)</f>
        <v>7214</v>
      </c>
      <c r="C13" s="226">
        <v>115818968.11</v>
      </c>
      <c r="D13" s="226">
        <v>11529928.41</v>
      </c>
      <c r="E13" s="226">
        <v>11766741.380000001</v>
      </c>
      <c r="F13" s="166">
        <f t="shared" si="0"/>
        <v>-2.0125620369502901E-2</v>
      </c>
      <c r="G13" s="241">
        <f t="shared" si="1"/>
        <v>9.9551296287231278E-2</v>
      </c>
      <c r="H13" s="242">
        <f t="shared" si="2"/>
        <v>0.90044870371276875</v>
      </c>
      <c r="I13" s="157"/>
    </row>
    <row r="14" spans="1:9" ht="15.75" x14ac:dyDescent="0.25">
      <c r="A14" s="164"/>
      <c r="B14" s="165">
        <f>DATE(19,11,1)</f>
        <v>7245</v>
      </c>
      <c r="C14" s="226">
        <v>121833977.98</v>
      </c>
      <c r="D14" s="226">
        <v>12272643.01</v>
      </c>
      <c r="E14" s="226">
        <v>11316404.939999999</v>
      </c>
      <c r="F14" s="166">
        <f t="shared" si="0"/>
        <v>8.4500163706584391E-2</v>
      </c>
      <c r="G14" s="241">
        <f t="shared" si="1"/>
        <v>0.10073251496404927</v>
      </c>
      <c r="H14" s="242">
        <f t="shared" si="2"/>
        <v>0.89926748503595078</v>
      </c>
      <c r="I14" s="157"/>
    </row>
    <row r="15" spans="1:9" ht="15.75" x14ac:dyDescent="0.25">
      <c r="A15" s="164"/>
      <c r="B15" s="165">
        <f>DATE(19,12,1)</f>
        <v>7275</v>
      </c>
      <c r="C15" s="226">
        <v>127073341.54000001</v>
      </c>
      <c r="D15" s="226">
        <v>12792439.390000001</v>
      </c>
      <c r="E15" s="226">
        <v>12753886.49</v>
      </c>
      <c r="F15" s="166">
        <f t="shared" si="0"/>
        <v>3.0228354337502317E-3</v>
      </c>
      <c r="G15" s="241">
        <f t="shared" si="1"/>
        <v>0.10066973320264196</v>
      </c>
      <c r="H15" s="242">
        <f t="shared" si="2"/>
        <v>0.89933026679735806</v>
      </c>
      <c r="I15" s="157"/>
    </row>
    <row r="16" spans="1:9" ht="15.75" thickBot="1" x14ac:dyDescent="0.25">
      <c r="A16" s="167"/>
      <c r="B16" s="168"/>
      <c r="C16" s="226"/>
      <c r="D16" s="226"/>
      <c r="E16" s="226"/>
      <c r="F16" s="166"/>
      <c r="G16" s="241"/>
      <c r="H16" s="242"/>
      <c r="I16" s="157"/>
    </row>
    <row r="17" spans="1:9" ht="17.25" thickTop="1" thickBot="1" x14ac:dyDescent="0.3">
      <c r="A17" s="169" t="s">
        <v>14</v>
      </c>
      <c r="B17" s="155"/>
      <c r="C17" s="223">
        <f>SUM(C10:C16)</f>
        <v>726796823.36000001</v>
      </c>
      <c r="D17" s="223">
        <f>SUM(D10:D16)</f>
        <v>72722879.340000004</v>
      </c>
      <c r="E17" s="223">
        <f>SUM(E10:E16)</f>
        <v>71144271.540000007</v>
      </c>
      <c r="F17" s="170">
        <f>(+D17-E17)/E17</f>
        <v>2.2188825127156496E-2</v>
      </c>
      <c r="G17" s="236">
        <f>D17/C17</f>
        <v>0.10005943477270622</v>
      </c>
      <c r="H17" s="237">
        <f>1-G17</f>
        <v>0.89994056522729382</v>
      </c>
      <c r="I17" s="157"/>
    </row>
    <row r="18" spans="1:9" ht="15.75" thickTop="1" x14ac:dyDescent="0.2">
      <c r="A18" s="171"/>
      <c r="B18" s="172"/>
      <c r="C18" s="227"/>
      <c r="D18" s="227"/>
      <c r="E18" s="227"/>
      <c r="F18" s="173"/>
      <c r="G18" s="243"/>
      <c r="H18" s="244"/>
      <c r="I18" s="157"/>
    </row>
    <row r="19" spans="1:9" ht="15.75" x14ac:dyDescent="0.25">
      <c r="A19" s="19" t="s">
        <v>51</v>
      </c>
      <c r="B19" s="165">
        <f>DATE(19,7,1)</f>
        <v>7122</v>
      </c>
      <c r="C19" s="226">
        <v>61310653.93</v>
      </c>
      <c r="D19" s="226">
        <v>6237251.8300000001</v>
      </c>
      <c r="E19" s="226">
        <v>6830347.7599999998</v>
      </c>
      <c r="F19" s="166">
        <f t="shared" ref="F19:F24" si="3">(+D19-E19)/E19</f>
        <v>-8.6832464588889352E-2</v>
      </c>
      <c r="G19" s="241">
        <f t="shared" ref="G19:G24" si="4">D19/C19</f>
        <v>0.10173194102808357</v>
      </c>
      <c r="H19" s="242">
        <f t="shared" ref="H19:H24" si="5">1-G19</f>
        <v>0.89826805897191642</v>
      </c>
      <c r="I19" s="157"/>
    </row>
    <row r="20" spans="1:9" ht="15.75" x14ac:dyDescent="0.25">
      <c r="A20" s="19"/>
      <c r="B20" s="165">
        <f>DATE(19,8,1)</f>
        <v>7153</v>
      </c>
      <c r="C20" s="226">
        <v>61567378.380000003</v>
      </c>
      <c r="D20" s="226">
        <v>6248302.3499999996</v>
      </c>
      <c r="E20" s="226">
        <v>6442436.2599999998</v>
      </c>
      <c r="F20" s="166">
        <f t="shared" si="3"/>
        <v>-3.0133617495813635E-2</v>
      </c>
      <c r="G20" s="241">
        <f t="shared" si="4"/>
        <v>0.10148722447518967</v>
      </c>
      <c r="H20" s="242">
        <f t="shared" si="5"/>
        <v>0.89851277552481035</v>
      </c>
      <c r="I20" s="157"/>
    </row>
    <row r="21" spans="1:9" ht="15.75" x14ac:dyDescent="0.25">
      <c r="A21" s="19"/>
      <c r="B21" s="165">
        <f>DATE(19,9,1)</f>
        <v>7184</v>
      </c>
      <c r="C21" s="226">
        <v>56369402.539999999</v>
      </c>
      <c r="D21" s="226">
        <v>5841517.5999999996</v>
      </c>
      <c r="E21" s="226">
        <v>6263081.7199999997</v>
      </c>
      <c r="F21" s="166">
        <f t="shared" si="3"/>
        <v>-6.7309375615172418E-2</v>
      </c>
      <c r="G21" s="241">
        <f t="shared" si="4"/>
        <v>0.10362922679293665</v>
      </c>
      <c r="H21" s="242">
        <f t="shared" si="5"/>
        <v>0.89637077320706338</v>
      </c>
      <c r="I21" s="157"/>
    </row>
    <row r="22" spans="1:9" ht="15.75" x14ac:dyDescent="0.25">
      <c r="A22" s="19"/>
      <c r="B22" s="165">
        <f>DATE(19,10,1)</f>
        <v>7214</v>
      </c>
      <c r="C22" s="226">
        <v>54504425.119999997</v>
      </c>
      <c r="D22" s="226">
        <v>5457854.2400000002</v>
      </c>
      <c r="E22" s="226">
        <v>5583864.3700000001</v>
      </c>
      <c r="F22" s="166">
        <f t="shared" si="3"/>
        <v>-2.2566832152479357E-2</v>
      </c>
      <c r="G22" s="241">
        <f t="shared" si="4"/>
        <v>0.10013598396797475</v>
      </c>
      <c r="H22" s="242">
        <f t="shared" si="5"/>
        <v>0.89986401603202526</v>
      </c>
      <c r="I22" s="157"/>
    </row>
    <row r="23" spans="1:9" ht="15.75" x14ac:dyDescent="0.25">
      <c r="A23" s="19"/>
      <c r="B23" s="165">
        <f>DATE(19,11,1)</f>
        <v>7245</v>
      </c>
      <c r="C23" s="226">
        <v>56168674.75</v>
      </c>
      <c r="D23" s="226">
        <v>5836234.6699999999</v>
      </c>
      <c r="E23" s="226">
        <v>5280741.6900000004</v>
      </c>
      <c r="F23" s="166">
        <f t="shared" si="3"/>
        <v>0.10519222726836303</v>
      </c>
      <c r="G23" s="241">
        <f t="shared" si="4"/>
        <v>0.1039055077581299</v>
      </c>
      <c r="H23" s="242">
        <f t="shared" si="5"/>
        <v>0.8960944922418701</v>
      </c>
      <c r="I23" s="157"/>
    </row>
    <row r="24" spans="1:9" ht="15.75" x14ac:dyDescent="0.25">
      <c r="A24" s="19"/>
      <c r="B24" s="165">
        <f>DATE(19,12,1)</f>
        <v>7275</v>
      </c>
      <c r="C24" s="226">
        <v>56403736.68</v>
      </c>
      <c r="D24" s="226">
        <v>5543658.9900000002</v>
      </c>
      <c r="E24" s="226">
        <v>6010123.4199999999</v>
      </c>
      <c r="F24" s="166">
        <f t="shared" si="3"/>
        <v>-7.761311996484753E-2</v>
      </c>
      <c r="G24" s="241">
        <f t="shared" si="4"/>
        <v>9.828531434807769E-2</v>
      </c>
      <c r="H24" s="242">
        <f t="shared" si="5"/>
        <v>0.90171468565192225</v>
      </c>
      <c r="I24" s="157"/>
    </row>
    <row r="25" spans="1:9" ht="15.75" thickBot="1" x14ac:dyDescent="0.25">
      <c r="A25" s="167"/>
      <c r="B25" s="165"/>
      <c r="C25" s="226"/>
      <c r="D25" s="226"/>
      <c r="E25" s="226"/>
      <c r="F25" s="166"/>
      <c r="G25" s="241"/>
      <c r="H25" s="242"/>
      <c r="I25" s="157"/>
    </row>
    <row r="26" spans="1:9" ht="17.25" thickTop="1" thickBot="1" x14ac:dyDescent="0.3">
      <c r="A26" s="169" t="s">
        <v>14</v>
      </c>
      <c r="B26" s="155"/>
      <c r="C26" s="223">
        <f>SUM(C19:C25)</f>
        <v>346324271.40000004</v>
      </c>
      <c r="D26" s="223">
        <f>SUM(D19:D25)</f>
        <v>35164819.680000007</v>
      </c>
      <c r="E26" s="223">
        <f>SUM(E19:E25)</f>
        <v>36410595.219999999</v>
      </c>
      <c r="F26" s="170">
        <f>(+D26-E26)/E26</f>
        <v>-3.4214643635259737E-2</v>
      </c>
      <c r="G26" s="236">
        <f>D26/C26</f>
        <v>0.10153726603638789</v>
      </c>
      <c r="H26" s="237">
        <f>1-G26</f>
        <v>0.89846273396361209</v>
      </c>
      <c r="I26" s="157"/>
    </row>
    <row r="27" spans="1:9" ht="15.75" thickTop="1" x14ac:dyDescent="0.2">
      <c r="A27" s="171"/>
      <c r="B27" s="172"/>
      <c r="C27" s="227"/>
      <c r="D27" s="227"/>
      <c r="E27" s="227"/>
      <c r="F27" s="173"/>
      <c r="G27" s="243"/>
      <c r="H27" s="244"/>
      <c r="I27" s="157"/>
    </row>
    <row r="28" spans="1:9" ht="15.75" x14ac:dyDescent="0.25">
      <c r="A28" s="19" t="s">
        <v>60</v>
      </c>
      <c r="B28" s="165">
        <f>DATE(19,7,1)</f>
        <v>7122</v>
      </c>
      <c r="C28" s="226">
        <v>27697147.809999999</v>
      </c>
      <c r="D28" s="226">
        <v>2967073.27</v>
      </c>
      <c r="E28" s="226">
        <v>2891699.85</v>
      </c>
      <c r="F28" s="166">
        <f t="shared" ref="F28:F33" si="6">(+D28-E28)/E28</f>
        <v>2.6065436909020804E-2</v>
      </c>
      <c r="G28" s="241">
        <f t="shared" ref="G28:G33" si="7">D28/C28</f>
        <v>0.10712558890012293</v>
      </c>
      <c r="H28" s="242">
        <f t="shared" ref="H28:H33" si="8">1-G28</f>
        <v>0.89287441109987709</v>
      </c>
      <c r="I28" s="157"/>
    </row>
    <row r="29" spans="1:9" ht="15.75" x14ac:dyDescent="0.25">
      <c r="A29" s="19"/>
      <c r="B29" s="165">
        <f>DATE(19,8,1)</f>
        <v>7153</v>
      </c>
      <c r="C29" s="226">
        <v>27431300.710000001</v>
      </c>
      <c r="D29" s="226">
        <v>2916117.84</v>
      </c>
      <c r="E29" s="226">
        <v>2785511.76</v>
      </c>
      <c r="F29" s="166">
        <f t="shared" si="6"/>
        <v>4.6887642649909363E-2</v>
      </c>
      <c r="G29" s="241">
        <f t="shared" si="7"/>
        <v>0.10630621824421682</v>
      </c>
      <c r="H29" s="242">
        <f t="shared" si="8"/>
        <v>0.89369378175578318</v>
      </c>
      <c r="I29" s="157"/>
    </row>
    <row r="30" spans="1:9" ht="15.75" x14ac:dyDescent="0.25">
      <c r="A30" s="19"/>
      <c r="B30" s="165">
        <f>DATE(19,9,1)</f>
        <v>7184</v>
      </c>
      <c r="C30" s="226">
        <v>27153283.5</v>
      </c>
      <c r="D30" s="226">
        <v>2810959.49</v>
      </c>
      <c r="E30" s="226">
        <v>2777720.64</v>
      </c>
      <c r="F30" s="166">
        <f t="shared" si="6"/>
        <v>1.1966232140608673E-2</v>
      </c>
      <c r="G30" s="241">
        <f t="shared" si="7"/>
        <v>0.10352189966270563</v>
      </c>
      <c r="H30" s="242">
        <f t="shared" si="8"/>
        <v>0.89647810033729436</v>
      </c>
      <c r="I30" s="157"/>
    </row>
    <row r="31" spans="1:9" ht="15.75" x14ac:dyDescent="0.25">
      <c r="A31" s="19"/>
      <c r="B31" s="165">
        <f>DATE(19,10,1)</f>
        <v>7214</v>
      </c>
      <c r="C31" s="226">
        <v>25839439.73</v>
      </c>
      <c r="D31" s="226">
        <v>2793135.19</v>
      </c>
      <c r="E31" s="226">
        <v>2633608.27</v>
      </c>
      <c r="F31" s="166">
        <f t="shared" si="6"/>
        <v>6.0573518779237404E-2</v>
      </c>
      <c r="G31" s="241">
        <f t="shared" si="7"/>
        <v>0.10809581086841932</v>
      </c>
      <c r="H31" s="242">
        <f t="shared" si="8"/>
        <v>0.89190418913158065</v>
      </c>
      <c r="I31" s="157"/>
    </row>
    <row r="32" spans="1:9" ht="15.75" x14ac:dyDescent="0.25">
      <c r="A32" s="19"/>
      <c r="B32" s="165">
        <f>DATE(19,11,1)</f>
        <v>7245</v>
      </c>
      <c r="C32" s="226">
        <v>26865495.899999999</v>
      </c>
      <c r="D32" s="226">
        <v>2801584.25</v>
      </c>
      <c r="E32" s="226">
        <v>2551021.5099999998</v>
      </c>
      <c r="F32" s="166">
        <f t="shared" si="6"/>
        <v>9.8220551656579419E-2</v>
      </c>
      <c r="G32" s="241">
        <f t="shared" si="7"/>
        <v>0.10428187368765451</v>
      </c>
      <c r="H32" s="242">
        <f t="shared" si="8"/>
        <v>0.89571812631234549</v>
      </c>
      <c r="I32" s="157"/>
    </row>
    <row r="33" spans="1:9" ht="15.75" x14ac:dyDescent="0.25">
      <c r="A33" s="19"/>
      <c r="B33" s="165">
        <f>DATE(19,12,1)</f>
        <v>7275</v>
      </c>
      <c r="C33" s="226">
        <v>29175238.5</v>
      </c>
      <c r="D33" s="226">
        <v>3071223.19</v>
      </c>
      <c r="E33" s="226">
        <v>2786245.45</v>
      </c>
      <c r="F33" s="166">
        <f t="shared" si="6"/>
        <v>0.102280199327019</v>
      </c>
      <c r="G33" s="241">
        <f t="shared" si="7"/>
        <v>0.10526814339495459</v>
      </c>
      <c r="H33" s="242">
        <f t="shared" si="8"/>
        <v>0.89473185660504539</v>
      </c>
      <c r="I33" s="157"/>
    </row>
    <row r="34" spans="1:9" ht="15.75" thickBot="1" x14ac:dyDescent="0.25">
      <c r="A34" s="167"/>
      <c r="B34" s="165"/>
      <c r="C34" s="226"/>
      <c r="D34" s="226"/>
      <c r="E34" s="226"/>
      <c r="F34" s="166"/>
      <c r="G34" s="241"/>
      <c r="H34" s="242"/>
      <c r="I34" s="157"/>
    </row>
    <row r="35" spans="1:9" ht="17.25" thickTop="1" thickBot="1" x14ac:dyDescent="0.3">
      <c r="A35" s="174" t="s">
        <v>14</v>
      </c>
      <c r="B35" s="175"/>
      <c r="C35" s="228">
        <f>SUM(C28:C34)</f>
        <v>164161906.15000001</v>
      </c>
      <c r="D35" s="228">
        <f>SUM(D28:D34)</f>
        <v>17360093.23</v>
      </c>
      <c r="E35" s="228">
        <f>SUM(E28:E34)</f>
        <v>16425807.48</v>
      </c>
      <c r="F35" s="176">
        <f>(+D35-E35)/E35</f>
        <v>5.68791367570564E-2</v>
      </c>
      <c r="G35" s="245">
        <f>D35/C35</f>
        <v>0.10574982733288639</v>
      </c>
      <c r="H35" s="246">
        <f>1-G35</f>
        <v>0.8942501726671136</v>
      </c>
      <c r="I35" s="157"/>
    </row>
    <row r="36" spans="1:9" ht="15.75" thickTop="1" x14ac:dyDescent="0.2">
      <c r="A36" s="167"/>
      <c r="B36" s="168"/>
      <c r="C36" s="226"/>
      <c r="D36" s="226"/>
      <c r="E36" s="226"/>
      <c r="F36" s="166"/>
      <c r="G36" s="241"/>
      <c r="H36" s="242"/>
      <c r="I36" s="157"/>
    </row>
    <row r="37" spans="1:9" ht="15.75" x14ac:dyDescent="0.25">
      <c r="A37" s="177" t="s">
        <v>65</v>
      </c>
      <c r="B37" s="165">
        <f>DATE(19,7,1)</f>
        <v>7122</v>
      </c>
      <c r="C37" s="226">
        <v>184825387.59999999</v>
      </c>
      <c r="D37" s="226">
        <v>17279710.350000001</v>
      </c>
      <c r="E37" s="226">
        <v>17539246.18</v>
      </c>
      <c r="F37" s="166">
        <f t="shared" ref="F37:F42" si="9">(+D37-E37)/E37</f>
        <v>-1.4797433557660356E-2</v>
      </c>
      <c r="G37" s="241">
        <f t="shared" ref="G37:G42" si="10">D37/C37</f>
        <v>9.3492082307419996E-2</v>
      </c>
      <c r="H37" s="242">
        <f t="shared" ref="H37:H42" si="11">1-G37</f>
        <v>0.90650791769257999</v>
      </c>
      <c r="I37" s="157"/>
    </row>
    <row r="38" spans="1:9" ht="15.75" x14ac:dyDescent="0.25">
      <c r="A38" s="177"/>
      <c r="B38" s="165">
        <f>DATE(19,8,1)</f>
        <v>7153</v>
      </c>
      <c r="C38" s="226">
        <v>191102191.72</v>
      </c>
      <c r="D38" s="226">
        <v>17467037.460000001</v>
      </c>
      <c r="E38" s="226">
        <v>17390823.879999999</v>
      </c>
      <c r="F38" s="166">
        <f t="shared" si="9"/>
        <v>4.3824019221797754E-3</v>
      </c>
      <c r="G38" s="241">
        <f t="shared" si="10"/>
        <v>9.1401554858106679E-2</v>
      </c>
      <c r="H38" s="242">
        <f t="shared" si="11"/>
        <v>0.90859844514189336</v>
      </c>
      <c r="I38" s="157"/>
    </row>
    <row r="39" spans="1:9" ht="15.75" x14ac:dyDescent="0.25">
      <c r="A39" s="177"/>
      <c r="B39" s="165">
        <f>DATE(19,9,1)</f>
        <v>7184</v>
      </c>
      <c r="C39" s="226">
        <v>174203675.16999999</v>
      </c>
      <c r="D39" s="226">
        <v>16156127.949999999</v>
      </c>
      <c r="E39" s="226">
        <v>16350217.75</v>
      </c>
      <c r="F39" s="166">
        <f t="shared" si="9"/>
        <v>-1.1870777684291131E-2</v>
      </c>
      <c r="G39" s="241">
        <f t="shared" si="10"/>
        <v>9.2742750313583991E-2</v>
      </c>
      <c r="H39" s="242">
        <f t="shared" si="11"/>
        <v>0.90725724968641597</v>
      </c>
      <c r="I39" s="157"/>
    </row>
    <row r="40" spans="1:9" ht="15.75" x14ac:dyDescent="0.25">
      <c r="A40" s="177"/>
      <c r="B40" s="165">
        <f>DATE(19,10,1)</f>
        <v>7214</v>
      </c>
      <c r="C40" s="226">
        <v>179895954.49000001</v>
      </c>
      <c r="D40" s="226">
        <v>15798088.050000001</v>
      </c>
      <c r="E40" s="226">
        <v>15575678.630000001</v>
      </c>
      <c r="F40" s="166">
        <f t="shared" si="9"/>
        <v>1.4279276382322219E-2</v>
      </c>
      <c r="G40" s="241">
        <f t="shared" si="10"/>
        <v>8.7817917277723881E-2</v>
      </c>
      <c r="H40" s="242">
        <f t="shared" si="11"/>
        <v>0.91218208272227608</v>
      </c>
      <c r="I40" s="157"/>
    </row>
    <row r="41" spans="1:9" ht="15.75" x14ac:dyDescent="0.25">
      <c r="A41" s="177"/>
      <c r="B41" s="165">
        <f>DATE(19,11,1)</f>
        <v>7245</v>
      </c>
      <c r="C41" s="226">
        <v>183677518.47999999</v>
      </c>
      <c r="D41" s="226">
        <v>16997575.629999999</v>
      </c>
      <c r="E41" s="226">
        <v>14866628.689999999</v>
      </c>
      <c r="F41" s="166">
        <f t="shared" si="9"/>
        <v>0.1433376042702523</v>
      </c>
      <c r="G41" s="241">
        <f t="shared" si="10"/>
        <v>9.2540316151161456E-2</v>
      </c>
      <c r="H41" s="242">
        <f t="shared" si="11"/>
        <v>0.90745968384883857</v>
      </c>
      <c r="I41" s="157"/>
    </row>
    <row r="42" spans="1:9" ht="15.75" x14ac:dyDescent="0.25">
      <c r="A42" s="177"/>
      <c r="B42" s="165">
        <f>DATE(19,12,1)</f>
        <v>7275</v>
      </c>
      <c r="C42" s="226">
        <v>181160265.94999999</v>
      </c>
      <c r="D42" s="226">
        <v>16683119.9</v>
      </c>
      <c r="E42" s="226">
        <v>16436113.140000001</v>
      </c>
      <c r="F42" s="166">
        <f t="shared" si="9"/>
        <v>1.5028295187313353E-2</v>
      </c>
      <c r="G42" s="241">
        <f t="shared" si="10"/>
        <v>9.2090391965998331E-2</v>
      </c>
      <c r="H42" s="242">
        <f t="shared" si="11"/>
        <v>0.90790960803400167</v>
      </c>
      <c r="I42" s="157"/>
    </row>
    <row r="43" spans="1:9" ht="15.75" thickBot="1" x14ac:dyDescent="0.25">
      <c r="A43" s="167"/>
      <c r="B43" s="168"/>
      <c r="C43" s="226"/>
      <c r="D43" s="226"/>
      <c r="E43" s="226"/>
      <c r="F43" s="166"/>
      <c r="G43" s="241"/>
      <c r="H43" s="242"/>
      <c r="I43" s="157"/>
    </row>
    <row r="44" spans="1:9" ht="17.25" thickTop="1" thickBot="1" x14ac:dyDescent="0.3">
      <c r="A44" s="174" t="s">
        <v>14</v>
      </c>
      <c r="B44" s="178"/>
      <c r="C44" s="228">
        <f>SUM(C37:C43)</f>
        <v>1094864993.4100001</v>
      </c>
      <c r="D44" s="228">
        <f>SUM(D37:D43)</f>
        <v>100381659.34</v>
      </c>
      <c r="E44" s="228">
        <f>SUM(E37:E43)</f>
        <v>98158708.270000011</v>
      </c>
      <c r="F44" s="176">
        <f>(+D44-E44)/E44</f>
        <v>2.2646498809717808E-2</v>
      </c>
      <c r="G44" s="245">
        <f>D44/C44</f>
        <v>9.1684052320786497E-2</v>
      </c>
      <c r="H44" s="246">
        <f>1-G44</f>
        <v>0.90831594767921353</v>
      </c>
      <c r="I44" s="157"/>
    </row>
    <row r="45" spans="1:9" ht="15.75" thickTop="1" x14ac:dyDescent="0.2">
      <c r="A45" s="167"/>
      <c r="B45" s="168"/>
      <c r="C45" s="226"/>
      <c r="D45" s="226"/>
      <c r="E45" s="226"/>
      <c r="F45" s="166"/>
      <c r="G45" s="241"/>
      <c r="H45" s="242"/>
      <c r="I45" s="157"/>
    </row>
    <row r="46" spans="1:9" ht="15.75" x14ac:dyDescent="0.25">
      <c r="A46" s="164" t="s">
        <v>16</v>
      </c>
      <c r="B46" s="165">
        <f>DATE(19,7,1)</f>
        <v>7122</v>
      </c>
      <c r="C46" s="226">
        <v>115325495.95</v>
      </c>
      <c r="D46" s="226">
        <v>11411946.24</v>
      </c>
      <c r="E46" s="226">
        <v>11381105.73</v>
      </c>
      <c r="F46" s="166">
        <f t="shared" ref="F46:F51" si="12">(+D46-E46)/E46</f>
        <v>2.7097990943626684E-3</v>
      </c>
      <c r="G46" s="241">
        <f t="shared" ref="G46:G51" si="13">D46/C46</f>
        <v>9.8954235106413171E-2</v>
      </c>
      <c r="H46" s="242">
        <f t="shared" ref="H46:H51" si="14">1-G46</f>
        <v>0.90104576489358679</v>
      </c>
      <c r="I46" s="157"/>
    </row>
    <row r="47" spans="1:9" ht="15.75" x14ac:dyDescent="0.25">
      <c r="A47" s="164"/>
      <c r="B47" s="165">
        <f>DATE(19,8,1)</f>
        <v>7153</v>
      </c>
      <c r="C47" s="226">
        <v>122607190.3</v>
      </c>
      <c r="D47" s="226">
        <v>12220877.76</v>
      </c>
      <c r="E47" s="226">
        <v>11018606.25</v>
      </c>
      <c r="F47" s="166">
        <f t="shared" si="12"/>
        <v>0.10911284809728089</v>
      </c>
      <c r="G47" s="241">
        <f t="shared" si="13"/>
        <v>9.967504948198784E-2</v>
      </c>
      <c r="H47" s="242">
        <f t="shared" si="14"/>
        <v>0.9003249505180122</v>
      </c>
      <c r="I47" s="157"/>
    </row>
    <row r="48" spans="1:9" ht="15.75" x14ac:dyDescent="0.25">
      <c r="A48" s="164"/>
      <c r="B48" s="165">
        <f>DATE(19,9,1)</f>
        <v>7184</v>
      </c>
      <c r="C48" s="226">
        <v>115423599.31</v>
      </c>
      <c r="D48" s="226">
        <v>11441576.98</v>
      </c>
      <c r="E48" s="226">
        <v>11865007.26</v>
      </c>
      <c r="F48" s="166">
        <f t="shared" si="12"/>
        <v>-3.5687317396550781E-2</v>
      </c>
      <c r="G48" s="241">
        <f t="shared" si="13"/>
        <v>9.9126842763503489E-2</v>
      </c>
      <c r="H48" s="242">
        <f t="shared" si="14"/>
        <v>0.90087315723649652</v>
      </c>
      <c r="I48" s="157"/>
    </row>
    <row r="49" spans="1:9" ht="15.75" x14ac:dyDescent="0.25">
      <c r="A49" s="164"/>
      <c r="B49" s="165">
        <f>DATE(19,10,1)</f>
        <v>7214</v>
      </c>
      <c r="C49" s="226">
        <v>115210524.88</v>
      </c>
      <c r="D49" s="226">
        <v>11451574.32</v>
      </c>
      <c r="E49" s="226">
        <v>11049162.109999999</v>
      </c>
      <c r="F49" s="166">
        <f t="shared" si="12"/>
        <v>3.6420156206758821E-2</v>
      </c>
      <c r="G49" s="241">
        <f t="shared" si="13"/>
        <v>9.9396945998880173E-2</v>
      </c>
      <c r="H49" s="242">
        <f t="shared" si="14"/>
        <v>0.90060305400111984</v>
      </c>
      <c r="I49" s="157"/>
    </row>
    <row r="50" spans="1:9" ht="15.75" x14ac:dyDescent="0.25">
      <c r="A50" s="164"/>
      <c r="B50" s="165">
        <f>DATE(19,11,1)</f>
        <v>7245</v>
      </c>
      <c r="C50" s="226">
        <v>117396631.88</v>
      </c>
      <c r="D50" s="226">
        <v>11824386.49</v>
      </c>
      <c r="E50" s="226">
        <v>10320144.720000001</v>
      </c>
      <c r="F50" s="166">
        <f t="shared" si="12"/>
        <v>0.1457578174349477</v>
      </c>
      <c r="G50" s="241">
        <f t="shared" si="13"/>
        <v>0.10072168426506992</v>
      </c>
      <c r="H50" s="242">
        <f t="shared" si="14"/>
        <v>0.89927831573493011</v>
      </c>
      <c r="I50" s="157"/>
    </row>
    <row r="51" spans="1:9" ht="15.75" x14ac:dyDescent="0.25">
      <c r="A51" s="164"/>
      <c r="B51" s="165">
        <f>DATE(19,12,1)</f>
        <v>7275</v>
      </c>
      <c r="C51" s="226">
        <v>119668211.7</v>
      </c>
      <c r="D51" s="226">
        <v>12045926.43</v>
      </c>
      <c r="E51" s="226">
        <v>11723908.33</v>
      </c>
      <c r="F51" s="166">
        <f t="shared" si="12"/>
        <v>2.7466787604948768E-2</v>
      </c>
      <c r="G51" s="241">
        <f t="shared" si="13"/>
        <v>0.10066103820618888</v>
      </c>
      <c r="H51" s="242">
        <f t="shared" si="14"/>
        <v>0.89933896179381112</v>
      </c>
      <c r="I51" s="157"/>
    </row>
    <row r="52" spans="1:9" ht="15.75" thickBot="1" x14ac:dyDescent="0.25">
      <c r="A52" s="167"/>
      <c r="B52" s="165"/>
      <c r="C52" s="226"/>
      <c r="D52" s="226"/>
      <c r="E52" s="226"/>
      <c r="F52" s="166"/>
      <c r="G52" s="241"/>
      <c r="H52" s="242"/>
      <c r="I52" s="157"/>
    </row>
    <row r="53" spans="1:9" ht="17.25" thickTop="1" thickBot="1" x14ac:dyDescent="0.3">
      <c r="A53" s="174" t="s">
        <v>14</v>
      </c>
      <c r="B53" s="175"/>
      <c r="C53" s="228">
        <f>SUM(C46:C52)</f>
        <v>705631654.01999998</v>
      </c>
      <c r="D53" s="230">
        <f>SUM(D46:D52)</f>
        <v>70396288.219999999</v>
      </c>
      <c r="E53" s="271">
        <f>SUM(E46:E52)</f>
        <v>67357934.400000006</v>
      </c>
      <c r="F53" s="272">
        <f>(+D53-E53)/E53</f>
        <v>4.5107586018849066E-2</v>
      </c>
      <c r="G53" s="249">
        <f>D53/C53</f>
        <v>9.9763506666616653E-2</v>
      </c>
      <c r="H53" s="270">
        <f>1-G53</f>
        <v>0.90023649333338329</v>
      </c>
      <c r="I53" s="157"/>
    </row>
    <row r="54" spans="1:9" ht="15.75" thickTop="1" x14ac:dyDescent="0.2">
      <c r="A54" s="167"/>
      <c r="B54" s="168"/>
      <c r="C54" s="226"/>
      <c r="D54" s="226"/>
      <c r="E54" s="226"/>
      <c r="F54" s="166"/>
      <c r="G54" s="241"/>
      <c r="H54" s="242"/>
      <c r="I54" s="157"/>
    </row>
    <row r="55" spans="1:9" ht="15.75" x14ac:dyDescent="0.25">
      <c r="A55" s="164" t="s">
        <v>66</v>
      </c>
      <c r="B55" s="165">
        <f>DATE(19,7,1)</f>
        <v>7122</v>
      </c>
      <c r="C55" s="226">
        <v>39783172.600000001</v>
      </c>
      <c r="D55" s="226">
        <v>3906046.69</v>
      </c>
      <c r="E55" s="226">
        <v>4536017.05</v>
      </c>
      <c r="F55" s="166">
        <f t="shared" ref="F55:F60" si="15">(+D55-E55)/E55</f>
        <v>-0.13888183246577521</v>
      </c>
      <c r="G55" s="241">
        <f t="shared" ref="G55:G60" si="16">D55/C55</f>
        <v>9.8183388471134642E-2</v>
      </c>
      <c r="H55" s="242">
        <f t="shared" ref="H55:H60" si="17">1-G55</f>
        <v>0.90181661152886539</v>
      </c>
      <c r="I55" s="157"/>
    </row>
    <row r="56" spans="1:9" ht="15.75" x14ac:dyDescent="0.25">
      <c r="A56" s="164"/>
      <c r="B56" s="165">
        <f>DATE(19,8,1)</f>
        <v>7153</v>
      </c>
      <c r="C56" s="226">
        <v>43743175.450000003</v>
      </c>
      <c r="D56" s="226">
        <v>4670857.45</v>
      </c>
      <c r="E56" s="226">
        <v>4611969.17</v>
      </c>
      <c r="F56" s="166">
        <f t="shared" si="15"/>
        <v>1.2768576247876405E-2</v>
      </c>
      <c r="G56" s="241">
        <f t="shared" si="16"/>
        <v>0.1067791124432417</v>
      </c>
      <c r="H56" s="242">
        <f t="shared" si="17"/>
        <v>0.89322088755675833</v>
      </c>
      <c r="I56" s="157"/>
    </row>
    <row r="57" spans="1:9" ht="15.75" x14ac:dyDescent="0.25">
      <c r="A57" s="164"/>
      <c r="B57" s="165">
        <f>DATE(19,9,1)</f>
        <v>7184</v>
      </c>
      <c r="C57" s="226">
        <v>42075238.560000002</v>
      </c>
      <c r="D57" s="226">
        <v>4421418.32</v>
      </c>
      <c r="E57" s="226">
        <v>4472303.22</v>
      </c>
      <c r="F57" s="166">
        <f t="shared" si="15"/>
        <v>-1.1377783995602929E-2</v>
      </c>
      <c r="G57" s="241">
        <f t="shared" si="16"/>
        <v>0.10508361856807973</v>
      </c>
      <c r="H57" s="242">
        <f t="shared" si="17"/>
        <v>0.89491638143192032</v>
      </c>
      <c r="I57" s="157"/>
    </row>
    <row r="58" spans="1:9" ht="15.75" x14ac:dyDescent="0.25">
      <c r="A58" s="164"/>
      <c r="B58" s="165">
        <f>DATE(19,10,1)</f>
        <v>7214</v>
      </c>
      <c r="C58" s="226">
        <v>41772739.68</v>
      </c>
      <c r="D58" s="226">
        <v>4469558.96</v>
      </c>
      <c r="E58" s="226">
        <v>4257625.9400000004</v>
      </c>
      <c r="F58" s="166">
        <f t="shared" si="15"/>
        <v>4.9777275642960674E-2</v>
      </c>
      <c r="G58" s="241">
        <f t="shared" si="16"/>
        <v>0.10699702711000161</v>
      </c>
      <c r="H58" s="242">
        <f t="shared" si="17"/>
        <v>0.89300297288999841</v>
      </c>
      <c r="I58" s="157"/>
    </row>
    <row r="59" spans="1:9" ht="15.75" x14ac:dyDescent="0.25">
      <c r="A59" s="164"/>
      <c r="B59" s="165">
        <f>DATE(19,11,1)</f>
        <v>7245</v>
      </c>
      <c r="C59" s="226">
        <v>42815164.240000002</v>
      </c>
      <c r="D59" s="226">
        <v>4362721.83</v>
      </c>
      <c r="E59" s="226">
        <v>4366684.07</v>
      </c>
      <c r="F59" s="166">
        <f t="shared" si="15"/>
        <v>-9.0737958974902971E-4</v>
      </c>
      <c r="G59" s="241">
        <f t="shared" si="16"/>
        <v>0.10189665057793085</v>
      </c>
      <c r="H59" s="242">
        <f t="shared" si="17"/>
        <v>0.89810334942206915</v>
      </c>
      <c r="I59" s="157"/>
    </row>
    <row r="60" spans="1:9" ht="15.75" x14ac:dyDescent="0.25">
      <c r="A60" s="164"/>
      <c r="B60" s="165">
        <f>DATE(19,12,1)</f>
        <v>7275</v>
      </c>
      <c r="C60" s="226">
        <v>44549739.780000001</v>
      </c>
      <c r="D60" s="226">
        <v>4542091.8099999996</v>
      </c>
      <c r="E60" s="226">
        <v>4828790.12</v>
      </c>
      <c r="F60" s="166">
        <f t="shared" si="15"/>
        <v>-5.9372700588610487E-2</v>
      </c>
      <c r="G60" s="241">
        <f t="shared" si="16"/>
        <v>0.10195551831346746</v>
      </c>
      <c r="H60" s="242">
        <f t="shared" si="17"/>
        <v>0.8980444816865325</v>
      </c>
      <c r="I60" s="157"/>
    </row>
    <row r="61" spans="1:9" ht="15.75" thickBot="1" x14ac:dyDescent="0.25">
      <c r="A61" s="167"/>
      <c r="B61" s="165"/>
      <c r="C61" s="226"/>
      <c r="D61" s="226"/>
      <c r="E61" s="226"/>
      <c r="F61" s="166"/>
      <c r="G61" s="241"/>
      <c r="H61" s="242"/>
      <c r="I61" s="157"/>
    </row>
    <row r="62" spans="1:9" ht="17.25" thickTop="1" thickBot="1" x14ac:dyDescent="0.3">
      <c r="A62" s="174" t="s">
        <v>14</v>
      </c>
      <c r="B62" s="175"/>
      <c r="C62" s="228">
        <f>SUM(C55:C61)</f>
        <v>254739230.31000003</v>
      </c>
      <c r="D62" s="230">
        <f>SUM(D55:D61)</f>
        <v>26372695.059999999</v>
      </c>
      <c r="E62" s="271">
        <f>SUM(E55:E61)</f>
        <v>27073389.57</v>
      </c>
      <c r="F62" s="272">
        <f>(+D62-E62)/E62</f>
        <v>-2.5881299723786364E-2</v>
      </c>
      <c r="G62" s="249">
        <f>D62/C62</f>
        <v>0.10352820422636219</v>
      </c>
      <c r="H62" s="270">
        <f>1-G62</f>
        <v>0.89647179577363778</v>
      </c>
      <c r="I62" s="157"/>
    </row>
    <row r="63" spans="1:9" ht="15.75" thickTop="1" x14ac:dyDescent="0.2">
      <c r="A63" s="167"/>
      <c r="B63" s="168"/>
      <c r="C63" s="226"/>
      <c r="D63" s="226"/>
      <c r="E63" s="226"/>
      <c r="F63" s="166"/>
      <c r="G63" s="241"/>
      <c r="H63" s="242"/>
      <c r="I63" s="157"/>
    </row>
    <row r="64" spans="1:9" ht="15.75" x14ac:dyDescent="0.25">
      <c r="A64" s="164" t="s">
        <v>17</v>
      </c>
      <c r="B64" s="165">
        <f>DATE(19,7,1)</f>
        <v>7122</v>
      </c>
      <c r="C64" s="226">
        <v>45458425.399999999</v>
      </c>
      <c r="D64" s="226">
        <v>4987956.2</v>
      </c>
      <c r="E64" s="226">
        <v>5381167.3099999996</v>
      </c>
      <c r="F64" s="166">
        <f t="shared" ref="F64:F69" si="18">(+D64-E64)/E64</f>
        <v>-7.3071712390224752E-2</v>
      </c>
      <c r="G64" s="241">
        <f t="shared" ref="G64:G69" si="19">D64/C64</f>
        <v>0.10972567034844986</v>
      </c>
      <c r="H64" s="242">
        <f t="shared" ref="H64:H69" si="20">1-G64</f>
        <v>0.89027432965155018</v>
      </c>
      <c r="I64" s="157"/>
    </row>
    <row r="65" spans="1:9" ht="15.75" x14ac:dyDescent="0.25">
      <c r="A65" s="164"/>
      <c r="B65" s="165">
        <f>DATE(19,8,1)</f>
        <v>7153</v>
      </c>
      <c r="C65" s="226">
        <v>47408888.340000004</v>
      </c>
      <c r="D65" s="226">
        <v>5297182</v>
      </c>
      <c r="E65" s="226">
        <v>5291596.82</v>
      </c>
      <c r="F65" s="166">
        <f t="shared" si="18"/>
        <v>1.0554810182986886E-3</v>
      </c>
      <c r="G65" s="241">
        <f t="shared" si="19"/>
        <v>0.1117339424204689</v>
      </c>
      <c r="H65" s="242">
        <f t="shared" si="20"/>
        <v>0.88826605757953114</v>
      </c>
      <c r="I65" s="157"/>
    </row>
    <row r="66" spans="1:9" ht="15.75" x14ac:dyDescent="0.25">
      <c r="A66" s="164"/>
      <c r="B66" s="165">
        <f>DATE(19,9,1)</f>
        <v>7184</v>
      </c>
      <c r="C66" s="226">
        <v>43078381.07</v>
      </c>
      <c r="D66" s="226">
        <v>4757922.75</v>
      </c>
      <c r="E66" s="226">
        <v>5027629.3</v>
      </c>
      <c r="F66" s="166">
        <f t="shared" si="18"/>
        <v>-5.3644875925915984E-2</v>
      </c>
      <c r="G66" s="241">
        <f t="shared" si="19"/>
        <v>0.11044803987105822</v>
      </c>
      <c r="H66" s="242">
        <f t="shared" si="20"/>
        <v>0.88955196012894178</v>
      </c>
      <c r="I66" s="157"/>
    </row>
    <row r="67" spans="1:9" ht="15.75" x14ac:dyDescent="0.25">
      <c r="A67" s="164"/>
      <c r="B67" s="165">
        <f>DATE(19,10,1)</f>
        <v>7214</v>
      </c>
      <c r="C67" s="226">
        <v>45559884.780000001</v>
      </c>
      <c r="D67" s="226">
        <v>5100767.21</v>
      </c>
      <c r="E67" s="226">
        <v>5016135.3</v>
      </c>
      <c r="F67" s="166">
        <f t="shared" si="18"/>
        <v>1.6871935252623697E-2</v>
      </c>
      <c r="G67" s="241">
        <f t="shared" si="19"/>
        <v>0.11195742119697256</v>
      </c>
      <c r="H67" s="242">
        <f t="shared" si="20"/>
        <v>0.88804257880302739</v>
      </c>
      <c r="I67" s="157"/>
    </row>
    <row r="68" spans="1:9" ht="15.75" x14ac:dyDescent="0.25">
      <c r="A68" s="164"/>
      <c r="B68" s="165">
        <f>DATE(19,11,1)</f>
        <v>7245</v>
      </c>
      <c r="C68" s="226">
        <v>45568371.520000003</v>
      </c>
      <c r="D68" s="226">
        <v>5049815.8600000003</v>
      </c>
      <c r="E68" s="226">
        <v>4899996.9800000004</v>
      </c>
      <c r="F68" s="166">
        <f t="shared" si="18"/>
        <v>3.0575300477021901E-2</v>
      </c>
      <c r="G68" s="241">
        <f t="shared" si="19"/>
        <v>0.11081844032507572</v>
      </c>
      <c r="H68" s="242">
        <f t="shared" si="20"/>
        <v>0.88918155967492429</v>
      </c>
      <c r="I68" s="157"/>
    </row>
    <row r="69" spans="1:9" ht="15.75" x14ac:dyDescent="0.25">
      <c r="A69" s="164"/>
      <c r="B69" s="165">
        <f>DATE(19,12,1)</f>
        <v>7275</v>
      </c>
      <c r="C69" s="226">
        <v>45369161.390000001</v>
      </c>
      <c r="D69" s="226">
        <v>5055651.33</v>
      </c>
      <c r="E69" s="226">
        <v>5247804.62</v>
      </c>
      <c r="F69" s="166">
        <f t="shared" si="18"/>
        <v>-3.6615938266390723E-2</v>
      </c>
      <c r="G69" s="241">
        <f t="shared" si="19"/>
        <v>0.11143365173847662</v>
      </c>
      <c r="H69" s="242">
        <f t="shared" si="20"/>
        <v>0.88856634826152336</v>
      </c>
      <c r="I69" s="157"/>
    </row>
    <row r="70" spans="1:9" ht="15.75" thickBot="1" x14ac:dyDescent="0.25">
      <c r="A70" s="167"/>
      <c r="B70" s="165"/>
      <c r="C70" s="226"/>
      <c r="D70" s="226"/>
      <c r="E70" s="226"/>
      <c r="F70" s="166"/>
      <c r="G70" s="241"/>
      <c r="H70" s="242"/>
      <c r="I70" s="157"/>
    </row>
    <row r="71" spans="1:9" ht="17.25" thickTop="1" thickBot="1" x14ac:dyDescent="0.3">
      <c r="A71" s="174" t="s">
        <v>14</v>
      </c>
      <c r="B71" s="175"/>
      <c r="C71" s="228">
        <f>SUM(C64:C70)</f>
        <v>272443112.5</v>
      </c>
      <c r="D71" s="230">
        <f>SUM(D64:D70)</f>
        <v>30249295.350000001</v>
      </c>
      <c r="E71" s="271">
        <f>SUM(E64:E70)</f>
        <v>30864330.330000002</v>
      </c>
      <c r="F71" s="272">
        <f>(+D71-E71)/E71</f>
        <v>-1.992704761205167E-2</v>
      </c>
      <c r="G71" s="249">
        <f>D71/C71</f>
        <v>0.11102976717754244</v>
      </c>
      <c r="H71" s="270">
        <f>1-G71</f>
        <v>0.88897023282245757</v>
      </c>
      <c r="I71" s="157"/>
    </row>
    <row r="72" spans="1:9" ht="15.75" thickTop="1" x14ac:dyDescent="0.2">
      <c r="A72" s="167"/>
      <c r="B72" s="168"/>
      <c r="C72" s="226"/>
      <c r="D72" s="226"/>
      <c r="E72" s="226"/>
      <c r="F72" s="166"/>
      <c r="G72" s="241"/>
      <c r="H72" s="242"/>
      <c r="I72" s="157"/>
    </row>
    <row r="73" spans="1:9" ht="15.75" x14ac:dyDescent="0.25">
      <c r="A73" s="164" t="s">
        <v>67</v>
      </c>
      <c r="B73" s="165">
        <f>DATE(19,7,1)</f>
        <v>7122</v>
      </c>
      <c r="C73" s="226">
        <v>108871593.48999999</v>
      </c>
      <c r="D73" s="226">
        <v>10859844.9</v>
      </c>
      <c r="E73" s="226">
        <v>11368416.640000001</v>
      </c>
      <c r="F73" s="166">
        <f t="shared" ref="F73:F78" si="21">(+D73-E73)/E73</f>
        <v>-4.4735494493628992E-2</v>
      </c>
      <c r="G73" s="241">
        <f t="shared" ref="G73:G78" si="22">D73/C73</f>
        <v>9.9749113169703835E-2</v>
      </c>
      <c r="H73" s="242">
        <f t="shared" ref="H73:H78" si="23">1-G73</f>
        <v>0.90025088683029619</v>
      </c>
      <c r="I73" s="157"/>
    </row>
    <row r="74" spans="1:9" ht="15.75" x14ac:dyDescent="0.25">
      <c r="A74" s="164"/>
      <c r="B74" s="165">
        <f>DATE(19,8,1)</f>
        <v>7153</v>
      </c>
      <c r="C74" s="226">
        <v>110085881.98999999</v>
      </c>
      <c r="D74" s="226">
        <v>10606265.73</v>
      </c>
      <c r="E74" s="226">
        <v>11900739.720000001</v>
      </c>
      <c r="F74" s="166">
        <f t="shared" si="21"/>
        <v>-0.10877256544183962</v>
      </c>
      <c r="G74" s="241">
        <f t="shared" si="22"/>
        <v>9.6345376339569633E-2</v>
      </c>
      <c r="H74" s="242">
        <f t="shared" si="23"/>
        <v>0.90365462366043037</v>
      </c>
      <c r="I74" s="157"/>
    </row>
    <row r="75" spans="1:9" ht="15.75" x14ac:dyDescent="0.25">
      <c r="A75" s="164"/>
      <c r="B75" s="165">
        <f>DATE(19,9,1)</f>
        <v>7184</v>
      </c>
      <c r="C75" s="226">
        <v>102382579.39</v>
      </c>
      <c r="D75" s="226">
        <v>10294221.539999999</v>
      </c>
      <c r="E75" s="226">
        <v>10737435.65</v>
      </c>
      <c r="F75" s="166">
        <f t="shared" si="21"/>
        <v>-4.1277463674485558E-2</v>
      </c>
      <c r="G75" s="241">
        <f t="shared" si="22"/>
        <v>0.10054661253245847</v>
      </c>
      <c r="H75" s="242">
        <f t="shared" si="23"/>
        <v>0.89945338746754155</v>
      </c>
      <c r="I75" s="157"/>
    </row>
    <row r="76" spans="1:9" ht="15.75" x14ac:dyDescent="0.25">
      <c r="A76" s="164"/>
      <c r="B76" s="165">
        <f>DATE(19,10,1)</f>
        <v>7214</v>
      </c>
      <c r="C76" s="226">
        <v>100553757.09</v>
      </c>
      <c r="D76" s="226">
        <v>9880729.3699999992</v>
      </c>
      <c r="E76" s="226">
        <v>10634805.060000001</v>
      </c>
      <c r="F76" s="166">
        <f t="shared" si="21"/>
        <v>-7.0906395156809895E-2</v>
      </c>
      <c r="G76" s="241">
        <f t="shared" si="22"/>
        <v>9.8263154515015438E-2</v>
      </c>
      <c r="H76" s="242">
        <f t="shared" si="23"/>
        <v>0.90173684548498456</v>
      </c>
      <c r="I76" s="157"/>
    </row>
    <row r="77" spans="1:9" ht="15.75" x14ac:dyDescent="0.25">
      <c r="A77" s="164"/>
      <c r="B77" s="165">
        <f>DATE(19,11,1)</f>
        <v>7245</v>
      </c>
      <c r="C77" s="226">
        <v>101636027.59</v>
      </c>
      <c r="D77" s="226">
        <v>10205648.99</v>
      </c>
      <c r="E77" s="226">
        <v>10364939.92</v>
      </c>
      <c r="F77" s="166">
        <f t="shared" si="21"/>
        <v>-1.5368244411396425E-2</v>
      </c>
      <c r="G77" s="241">
        <f t="shared" si="22"/>
        <v>0.10041369415941377</v>
      </c>
      <c r="H77" s="242">
        <f t="shared" si="23"/>
        <v>0.89958630584058619</v>
      </c>
      <c r="I77" s="157"/>
    </row>
    <row r="78" spans="1:9" ht="15.75" x14ac:dyDescent="0.25">
      <c r="A78" s="164"/>
      <c r="B78" s="165">
        <f>DATE(19,12,1)</f>
        <v>7275</v>
      </c>
      <c r="C78" s="226">
        <v>109465965.75</v>
      </c>
      <c r="D78" s="226">
        <v>10750579.369999999</v>
      </c>
      <c r="E78" s="226">
        <v>11597435.08</v>
      </c>
      <c r="F78" s="166">
        <f t="shared" si="21"/>
        <v>-7.3020948525111373E-2</v>
      </c>
      <c r="G78" s="241">
        <f t="shared" si="22"/>
        <v>9.8209331972207076E-2</v>
      </c>
      <c r="H78" s="242">
        <f t="shared" si="23"/>
        <v>0.90179066802779295</v>
      </c>
      <c r="I78" s="157"/>
    </row>
    <row r="79" spans="1:9" ht="15.75" thickBot="1" x14ac:dyDescent="0.25">
      <c r="A79" s="167"/>
      <c r="B79" s="165"/>
      <c r="C79" s="226"/>
      <c r="D79" s="226"/>
      <c r="E79" s="226"/>
      <c r="F79" s="166"/>
      <c r="G79" s="241"/>
      <c r="H79" s="242"/>
      <c r="I79" s="157"/>
    </row>
    <row r="80" spans="1:9" ht="17.25" thickTop="1" thickBot="1" x14ac:dyDescent="0.3">
      <c r="A80" s="174" t="s">
        <v>14</v>
      </c>
      <c r="B80" s="175"/>
      <c r="C80" s="228">
        <f>SUM(C73:C79)</f>
        <v>632995805.30000007</v>
      </c>
      <c r="D80" s="230">
        <f>SUM(D73:D79)</f>
        <v>62597289.899999999</v>
      </c>
      <c r="E80" s="271">
        <f>SUM(E73:E79)</f>
        <v>66603772.07</v>
      </c>
      <c r="F80" s="176">
        <f>(+D80-E80)/E80</f>
        <v>-6.0153982957440053E-2</v>
      </c>
      <c r="G80" s="249">
        <f>D80/C80</f>
        <v>9.8890528777410822E-2</v>
      </c>
      <c r="H80" s="270">
        <f>1-G80</f>
        <v>0.90110947122258922</v>
      </c>
      <c r="I80" s="157"/>
    </row>
    <row r="81" spans="1:9" ht="15.75" thickTop="1" x14ac:dyDescent="0.2">
      <c r="A81" s="167"/>
      <c r="B81" s="179"/>
      <c r="C81" s="229"/>
      <c r="D81" s="229"/>
      <c r="E81" s="229"/>
      <c r="F81" s="180"/>
      <c r="G81" s="247"/>
      <c r="H81" s="248"/>
      <c r="I81" s="157"/>
    </row>
    <row r="82" spans="1:9" ht="15.75" x14ac:dyDescent="0.25">
      <c r="A82" s="164" t="s">
        <v>18</v>
      </c>
      <c r="B82" s="165">
        <f>DATE(19,7,1)</f>
        <v>7122</v>
      </c>
      <c r="C82" s="226">
        <v>139620069.69</v>
      </c>
      <c r="D82" s="226">
        <v>13562944.529999999</v>
      </c>
      <c r="E82" s="226">
        <v>14899456.869999999</v>
      </c>
      <c r="F82" s="166">
        <f t="shared" ref="F82:F87" si="24">(+D82-E82)/E82</f>
        <v>-8.9702084556589609E-2</v>
      </c>
      <c r="G82" s="241">
        <f t="shared" ref="G82:G87" si="25">D82/C82</f>
        <v>9.7141797451569506E-2</v>
      </c>
      <c r="H82" s="242">
        <f t="shared" ref="H82:H87" si="26">1-G82</f>
        <v>0.90285820254843052</v>
      </c>
      <c r="I82" s="157"/>
    </row>
    <row r="83" spans="1:9" ht="15.75" x14ac:dyDescent="0.25">
      <c r="A83" s="164"/>
      <c r="B83" s="165">
        <f>DATE(19,8,1)</f>
        <v>7153</v>
      </c>
      <c r="C83" s="226">
        <v>145301923.24000001</v>
      </c>
      <c r="D83" s="226">
        <v>13870661.279999999</v>
      </c>
      <c r="E83" s="226">
        <v>14829432.529999999</v>
      </c>
      <c r="F83" s="166">
        <f t="shared" si="24"/>
        <v>-6.465326627033112E-2</v>
      </c>
      <c r="G83" s="241">
        <f t="shared" si="25"/>
        <v>9.5460961360362501E-2</v>
      </c>
      <c r="H83" s="242">
        <f t="shared" si="26"/>
        <v>0.90453903863963747</v>
      </c>
      <c r="I83" s="157"/>
    </row>
    <row r="84" spans="1:9" ht="15.75" x14ac:dyDescent="0.25">
      <c r="A84" s="164"/>
      <c r="B84" s="165">
        <f>DATE(19,9,1)</f>
        <v>7184</v>
      </c>
      <c r="C84" s="226">
        <v>133117656.17</v>
      </c>
      <c r="D84" s="226">
        <v>12786448.43</v>
      </c>
      <c r="E84" s="226">
        <v>13962276.199999999</v>
      </c>
      <c r="F84" s="166">
        <f t="shared" si="24"/>
        <v>-8.4214618960195012E-2</v>
      </c>
      <c r="G84" s="241">
        <f t="shared" si="25"/>
        <v>9.6053737707572501E-2</v>
      </c>
      <c r="H84" s="242">
        <f t="shared" si="26"/>
        <v>0.90394626229242747</v>
      </c>
      <c r="I84" s="157"/>
    </row>
    <row r="85" spans="1:9" ht="15.75" x14ac:dyDescent="0.25">
      <c r="A85" s="164"/>
      <c r="B85" s="165">
        <f>DATE(19,10,1)</f>
        <v>7214</v>
      </c>
      <c r="C85" s="226">
        <v>141018208.87</v>
      </c>
      <c r="D85" s="226">
        <v>13251508.66</v>
      </c>
      <c r="E85" s="226">
        <v>13179828.550000001</v>
      </c>
      <c r="F85" s="166">
        <f t="shared" si="24"/>
        <v>5.4386223408042283E-3</v>
      </c>
      <c r="G85" s="241">
        <f t="shared" si="25"/>
        <v>9.3970195524296612E-2</v>
      </c>
      <c r="H85" s="242">
        <f t="shared" si="26"/>
        <v>0.90602980447570336</v>
      </c>
      <c r="I85" s="157"/>
    </row>
    <row r="86" spans="1:9" ht="15.75" x14ac:dyDescent="0.25">
      <c r="A86" s="164"/>
      <c r="B86" s="165">
        <f>DATE(19,11,1)</f>
        <v>7245</v>
      </c>
      <c r="C86" s="226">
        <v>143268625.12</v>
      </c>
      <c r="D86" s="226">
        <v>13769145.800000001</v>
      </c>
      <c r="E86" s="226">
        <v>12404366.57</v>
      </c>
      <c r="F86" s="166">
        <f t="shared" si="24"/>
        <v>0.11002409694185621</v>
      </c>
      <c r="G86" s="241">
        <f t="shared" si="25"/>
        <v>9.610719575529629E-2</v>
      </c>
      <c r="H86" s="242">
        <f t="shared" si="26"/>
        <v>0.90389280424470375</v>
      </c>
      <c r="I86" s="157"/>
    </row>
    <row r="87" spans="1:9" ht="15.75" x14ac:dyDescent="0.25">
      <c r="A87" s="164"/>
      <c r="B87" s="165">
        <f>DATE(19,12,1)</f>
        <v>7275</v>
      </c>
      <c r="C87" s="226">
        <v>148416907.90000001</v>
      </c>
      <c r="D87" s="226">
        <v>13980639.65</v>
      </c>
      <c r="E87" s="226">
        <v>14279714.560000001</v>
      </c>
      <c r="F87" s="166">
        <f t="shared" si="24"/>
        <v>-2.0944039794588174E-2</v>
      </c>
      <c r="G87" s="241">
        <f t="shared" si="25"/>
        <v>9.4198429598195396E-2</v>
      </c>
      <c r="H87" s="242">
        <f t="shared" si="26"/>
        <v>0.90580157040180465</v>
      </c>
      <c r="I87" s="157"/>
    </row>
    <row r="88" spans="1:9" ht="15.75" customHeight="1" thickBot="1" x14ac:dyDescent="0.3">
      <c r="A88" s="164"/>
      <c r="B88" s="165"/>
      <c r="C88" s="226"/>
      <c r="D88" s="226"/>
      <c r="E88" s="226"/>
      <c r="F88" s="166"/>
      <c r="G88" s="241"/>
      <c r="H88" s="242"/>
      <c r="I88" s="157"/>
    </row>
    <row r="89" spans="1:9" ht="17.25" thickTop="1" thickBot="1" x14ac:dyDescent="0.3">
      <c r="A89" s="174" t="s">
        <v>14</v>
      </c>
      <c r="B89" s="181"/>
      <c r="C89" s="228">
        <f>SUM(C82:C88)</f>
        <v>850743390.99000001</v>
      </c>
      <c r="D89" s="228">
        <f>SUM(D82:D88)</f>
        <v>81221348.349999994</v>
      </c>
      <c r="E89" s="228">
        <f>SUM(E82:E88)</f>
        <v>83555075.280000001</v>
      </c>
      <c r="F89" s="176">
        <f>(+D89-E89)/E89</f>
        <v>-2.7930403056660464E-2</v>
      </c>
      <c r="G89" s="245">
        <f>D89/C89</f>
        <v>9.5471030642369933E-2</v>
      </c>
      <c r="H89" s="246">
        <f>1-G89</f>
        <v>0.90452896935763005</v>
      </c>
      <c r="I89" s="157"/>
    </row>
    <row r="90" spans="1:9" ht="15.75" thickTop="1" x14ac:dyDescent="0.2">
      <c r="A90" s="171"/>
      <c r="B90" s="172"/>
      <c r="C90" s="227"/>
      <c r="D90" s="227"/>
      <c r="E90" s="227"/>
      <c r="F90" s="173"/>
      <c r="G90" s="243"/>
      <c r="H90" s="244"/>
      <c r="I90" s="157"/>
    </row>
    <row r="91" spans="1:9" ht="15.75" x14ac:dyDescent="0.25">
      <c r="A91" s="164" t="s">
        <v>58</v>
      </c>
      <c r="B91" s="165">
        <f>DATE(19,7,1)</f>
        <v>7122</v>
      </c>
      <c r="C91" s="226">
        <v>172895652.09999999</v>
      </c>
      <c r="D91" s="226">
        <v>16249508.9</v>
      </c>
      <c r="E91" s="226">
        <v>16699225.800000001</v>
      </c>
      <c r="F91" s="166">
        <f t="shared" ref="F91:F96" si="27">(+D91-E91)/E91</f>
        <v>-2.6930404162808574E-2</v>
      </c>
      <c r="G91" s="241">
        <f t="shared" ref="G91:G96" si="28">D91/C91</f>
        <v>9.3984485454854313E-2</v>
      </c>
      <c r="H91" s="242">
        <f t="shared" ref="H91:H96" si="29">1-G91</f>
        <v>0.90601551454514573</v>
      </c>
      <c r="I91" s="157"/>
    </row>
    <row r="92" spans="1:9" ht="15.75" x14ac:dyDescent="0.25">
      <c r="A92" s="164"/>
      <c r="B92" s="165">
        <f>DATE(19,8,1)</f>
        <v>7153</v>
      </c>
      <c r="C92" s="226">
        <v>180380059.75</v>
      </c>
      <c r="D92" s="226">
        <v>16871517.800000001</v>
      </c>
      <c r="E92" s="226">
        <v>16622760.619999999</v>
      </c>
      <c r="F92" s="166">
        <f t="shared" si="27"/>
        <v>1.4964853653773038E-2</v>
      </c>
      <c r="G92" s="241">
        <f t="shared" si="28"/>
        <v>9.3533164493809856E-2</v>
      </c>
      <c r="H92" s="242">
        <f t="shared" si="29"/>
        <v>0.90646683550619012</v>
      </c>
      <c r="I92" s="157"/>
    </row>
    <row r="93" spans="1:9" ht="15.75" x14ac:dyDescent="0.25">
      <c r="A93" s="164"/>
      <c r="B93" s="165">
        <f>DATE(19,9,1)</f>
        <v>7184</v>
      </c>
      <c r="C93" s="226">
        <v>169452200.19999999</v>
      </c>
      <c r="D93" s="226">
        <v>15944541.300000001</v>
      </c>
      <c r="E93" s="226">
        <v>16260476.050000001</v>
      </c>
      <c r="F93" s="166">
        <f t="shared" si="27"/>
        <v>-1.9429612578901096E-2</v>
      </c>
      <c r="G93" s="241">
        <f t="shared" si="28"/>
        <v>9.4094625393952261E-2</v>
      </c>
      <c r="H93" s="242">
        <f t="shared" si="29"/>
        <v>0.9059053746060477</v>
      </c>
      <c r="I93" s="157"/>
    </row>
    <row r="94" spans="1:9" ht="15.75" x14ac:dyDescent="0.25">
      <c r="A94" s="164"/>
      <c r="B94" s="165">
        <f>DATE(19,10,1)</f>
        <v>7214</v>
      </c>
      <c r="C94" s="226">
        <v>171753334.46000001</v>
      </c>
      <c r="D94" s="226">
        <v>16080736.01</v>
      </c>
      <c r="E94" s="226">
        <v>15649969.25</v>
      </c>
      <c r="F94" s="166">
        <f t="shared" si="27"/>
        <v>2.7525086670697439E-2</v>
      </c>
      <c r="G94" s="241">
        <f t="shared" si="28"/>
        <v>9.3626921774523544E-2</v>
      </c>
      <c r="H94" s="242">
        <f t="shared" si="29"/>
        <v>0.90637307822547641</v>
      </c>
      <c r="I94" s="157"/>
    </row>
    <row r="95" spans="1:9" ht="15.75" x14ac:dyDescent="0.25">
      <c r="A95" s="164"/>
      <c r="B95" s="165">
        <f>DATE(19,11,1)</f>
        <v>7245</v>
      </c>
      <c r="C95" s="226">
        <v>179944712.21000001</v>
      </c>
      <c r="D95" s="226">
        <v>17058482.91</v>
      </c>
      <c r="E95" s="226">
        <v>15252914.51</v>
      </c>
      <c r="F95" s="166">
        <f t="shared" si="27"/>
        <v>0.1183753045240139</v>
      </c>
      <c r="G95" s="241">
        <f t="shared" si="28"/>
        <v>9.4798467265280462E-2</v>
      </c>
      <c r="H95" s="242">
        <f t="shared" si="29"/>
        <v>0.90520153273471959</v>
      </c>
      <c r="I95" s="157"/>
    </row>
    <row r="96" spans="1:9" ht="15.75" x14ac:dyDescent="0.25">
      <c r="A96" s="164"/>
      <c r="B96" s="165">
        <f>DATE(19,12,1)</f>
        <v>7275</v>
      </c>
      <c r="C96" s="226">
        <v>179257574.59</v>
      </c>
      <c r="D96" s="226">
        <v>16970606.43</v>
      </c>
      <c r="E96" s="226">
        <v>17347128.27</v>
      </c>
      <c r="F96" s="166">
        <f t="shared" si="27"/>
        <v>-2.1705139556220037E-2</v>
      </c>
      <c r="G96" s="241">
        <f t="shared" si="28"/>
        <v>9.4671628068244071E-2</v>
      </c>
      <c r="H96" s="242">
        <f t="shared" si="29"/>
        <v>0.90532837193175597</v>
      </c>
      <c r="I96" s="157"/>
    </row>
    <row r="97" spans="1:9" ht="15.75" thickBot="1" x14ac:dyDescent="0.25">
      <c r="A97" s="167"/>
      <c r="B97" s="168"/>
      <c r="C97" s="226"/>
      <c r="D97" s="226"/>
      <c r="E97" s="226"/>
      <c r="F97" s="166"/>
      <c r="G97" s="241"/>
      <c r="H97" s="242"/>
      <c r="I97" s="157"/>
    </row>
    <row r="98" spans="1:9" ht="17.25" thickTop="1" thickBot="1" x14ac:dyDescent="0.3">
      <c r="A98" s="174" t="s">
        <v>14</v>
      </c>
      <c r="B98" s="175"/>
      <c r="C98" s="228">
        <f>SUM(C91:C97)</f>
        <v>1053683533.3100001</v>
      </c>
      <c r="D98" s="228">
        <f>SUM(D91:D97)</f>
        <v>99175393.349999994</v>
      </c>
      <c r="E98" s="228">
        <f>SUM(E91:E97)</f>
        <v>97832474.5</v>
      </c>
      <c r="F98" s="176">
        <f>(+D98-E98)/E98</f>
        <v>1.3726718626543521E-2</v>
      </c>
      <c r="G98" s="249">
        <f>D98/C98</f>
        <v>9.4122561675092628E-2</v>
      </c>
      <c r="H98" s="270">
        <f>1-G98</f>
        <v>0.90587743832490741</v>
      </c>
      <c r="I98" s="157"/>
    </row>
    <row r="99" spans="1:9" ht="15.75" thickTop="1" x14ac:dyDescent="0.2">
      <c r="A99" s="167"/>
      <c r="B99" s="168"/>
      <c r="C99" s="226"/>
      <c r="D99" s="226"/>
      <c r="E99" s="226"/>
      <c r="F99" s="166"/>
      <c r="G99" s="241"/>
      <c r="H99" s="242"/>
      <c r="I99" s="157"/>
    </row>
    <row r="100" spans="1:9" ht="15.75" x14ac:dyDescent="0.25">
      <c r="A100" s="164" t="s">
        <v>59</v>
      </c>
      <c r="B100" s="165">
        <f>DATE(19,7,1)</f>
        <v>7122</v>
      </c>
      <c r="C100" s="226">
        <v>23534671.399999999</v>
      </c>
      <c r="D100" s="226">
        <v>2612988.94</v>
      </c>
      <c r="E100" s="226">
        <v>2665233.29</v>
      </c>
      <c r="F100" s="166">
        <f t="shared" ref="F100:F105" si="30">(+D100-E100)/E100</f>
        <v>-1.9602167733692121E-2</v>
      </c>
      <c r="G100" s="241">
        <f t="shared" ref="G100:G105" si="31">D100/C100</f>
        <v>0.11102721153778251</v>
      </c>
      <c r="H100" s="242">
        <f t="shared" ref="H100:H105" si="32">1-G100</f>
        <v>0.8889727884622175</v>
      </c>
      <c r="I100" s="157"/>
    </row>
    <row r="101" spans="1:9" ht="15.75" x14ac:dyDescent="0.25">
      <c r="A101" s="164"/>
      <c r="B101" s="165">
        <f>DATE(19,8,1)</f>
        <v>7153</v>
      </c>
      <c r="C101" s="226">
        <v>25945368.859999999</v>
      </c>
      <c r="D101" s="226">
        <v>2826240.12</v>
      </c>
      <c r="E101" s="226">
        <v>2551392.61</v>
      </c>
      <c r="F101" s="166">
        <f t="shared" si="30"/>
        <v>0.10772450657838985</v>
      </c>
      <c r="G101" s="241">
        <f t="shared" si="31"/>
        <v>0.10893042743968143</v>
      </c>
      <c r="H101" s="242">
        <f t="shared" si="32"/>
        <v>0.8910695725603186</v>
      </c>
      <c r="I101" s="157"/>
    </row>
    <row r="102" spans="1:9" ht="15.75" x14ac:dyDescent="0.25">
      <c r="A102" s="164"/>
      <c r="B102" s="165">
        <f>DATE(19,9,1)</f>
        <v>7184</v>
      </c>
      <c r="C102" s="226">
        <v>23331556.440000001</v>
      </c>
      <c r="D102" s="226">
        <v>2549839.52</v>
      </c>
      <c r="E102" s="226">
        <v>2483855.77</v>
      </c>
      <c r="F102" s="166">
        <f t="shared" si="30"/>
        <v>2.6565048903785585E-2</v>
      </c>
      <c r="G102" s="241">
        <f t="shared" si="31"/>
        <v>0.10928715906961584</v>
      </c>
      <c r="H102" s="242">
        <f t="shared" si="32"/>
        <v>0.89071284093038416</v>
      </c>
      <c r="I102" s="157"/>
    </row>
    <row r="103" spans="1:9" ht="15.75" x14ac:dyDescent="0.25">
      <c r="A103" s="164"/>
      <c r="B103" s="165">
        <f>DATE(19,10,1)</f>
        <v>7214</v>
      </c>
      <c r="C103" s="226">
        <v>23351338.109999999</v>
      </c>
      <c r="D103" s="226">
        <v>2654170.6800000002</v>
      </c>
      <c r="E103" s="226">
        <v>2351894.38</v>
      </c>
      <c r="F103" s="166">
        <f t="shared" si="30"/>
        <v>0.12852460661945214</v>
      </c>
      <c r="G103" s="241">
        <f t="shared" si="31"/>
        <v>0.1136624662576992</v>
      </c>
      <c r="H103" s="242">
        <f t="shared" si="32"/>
        <v>0.88633753374230084</v>
      </c>
      <c r="I103" s="157"/>
    </row>
    <row r="104" spans="1:9" ht="15.75" x14ac:dyDescent="0.25">
      <c r="A104" s="164"/>
      <c r="B104" s="165">
        <f>DATE(19,11,1)</f>
        <v>7245</v>
      </c>
      <c r="C104" s="226">
        <v>24764224.170000002</v>
      </c>
      <c r="D104" s="226">
        <v>2750246.46</v>
      </c>
      <c r="E104" s="226">
        <v>2270138.19</v>
      </c>
      <c r="F104" s="166">
        <f t="shared" si="30"/>
        <v>0.21148856581281514</v>
      </c>
      <c r="G104" s="241">
        <f t="shared" si="31"/>
        <v>0.11105724294531774</v>
      </c>
      <c r="H104" s="242">
        <f t="shared" si="32"/>
        <v>0.88894275705468229</v>
      </c>
      <c r="I104" s="157"/>
    </row>
    <row r="105" spans="1:9" ht="15.75" x14ac:dyDescent="0.25">
      <c r="A105" s="164"/>
      <c r="B105" s="165">
        <f>DATE(19,12,1)</f>
        <v>7275</v>
      </c>
      <c r="C105" s="226">
        <v>24233154.100000001</v>
      </c>
      <c r="D105" s="226">
        <v>2678793.62</v>
      </c>
      <c r="E105" s="226">
        <v>2456280.23</v>
      </c>
      <c r="F105" s="166">
        <f t="shared" si="30"/>
        <v>9.0589578209486349E-2</v>
      </c>
      <c r="G105" s="241">
        <f t="shared" si="31"/>
        <v>0.11054250754754207</v>
      </c>
      <c r="H105" s="242">
        <f t="shared" si="32"/>
        <v>0.88945749245245798</v>
      </c>
      <c r="I105" s="157"/>
    </row>
    <row r="106" spans="1:9" ht="15.75" thickBot="1" x14ac:dyDescent="0.25">
      <c r="A106" s="167"/>
      <c r="B106" s="168"/>
      <c r="C106" s="226"/>
      <c r="D106" s="226"/>
      <c r="E106" s="226"/>
      <c r="F106" s="166"/>
      <c r="G106" s="241"/>
      <c r="H106" s="242"/>
      <c r="I106" s="157"/>
    </row>
    <row r="107" spans="1:9" ht="17.25" thickTop="1" thickBot="1" x14ac:dyDescent="0.3">
      <c r="A107" s="182" t="s">
        <v>14</v>
      </c>
      <c r="B107" s="183"/>
      <c r="C107" s="230">
        <f>SUM(C100:C106)</f>
        <v>145160313.08000001</v>
      </c>
      <c r="D107" s="230">
        <f>SUM(D100:D106)</f>
        <v>16072279.34</v>
      </c>
      <c r="E107" s="230">
        <f>SUM(E100:E106)</f>
        <v>14778794.470000001</v>
      </c>
      <c r="F107" s="176">
        <f>(+D107-E107)/E107</f>
        <v>8.7523029880799144E-2</v>
      </c>
      <c r="G107" s="249">
        <f>D107/C107</f>
        <v>0.11072089195028345</v>
      </c>
      <c r="H107" s="246">
        <f>1-G107</f>
        <v>0.88927910804971655</v>
      </c>
      <c r="I107" s="157"/>
    </row>
    <row r="108" spans="1:9" ht="15.75" thickTop="1" x14ac:dyDescent="0.2">
      <c r="A108" s="167"/>
      <c r="B108" s="168"/>
      <c r="C108" s="226"/>
      <c r="D108" s="226"/>
      <c r="E108" s="226"/>
      <c r="F108" s="166"/>
      <c r="G108" s="241"/>
      <c r="H108" s="242"/>
      <c r="I108" s="157"/>
    </row>
    <row r="109" spans="1:9" ht="15.75" x14ac:dyDescent="0.25">
      <c r="A109" s="164" t="s">
        <v>40</v>
      </c>
      <c r="B109" s="165">
        <f>DATE(19,7,1)</f>
        <v>7122</v>
      </c>
      <c r="C109" s="226">
        <v>209413515.11000001</v>
      </c>
      <c r="D109" s="226">
        <v>19119192.239999998</v>
      </c>
      <c r="E109" s="226">
        <v>19406302.420000002</v>
      </c>
      <c r="F109" s="166">
        <f t="shared" ref="F109:F114" si="33">(+D109-E109)/E109</f>
        <v>-1.4794687508533808E-2</v>
      </c>
      <c r="G109" s="241">
        <f t="shared" ref="G109:G114" si="34">D109/C109</f>
        <v>9.1298750369369117E-2</v>
      </c>
      <c r="H109" s="242">
        <f t="shared" ref="H109:H114" si="35">1-G109</f>
        <v>0.90870124963063093</v>
      </c>
      <c r="I109" s="157"/>
    </row>
    <row r="110" spans="1:9" ht="15.75" x14ac:dyDescent="0.25">
      <c r="A110" s="164"/>
      <c r="B110" s="165">
        <f>DATE(19,8,1)</f>
        <v>7153</v>
      </c>
      <c r="C110" s="226">
        <v>212666539.37</v>
      </c>
      <c r="D110" s="226">
        <v>19394509.940000001</v>
      </c>
      <c r="E110" s="226">
        <v>19632454.710000001</v>
      </c>
      <c r="F110" s="166">
        <f t="shared" si="33"/>
        <v>-1.2119970401806139E-2</v>
      </c>
      <c r="G110" s="241">
        <f t="shared" si="34"/>
        <v>9.119680979177068E-2</v>
      </c>
      <c r="H110" s="242">
        <f t="shared" si="35"/>
        <v>0.90880319020822931</v>
      </c>
      <c r="I110" s="157"/>
    </row>
    <row r="111" spans="1:9" ht="15.75" x14ac:dyDescent="0.25">
      <c r="A111" s="164"/>
      <c r="B111" s="165">
        <f>DATE(19,9,1)</f>
        <v>7184</v>
      </c>
      <c r="C111" s="226">
        <v>194172445.72</v>
      </c>
      <c r="D111" s="226">
        <v>17543226.640000001</v>
      </c>
      <c r="E111" s="226">
        <v>18357005.34</v>
      </c>
      <c r="F111" s="166">
        <f t="shared" si="33"/>
        <v>-4.4330689288779125E-2</v>
      </c>
      <c r="G111" s="241">
        <f t="shared" si="34"/>
        <v>9.0348692755807564E-2</v>
      </c>
      <c r="H111" s="242">
        <f t="shared" si="35"/>
        <v>0.90965130724419241</v>
      </c>
      <c r="I111" s="157"/>
    </row>
    <row r="112" spans="1:9" ht="15.75" x14ac:dyDescent="0.25">
      <c r="A112" s="164"/>
      <c r="B112" s="165">
        <f>DATE(19,10,1)</f>
        <v>7214</v>
      </c>
      <c r="C112" s="226">
        <v>194408213.02000001</v>
      </c>
      <c r="D112" s="226">
        <v>18312994.41</v>
      </c>
      <c r="E112" s="226">
        <v>17743741.07</v>
      </c>
      <c r="F112" s="166">
        <f t="shared" si="33"/>
        <v>3.2081923296460715E-2</v>
      </c>
      <c r="G112" s="241">
        <f t="shared" si="34"/>
        <v>9.4198666432451728E-2</v>
      </c>
      <c r="H112" s="242">
        <f t="shared" si="35"/>
        <v>0.90580133356754833</v>
      </c>
      <c r="I112" s="157"/>
    </row>
    <row r="113" spans="1:9" ht="15.75" x14ac:dyDescent="0.25">
      <c r="A113" s="164"/>
      <c r="B113" s="165">
        <f>DATE(19,11,1)</f>
        <v>7245</v>
      </c>
      <c r="C113" s="226">
        <v>194099111.36000001</v>
      </c>
      <c r="D113" s="226">
        <v>17726569.68</v>
      </c>
      <c r="E113" s="226">
        <v>17751037.91</v>
      </c>
      <c r="F113" s="166">
        <f t="shared" si="33"/>
        <v>-1.3784112300394748E-3</v>
      </c>
      <c r="G113" s="241">
        <f t="shared" si="34"/>
        <v>9.1327412865492882E-2</v>
      </c>
      <c r="H113" s="242">
        <f t="shared" si="35"/>
        <v>0.90867258713450716</v>
      </c>
      <c r="I113" s="157"/>
    </row>
    <row r="114" spans="1:9" ht="15.75" x14ac:dyDescent="0.25">
      <c r="A114" s="164"/>
      <c r="B114" s="165">
        <f>DATE(19,12,1)</f>
        <v>7275</v>
      </c>
      <c r="C114" s="226">
        <v>199823652.30000001</v>
      </c>
      <c r="D114" s="226">
        <v>17987460.18</v>
      </c>
      <c r="E114" s="226">
        <v>19880708.100000001</v>
      </c>
      <c r="F114" s="166">
        <f t="shared" si="33"/>
        <v>-9.5230406808296822E-2</v>
      </c>
      <c r="G114" s="241">
        <f t="shared" si="34"/>
        <v>9.0016672065401926E-2</v>
      </c>
      <c r="H114" s="242">
        <f t="shared" si="35"/>
        <v>0.90998332793459813</v>
      </c>
      <c r="I114" s="157"/>
    </row>
    <row r="115" spans="1:9" ht="15.75" thickBot="1" x14ac:dyDescent="0.25">
      <c r="A115" s="167"/>
      <c r="B115" s="168"/>
      <c r="C115" s="226"/>
      <c r="D115" s="226"/>
      <c r="E115" s="226"/>
      <c r="F115" s="166"/>
      <c r="G115" s="241"/>
      <c r="H115" s="242"/>
      <c r="I115" s="157"/>
    </row>
    <row r="116" spans="1:9" ht="17.25" thickTop="1" thickBot="1" x14ac:dyDescent="0.3">
      <c r="A116" s="174" t="s">
        <v>14</v>
      </c>
      <c r="B116" s="175"/>
      <c r="C116" s="228">
        <f>SUM(C109:C115)</f>
        <v>1204583476.8800001</v>
      </c>
      <c r="D116" s="228">
        <f>SUM(D109:D115)</f>
        <v>110083953.09</v>
      </c>
      <c r="E116" s="228">
        <f>SUM(E109:E115)</f>
        <v>112771249.54999998</v>
      </c>
      <c r="F116" s="176">
        <f>(+D116-E116)/E116</f>
        <v>-2.3829623868878901E-2</v>
      </c>
      <c r="G116" s="245">
        <f>D116/C116</f>
        <v>9.1387566908296969E-2</v>
      </c>
      <c r="H116" s="246">
        <f>1-G116</f>
        <v>0.90861243309170303</v>
      </c>
      <c r="I116" s="157"/>
    </row>
    <row r="117" spans="1:9" ht="15.75" thickTop="1" x14ac:dyDescent="0.2">
      <c r="A117" s="167"/>
      <c r="B117" s="168"/>
      <c r="C117" s="226"/>
      <c r="D117" s="226"/>
      <c r="E117" s="226"/>
      <c r="F117" s="166"/>
      <c r="G117" s="241"/>
      <c r="H117" s="242"/>
      <c r="I117" s="157"/>
    </row>
    <row r="118" spans="1:9" ht="15.75" x14ac:dyDescent="0.25">
      <c r="A118" s="164" t="s">
        <v>64</v>
      </c>
      <c r="B118" s="165">
        <f>DATE(19,7,1)</f>
        <v>7122</v>
      </c>
      <c r="C118" s="226">
        <v>30055377.399999999</v>
      </c>
      <c r="D118" s="226">
        <v>3293709.88</v>
      </c>
      <c r="E118" s="226">
        <v>3425449</v>
      </c>
      <c r="F118" s="166">
        <f t="shared" ref="F118:F123" si="36">(+D118-E118)/E118</f>
        <v>-3.8458934872479526E-2</v>
      </c>
      <c r="G118" s="241">
        <f t="shared" ref="G118:G123" si="37">D118/C118</f>
        <v>0.10958803931039642</v>
      </c>
      <c r="H118" s="242">
        <f t="shared" ref="H118:H123" si="38">1-G118</f>
        <v>0.8904119606896036</v>
      </c>
      <c r="I118" s="157"/>
    </row>
    <row r="119" spans="1:9" ht="15.75" x14ac:dyDescent="0.25">
      <c r="A119" s="164"/>
      <c r="B119" s="165">
        <f>DATE(19,8,1)</f>
        <v>7153</v>
      </c>
      <c r="C119" s="226">
        <v>32273780.59</v>
      </c>
      <c r="D119" s="226">
        <v>3283356.99</v>
      </c>
      <c r="E119" s="226">
        <v>3421840.59</v>
      </c>
      <c r="F119" s="166">
        <f t="shared" si="36"/>
        <v>-4.0470500117598882E-2</v>
      </c>
      <c r="G119" s="241">
        <f t="shared" si="37"/>
        <v>0.1017345018146819</v>
      </c>
      <c r="H119" s="242">
        <f t="shared" si="38"/>
        <v>0.89826549818531809</v>
      </c>
      <c r="I119" s="157"/>
    </row>
    <row r="120" spans="1:9" ht="15.75" x14ac:dyDescent="0.25">
      <c r="A120" s="164"/>
      <c r="B120" s="165">
        <f>DATE(19,9,1)</f>
        <v>7184</v>
      </c>
      <c r="C120" s="226">
        <v>27948254.77</v>
      </c>
      <c r="D120" s="226">
        <v>3164787.25</v>
      </c>
      <c r="E120" s="226">
        <v>3252949</v>
      </c>
      <c r="F120" s="166">
        <f t="shared" si="36"/>
        <v>-2.7102100278854666E-2</v>
      </c>
      <c r="G120" s="241">
        <f t="shared" si="37"/>
        <v>0.11323738373091981</v>
      </c>
      <c r="H120" s="242">
        <f t="shared" si="38"/>
        <v>0.88676261626908015</v>
      </c>
      <c r="I120" s="157"/>
    </row>
    <row r="121" spans="1:9" ht="15.75" x14ac:dyDescent="0.25">
      <c r="A121" s="164"/>
      <c r="B121" s="165">
        <f>DATE(19,10,1)</f>
        <v>7214</v>
      </c>
      <c r="C121" s="226">
        <v>28019367.18</v>
      </c>
      <c r="D121" s="226">
        <v>3114034.79</v>
      </c>
      <c r="E121" s="226">
        <v>3250399.43</v>
      </c>
      <c r="F121" s="166">
        <f t="shared" si="36"/>
        <v>-4.1953194657064076E-2</v>
      </c>
      <c r="G121" s="241">
        <f t="shared" si="37"/>
        <v>0.11113865527351285</v>
      </c>
      <c r="H121" s="242">
        <f t="shared" si="38"/>
        <v>0.88886134472648715</v>
      </c>
      <c r="I121" s="157"/>
    </row>
    <row r="122" spans="1:9" ht="15.75" x14ac:dyDescent="0.25">
      <c r="A122" s="164"/>
      <c r="B122" s="165">
        <f>DATE(19,11,1)</f>
        <v>7245</v>
      </c>
      <c r="C122" s="226">
        <v>29444428.43</v>
      </c>
      <c r="D122" s="226">
        <v>3192066.7</v>
      </c>
      <c r="E122" s="226">
        <v>3195617.35</v>
      </c>
      <c r="F122" s="166">
        <f t="shared" si="36"/>
        <v>-1.1110998630671181E-3</v>
      </c>
      <c r="G122" s="241">
        <f t="shared" si="37"/>
        <v>0.10840987141552744</v>
      </c>
      <c r="H122" s="242">
        <f t="shared" si="38"/>
        <v>0.89159012858447251</v>
      </c>
      <c r="I122" s="157"/>
    </row>
    <row r="123" spans="1:9" ht="15.75" x14ac:dyDescent="0.25">
      <c r="A123" s="164"/>
      <c r="B123" s="165">
        <f>DATE(19,12,1)</f>
        <v>7275</v>
      </c>
      <c r="C123" s="226">
        <v>30319604.32</v>
      </c>
      <c r="D123" s="226">
        <v>3336598.49</v>
      </c>
      <c r="E123" s="226">
        <v>3572083.96</v>
      </c>
      <c r="F123" s="166">
        <f t="shared" si="36"/>
        <v>-6.5923833996331865E-2</v>
      </c>
      <c r="G123" s="241">
        <f t="shared" si="37"/>
        <v>0.11004756047555175</v>
      </c>
      <c r="H123" s="242">
        <f t="shared" si="38"/>
        <v>0.88995243952444825</v>
      </c>
      <c r="I123" s="157"/>
    </row>
    <row r="124" spans="1:9" ht="15.75" thickBot="1" x14ac:dyDescent="0.25">
      <c r="A124" s="167"/>
      <c r="B124" s="168"/>
      <c r="C124" s="226"/>
      <c r="D124" s="226"/>
      <c r="E124" s="226"/>
      <c r="F124" s="166"/>
      <c r="G124" s="241"/>
      <c r="H124" s="242"/>
      <c r="I124" s="157"/>
    </row>
    <row r="125" spans="1:9" ht="17.25" thickTop="1" thickBot="1" x14ac:dyDescent="0.3">
      <c r="A125" s="169" t="s">
        <v>14</v>
      </c>
      <c r="B125" s="155"/>
      <c r="C125" s="223">
        <f>SUM(C118:C124)</f>
        <v>178060812.69</v>
      </c>
      <c r="D125" s="223">
        <f>SUM(D118:D124)</f>
        <v>19384554.100000001</v>
      </c>
      <c r="E125" s="223">
        <f>SUM(E118:E124)</f>
        <v>20118339.329999998</v>
      </c>
      <c r="F125" s="176">
        <f>(+D125-E125)/E125</f>
        <v>-3.6473449322220811E-2</v>
      </c>
      <c r="G125" s="245">
        <f>D125/C125</f>
        <v>0.1088647962859076</v>
      </c>
      <c r="H125" s="246">
        <f>1-G125</f>
        <v>0.89113520371409238</v>
      </c>
      <c r="I125" s="157"/>
    </row>
    <row r="126" spans="1:9" ht="16.5" thickTop="1" thickBot="1" x14ac:dyDescent="0.25">
      <c r="A126" s="171"/>
      <c r="B126" s="172"/>
      <c r="C126" s="227"/>
      <c r="D126" s="227"/>
      <c r="E126" s="227"/>
      <c r="F126" s="173"/>
      <c r="G126" s="243"/>
      <c r="H126" s="244"/>
      <c r="I126" s="157"/>
    </row>
    <row r="127" spans="1:9" ht="17.25" thickTop="1" thickBot="1" x14ac:dyDescent="0.3">
      <c r="A127" s="184" t="s">
        <v>41</v>
      </c>
      <c r="B127" s="155"/>
      <c r="C127" s="223">
        <f>C125+C116+C89+C71+C53+C35+C17+C44+C107+C26+C80+C98+C62</f>
        <v>7630189323.4000015</v>
      </c>
      <c r="D127" s="223">
        <f>D125+D116+D89+D71+D53+D35+D17+D44+D107+D26+D80+D98+D62</f>
        <v>741182548.35000002</v>
      </c>
      <c r="E127" s="223">
        <f>E125+E116+E89+E71+E53+E35+E17+E44+E107+E26+E80+E98+E62</f>
        <v>743094742.01000023</v>
      </c>
      <c r="F127" s="170">
        <f>(+D127-E127)/E127</f>
        <v>-2.5732837980092607E-3</v>
      </c>
      <c r="G127" s="236">
        <f>D127/C127</f>
        <v>9.713815960987586E-2</v>
      </c>
      <c r="H127" s="237">
        <f>1-G127</f>
        <v>0.90286184039012418</v>
      </c>
      <c r="I127" s="157"/>
    </row>
    <row r="128" spans="1:9" ht="17.25" thickTop="1" thickBot="1" x14ac:dyDescent="0.3">
      <c r="A128" s="184"/>
      <c r="B128" s="155"/>
      <c r="C128" s="223"/>
      <c r="D128" s="223"/>
      <c r="E128" s="223"/>
      <c r="F128" s="170"/>
      <c r="G128" s="236"/>
      <c r="H128" s="237"/>
      <c r="I128" s="157"/>
    </row>
    <row r="129" spans="1:9" ht="17.25" thickTop="1" thickBot="1" x14ac:dyDescent="0.3">
      <c r="A129" s="184" t="s">
        <v>42</v>
      </c>
      <c r="B129" s="155"/>
      <c r="C129" s="223">
        <f>SUM(C15+C24+C33+C42+C51+C60+C69+C78+C87+C96+C105+C114+C123)</f>
        <v>1294916554.5</v>
      </c>
      <c r="D129" s="223">
        <f>SUM(D15+D24+D33+D42+D51+D60+D69+D78+D87+D96+D105+D114+D123)</f>
        <v>125438788.78000002</v>
      </c>
      <c r="E129" s="223">
        <f>SUM(E15+E24+E33+E42+E51+E60+E69+E78+E87+E96+E105+E114+E123)</f>
        <v>128920221.77</v>
      </c>
      <c r="F129" s="170">
        <f>(+D129-E129)/E129</f>
        <v>-2.7004553220603571E-2</v>
      </c>
      <c r="G129" s="236">
        <f>D129/C129</f>
        <v>9.6870171552046538E-2</v>
      </c>
      <c r="H129" s="246">
        <f>1-G129</f>
        <v>0.90312982844795342</v>
      </c>
      <c r="I129" s="157"/>
    </row>
    <row r="130" spans="1:9" ht="16.5" thickTop="1" x14ac:dyDescent="0.25">
      <c r="A130" s="185"/>
      <c r="B130" s="186"/>
      <c r="C130" s="231"/>
      <c r="D130" s="231"/>
      <c r="E130" s="231"/>
      <c r="F130" s="187"/>
      <c r="G130" s="250"/>
      <c r="H130" s="250"/>
      <c r="I130" s="151"/>
    </row>
    <row r="131" spans="1:9" ht="16.5" customHeight="1" x14ac:dyDescent="0.3">
      <c r="A131" s="188" t="s">
        <v>52</v>
      </c>
      <c r="B131" s="189"/>
      <c r="C131" s="232"/>
      <c r="D131" s="232"/>
      <c r="E131" s="232"/>
      <c r="F131" s="190"/>
      <c r="G131" s="251"/>
      <c r="H131" s="251"/>
      <c r="I131" s="151"/>
    </row>
    <row r="132" spans="1:9" ht="15.75" x14ac:dyDescent="0.25">
      <c r="A132" s="191"/>
      <c r="B132" s="189"/>
      <c r="C132" s="232"/>
      <c r="D132" s="232"/>
      <c r="E132" s="232"/>
      <c r="F132" s="190"/>
      <c r="G132" s="257"/>
      <c r="H132" s="257"/>
      <c r="I132" s="151"/>
    </row>
    <row r="133" spans="1:9" ht="15.75" x14ac:dyDescent="0.25">
      <c r="A133" s="72"/>
      <c r="I133" s="151"/>
    </row>
  </sheetData>
  <phoneticPr fontId="0" type="noConversion"/>
  <printOptions horizontalCentered="1"/>
  <pageMargins left="0.75" right="0.25" top="0.31940000000000002" bottom="0.2" header="0.5" footer="0.5"/>
  <pageSetup scale="65" orientation="landscape" r:id="rId1"/>
  <headerFooter alignWithMargins="0"/>
  <rowBreaks count="2" manualBreakCount="2">
    <brk id="53" max="8" man="1"/>
    <brk id="9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MONTHLY STATS</vt:lpstr>
      <vt:lpstr>YTD TAXES</vt:lpstr>
      <vt:lpstr>TABLE STATS</vt:lpstr>
      <vt:lpstr>SLOT STATS</vt:lpstr>
      <vt:lpstr>'MONTHLY STATS'!Print_Area</vt:lpstr>
      <vt:lpstr>'SLOT STATS'!Print_Area</vt:lpstr>
      <vt:lpstr>'TABLE STATS'!Print_Area</vt:lpstr>
      <vt:lpstr>'MONTHLY STATS'!Print_Titles</vt:lpstr>
      <vt:lpstr>'SLOT STATS'!Print_Titles</vt:lpstr>
      <vt:lpstr>'TABLE STATS'!Print_Titles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Bruns</dc:creator>
  <cp:lastModifiedBy>webteam-prod</cp:lastModifiedBy>
  <cp:lastPrinted>2020-01-09T14:49:07Z</cp:lastPrinted>
  <dcterms:created xsi:type="dcterms:W3CDTF">2003-09-09T14:41:43Z</dcterms:created>
  <dcterms:modified xsi:type="dcterms:W3CDTF">2020-01-09T20:03:49Z</dcterms:modified>
</cp:coreProperties>
</file>