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 activeTab="3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STATS'!$A$1:$M$117</definedName>
    <definedName name="_xlnm.Print_Area" localSheetId="3">'SLOT STATS'!$A$1:$I$118</definedName>
    <definedName name="_xlnm.Print_Area" localSheetId="2">'TABLE STATS'!$A$1:$H$117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116" i="4" l="1"/>
  <c r="D116" i="4"/>
  <c r="C116" i="4"/>
  <c r="F110" i="4"/>
  <c r="G110" i="4"/>
  <c r="H110" i="4"/>
  <c r="F102" i="4"/>
  <c r="G102" i="4"/>
  <c r="H102" i="4" s="1"/>
  <c r="F94" i="4"/>
  <c r="G94" i="4"/>
  <c r="H94" i="4" s="1"/>
  <c r="F86" i="4"/>
  <c r="G86" i="4"/>
  <c r="H86" i="4"/>
  <c r="F78" i="4"/>
  <c r="G78" i="4"/>
  <c r="H78" i="4"/>
  <c r="F70" i="4"/>
  <c r="G70" i="4"/>
  <c r="H70" i="4" s="1"/>
  <c r="F62" i="4"/>
  <c r="G62" i="4"/>
  <c r="H62" i="4" s="1"/>
  <c r="F54" i="4"/>
  <c r="G54" i="4"/>
  <c r="H54" i="4"/>
  <c r="F46" i="4"/>
  <c r="G46" i="4"/>
  <c r="H46" i="4"/>
  <c r="F38" i="4"/>
  <c r="G38" i="4"/>
  <c r="H38" i="4" s="1"/>
  <c r="F30" i="4"/>
  <c r="G30" i="4"/>
  <c r="H30" i="4" s="1"/>
  <c r="F22" i="4"/>
  <c r="G22" i="4"/>
  <c r="H22" i="4"/>
  <c r="F14" i="4"/>
  <c r="G14" i="4"/>
  <c r="H14" i="4"/>
  <c r="B110" i="4"/>
  <c r="B102" i="4"/>
  <c r="B94" i="4"/>
  <c r="B86" i="4"/>
  <c r="B78" i="4"/>
  <c r="B70" i="4"/>
  <c r="B62" i="4"/>
  <c r="B54" i="4"/>
  <c r="B46" i="4"/>
  <c r="B38" i="4"/>
  <c r="B30" i="4"/>
  <c r="B22" i="4"/>
  <c r="B14" i="4"/>
  <c r="E115" i="3"/>
  <c r="D115" i="3"/>
  <c r="G115" i="3" s="1"/>
  <c r="C115" i="3"/>
  <c r="F109" i="3"/>
  <c r="G109" i="3"/>
  <c r="F101" i="3"/>
  <c r="G101" i="3"/>
  <c r="F93" i="3"/>
  <c r="G93" i="3"/>
  <c r="F85" i="3"/>
  <c r="G85" i="3"/>
  <c r="F77" i="3"/>
  <c r="G77" i="3"/>
  <c r="F69" i="3"/>
  <c r="G69" i="3"/>
  <c r="F61" i="3"/>
  <c r="G61" i="3"/>
  <c r="F53" i="3"/>
  <c r="G53" i="3"/>
  <c r="F45" i="3"/>
  <c r="G45" i="3"/>
  <c r="F37" i="3"/>
  <c r="G37" i="3"/>
  <c r="F29" i="3"/>
  <c r="G29" i="3"/>
  <c r="F21" i="3"/>
  <c r="G21" i="3"/>
  <c r="F13" i="3"/>
  <c r="G13" i="3"/>
  <c r="B109" i="3"/>
  <c r="B101" i="3"/>
  <c r="B93" i="3"/>
  <c r="B85" i="3"/>
  <c r="B77" i="3"/>
  <c r="B69" i="3"/>
  <c r="B61" i="3"/>
  <c r="B53" i="3"/>
  <c r="B45" i="3"/>
  <c r="B37" i="3"/>
  <c r="B29" i="3"/>
  <c r="B21" i="3"/>
  <c r="B13" i="3"/>
  <c r="N35" i="2"/>
  <c r="M35" i="2"/>
  <c r="L35" i="2"/>
  <c r="K35" i="2"/>
  <c r="J35" i="2"/>
  <c r="I35" i="2"/>
  <c r="I44" i="2" s="1"/>
  <c r="H35" i="2"/>
  <c r="H44" i="2" s="1"/>
  <c r="G35" i="2"/>
  <c r="F35" i="2"/>
  <c r="O35" i="2" s="1"/>
  <c r="E35" i="2"/>
  <c r="D35" i="2"/>
  <c r="C35" i="2"/>
  <c r="B35" i="2"/>
  <c r="N14" i="2"/>
  <c r="M14" i="2"/>
  <c r="L14" i="2"/>
  <c r="K14" i="2"/>
  <c r="J14" i="2"/>
  <c r="I14" i="2"/>
  <c r="H14" i="2"/>
  <c r="O14" i="2" s="1"/>
  <c r="G14" i="2"/>
  <c r="F14" i="2"/>
  <c r="E14" i="2"/>
  <c r="D14" i="2"/>
  <c r="C14" i="2"/>
  <c r="B14" i="2"/>
  <c r="A35" i="2"/>
  <c r="A14" i="2"/>
  <c r="F52" i="1"/>
  <c r="J52" i="1" s="1"/>
  <c r="F84" i="1"/>
  <c r="J84" i="1" s="1"/>
  <c r="F99" i="1"/>
  <c r="H99" i="1" s="1"/>
  <c r="L115" i="1"/>
  <c r="K115" i="1"/>
  <c r="I115" i="1" s="1"/>
  <c r="D115" i="1"/>
  <c r="C115" i="1"/>
  <c r="M109" i="1"/>
  <c r="I109" i="1"/>
  <c r="G109" i="1"/>
  <c r="F109" i="1"/>
  <c r="H109" i="1" s="1"/>
  <c r="E109" i="1"/>
  <c r="M101" i="1"/>
  <c r="I101" i="1"/>
  <c r="G101" i="1"/>
  <c r="F101" i="1"/>
  <c r="J101" i="1" s="1"/>
  <c r="E101" i="1"/>
  <c r="H93" i="1"/>
  <c r="M93" i="1"/>
  <c r="I93" i="1"/>
  <c r="J93" i="1"/>
  <c r="G93" i="1"/>
  <c r="F93" i="1"/>
  <c r="E93" i="1"/>
  <c r="M85" i="1"/>
  <c r="I85" i="1"/>
  <c r="G85" i="1"/>
  <c r="F85" i="1"/>
  <c r="H85" i="1" s="1"/>
  <c r="E85" i="1"/>
  <c r="H77" i="1"/>
  <c r="M77" i="1"/>
  <c r="I77" i="1"/>
  <c r="G77" i="1"/>
  <c r="F77" i="1"/>
  <c r="J77" i="1" s="1"/>
  <c r="E77" i="1"/>
  <c r="M69" i="1"/>
  <c r="I69" i="1"/>
  <c r="J69" i="1"/>
  <c r="G69" i="1"/>
  <c r="F69" i="1"/>
  <c r="H69" i="1" s="1"/>
  <c r="E69" i="1"/>
  <c r="H61" i="1"/>
  <c r="M61" i="1"/>
  <c r="I61" i="1"/>
  <c r="G61" i="1"/>
  <c r="F61" i="1"/>
  <c r="J61" i="1" s="1"/>
  <c r="E61" i="1"/>
  <c r="M53" i="1"/>
  <c r="I53" i="1"/>
  <c r="J53" i="1"/>
  <c r="G53" i="1"/>
  <c r="G55" i="1" s="1"/>
  <c r="F53" i="1"/>
  <c r="H53" i="1" s="1"/>
  <c r="E53" i="1"/>
  <c r="M45" i="1"/>
  <c r="I45" i="1"/>
  <c r="G45" i="1"/>
  <c r="F45" i="1"/>
  <c r="H45" i="1" s="1"/>
  <c r="E45" i="1"/>
  <c r="H37" i="1"/>
  <c r="M37" i="1"/>
  <c r="I37" i="1"/>
  <c r="J37" i="1"/>
  <c r="G37" i="1"/>
  <c r="F37" i="1"/>
  <c r="E37" i="1"/>
  <c r="M29" i="1"/>
  <c r="I29" i="1"/>
  <c r="G29" i="1"/>
  <c r="F29" i="1"/>
  <c r="H29" i="1" s="1"/>
  <c r="E29" i="1"/>
  <c r="H21" i="1"/>
  <c r="M21" i="1"/>
  <c r="I21" i="1"/>
  <c r="G21" i="1"/>
  <c r="F21" i="1"/>
  <c r="J21" i="1" s="1"/>
  <c r="E21" i="1"/>
  <c r="M13" i="1"/>
  <c r="I13" i="1"/>
  <c r="G13" i="1"/>
  <c r="G115" i="1" s="1"/>
  <c r="F13" i="1"/>
  <c r="F115" i="1" s="1"/>
  <c r="E13" i="1"/>
  <c r="B109" i="1"/>
  <c r="B101" i="1"/>
  <c r="B100" i="1"/>
  <c r="B93" i="1"/>
  <c r="B85" i="1"/>
  <c r="B77" i="1"/>
  <c r="B69" i="1"/>
  <c r="B61" i="1"/>
  <c r="B53" i="1"/>
  <c r="B45" i="1"/>
  <c r="B37" i="1"/>
  <c r="B29" i="1"/>
  <c r="B21" i="1"/>
  <c r="B13" i="1"/>
  <c r="F109" i="4"/>
  <c r="G109" i="4"/>
  <c r="H109" i="4"/>
  <c r="F101" i="4"/>
  <c r="G101" i="4"/>
  <c r="H101" i="4"/>
  <c r="F93" i="4"/>
  <c r="G93" i="4"/>
  <c r="H93" i="4"/>
  <c r="F85" i="4"/>
  <c r="G85" i="4"/>
  <c r="H85" i="4" s="1"/>
  <c r="F77" i="4"/>
  <c r="G77" i="4"/>
  <c r="H77" i="4"/>
  <c r="F69" i="4"/>
  <c r="G69" i="4"/>
  <c r="H69" i="4"/>
  <c r="F61" i="4"/>
  <c r="G61" i="4"/>
  <c r="H61" i="4"/>
  <c r="F53" i="4"/>
  <c r="G53" i="4"/>
  <c r="H53" i="4" s="1"/>
  <c r="F45" i="4"/>
  <c r="G45" i="4"/>
  <c r="H45" i="4"/>
  <c r="F37" i="4"/>
  <c r="G37" i="4"/>
  <c r="H37" i="4"/>
  <c r="F29" i="4"/>
  <c r="G29" i="4"/>
  <c r="H29" i="4"/>
  <c r="F21" i="4"/>
  <c r="G21" i="4"/>
  <c r="H21" i="4" s="1"/>
  <c r="G13" i="4"/>
  <c r="H13" i="4"/>
  <c r="F13" i="4"/>
  <c r="B109" i="4"/>
  <c r="B101" i="4"/>
  <c r="B93" i="4"/>
  <c r="B85" i="4"/>
  <c r="B77" i="4"/>
  <c r="B69" i="4"/>
  <c r="B61" i="4"/>
  <c r="B53" i="4"/>
  <c r="B45" i="4"/>
  <c r="B37" i="4"/>
  <c r="B29" i="4"/>
  <c r="B21" i="4"/>
  <c r="B13" i="4"/>
  <c r="F108" i="3"/>
  <c r="G108" i="3"/>
  <c r="F100" i="3"/>
  <c r="G100" i="3"/>
  <c r="F92" i="3"/>
  <c r="G92" i="3"/>
  <c r="F84" i="3"/>
  <c r="G84" i="3"/>
  <c r="F76" i="3"/>
  <c r="G76" i="3"/>
  <c r="F68" i="3"/>
  <c r="G68" i="3"/>
  <c r="F60" i="3"/>
  <c r="G60" i="3"/>
  <c r="F52" i="3"/>
  <c r="G52" i="3"/>
  <c r="F44" i="3"/>
  <c r="G44" i="3"/>
  <c r="F36" i="3"/>
  <c r="G36" i="3"/>
  <c r="F28" i="3"/>
  <c r="G28" i="3"/>
  <c r="F20" i="3"/>
  <c r="G20" i="3"/>
  <c r="G12" i="3"/>
  <c r="F12" i="3"/>
  <c r="B108" i="3"/>
  <c r="B100" i="3"/>
  <c r="B92" i="3"/>
  <c r="B84" i="3"/>
  <c r="B76" i="3"/>
  <c r="B68" i="3"/>
  <c r="B60" i="3"/>
  <c r="B52" i="3"/>
  <c r="B44" i="3"/>
  <c r="B36" i="3"/>
  <c r="B28" i="3"/>
  <c r="B20" i="3"/>
  <c r="B12" i="3"/>
  <c r="F25" i="1"/>
  <c r="J25" i="1" s="1"/>
  <c r="F51" i="1"/>
  <c r="J51" i="1" s="1"/>
  <c r="F67" i="1"/>
  <c r="F71" i="1" s="1"/>
  <c r="F66" i="1"/>
  <c r="F65" i="1"/>
  <c r="F83" i="1"/>
  <c r="J83" i="1"/>
  <c r="F82" i="1"/>
  <c r="H82" i="1" s="1"/>
  <c r="F81" i="1"/>
  <c r="H81" i="1"/>
  <c r="F105" i="1"/>
  <c r="N34" i="2"/>
  <c r="M34" i="2"/>
  <c r="L34" i="2"/>
  <c r="O34" i="2" s="1"/>
  <c r="K34" i="2"/>
  <c r="J34" i="2"/>
  <c r="I34" i="2"/>
  <c r="H34" i="2"/>
  <c r="G34" i="2"/>
  <c r="F34" i="2"/>
  <c r="E34" i="2"/>
  <c r="D34" i="2"/>
  <c r="C34" i="2"/>
  <c r="B34" i="2"/>
  <c r="A34" i="2"/>
  <c r="N13" i="2"/>
  <c r="N23" i="2" s="1"/>
  <c r="M13" i="2"/>
  <c r="L13" i="2"/>
  <c r="K13" i="2"/>
  <c r="J13" i="2"/>
  <c r="I13" i="2"/>
  <c r="H13" i="2"/>
  <c r="G13" i="2"/>
  <c r="F13" i="2"/>
  <c r="E13" i="2"/>
  <c r="D13" i="2"/>
  <c r="C13" i="2"/>
  <c r="B13" i="2"/>
  <c r="O13" i="2" s="1"/>
  <c r="A13" i="2"/>
  <c r="M108" i="1"/>
  <c r="I108" i="1"/>
  <c r="G108" i="1"/>
  <c r="F108" i="1"/>
  <c r="J108" i="1" s="1"/>
  <c r="E108" i="1"/>
  <c r="H100" i="1"/>
  <c r="M100" i="1"/>
  <c r="I100" i="1"/>
  <c r="J100" i="1"/>
  <c r="G100" i="1"/>
  <c r="F100" i="1"/>
  <c r="E100" i="1"/>
  <c r="M92" i="1"/>
  <c r="I92" i="1"/>
  <c r="G92" i="1"/>
  <c r="F92" i="1"/>
  <c r="H92" i="1" s="1"/>
  <c r="E92" i="1"/>
  <c r="M84" i="1"/>
  <c r="I84" i="1"/>
  <c r="G84" i="1"/>
  <c r="E84" i="1"/>
  <c r="M76" i="1"/>
  <c r="I76" i="1"/>
  <c r="G76" i="1"/>
  <c r="F76" i="1"/>
  <c r="H76" i="1" s="1"/>
  <c r="E76" i="1"/>
  <c r="H68" i="1"/>
  <c r="M68" i="1"/>
  <c r="I68" i="1"/>
  <c r="G68" i="1"/>
  <c r="F68" i="1"/>
  <c r="J68" i="1" s="1"/>
  <c r="E68" i="1"/>
  <c r="M60" i="1"/>
  <c r="I60" i="1"/>
  <c r="G60" i="1"/>
  <c r="F60" i="1"/>
  <c r="J60" i="1" s="1"/>
  <c r="E60" i="1"/>
  <c r="M52" i="1"/>
  <c r="I52" i="1"/>
  <c r="G52" i="1"/>
  <c r="E52" i="1"/>
  <c r="M44" i="1"/>
  <c r="I44" i="1"/>
  <c r="G44" i="1"/>
  <c r="F44" i="1"/>
  <c r="J44" i="1" s="1"/>
  <c r="E44" i="1"/>
  <c r="M36" i="1"/>
  <c r="I36" i="1"/>
  <c r="G36" i="1"/>
  <c r="F36" i="1"/>
  <c r="J36" i="1" s="1"/>
  <c r="E36" i="1"/>
  <c r="M28" i="1"/>
  <c r="I28" i="1"/>
  <c r="J28" i="1"/>
  <c r="G28" i="1"/>
  <c r="F28" i="1"/>
  <c r="H28" i="1" s="1"/>
  <c r="E28" i="1"/>
  <c r="M20" i="1"/>
  <c r="I20" i="1"/>
  <c r="G20" i="1"/>
  <c r="F20" i="1"/>
  <c r="H20" i="1" s="1"/>
  <c r="E20" i="1"/>
  <c r="M12" i="1"/>
  <c r="J12" i="1"/>
  <c r="I12" i="1"/>
  <c r="E12" i="1"/>
  <c r="G12" i="1"/>
  <c r="F12" i="1"/>
  <c r="H12" i="1" s="1"/>
  <c r="B108" i="1"/>
  <c r="B92" i="1"/>
  <c r="B84" i="1"/>
  <c r="B76" i="1"/>
  <c r="B68" i="1"/>
  <c r="B60" i="1"/>
  <c r="B52" i="1"/>
  <c r="B44" i="1"/>
  <c r="B36" i="1"/>
  <c r="B28" i="1"/>
  <c r="B20" i="1"/>
  <c r="B12" i="1"/>
  <c r="G108" i="4"/>
  <c r="H108" i="4"/>
  <c r="F108" i="4"/>
  <c r="G100" i="4"/>
  <c r="H100" i="4"/>
  <c r="F100" i="4"/>
  <c r="G92" i="4"/>
  <c r="H92" i="4" s="1"/>
  <c r="F92" i="4"/>
  <c r="G84" i="4"/>
  <c r="H84" i="4"/>
  <c r="F84" i="4"/>
  <c r="G76" i="4"/>
  <c r="H76" i="4"/>
  <c r="F76" i="4"/>
  <c r="G68" i="4"/>
  <c r="H68" i="4"/>
  <c r="F68" i="4"/>
  <c r="G60" i="4"/>
  <c r="H60" i="4" s="1"/>
  <c r="F60" i="4"/>
  <c r="G52" i="4"/>
  <c r="H52" i="4"/>
  <c r="F52" i="4"/>
  <c r="G44" i="4"/>
  <c r="H44" i="4"/>
  <c r="F44" i="4"/>
  <c r="G36" i="4"/>
  <c r="H36" i="4"/>
  <c r="F36" i="4"/>
  <c r="G28" i="4"/>
  <c r="H28" i="4" s="1"/>
  <c r="F28" i="4"/>
  <c r="G20" i="4"/>
  <c r="H20" i="4"/>
  <c r="F20" i="4"/>
  <c r="G12" i="4"/>
  <c r="H12" i="4"/>
  <c r="F12" i="4"/>
  <c r="B108" i="4"/>
  <c r="B100" i="4"/>
  <c r="B92" i="4"/>
  <c r="B84" i="4"/>
  <c r="B76" i="4"/>
  <c r="B68" i="4"/>
  <c r="B60" i="4"/>
  <c r="B52" i="4"/>
  <c r="B44" i="4"/>
  <c r="B36" i="4"/>
  <c r="B28" i="4"/>
  <c r="B20" i="4"/>
  <c r="B12" i="4"/>
  <c r="G107" i="3"/>
  <c r="F107" i="3"/>
  <c r="G99" i="3"/>
  <c r="F99" i="3"/>
  <c r="G91" i="3"/>
  <c r="F91" i="3"/>
  <c r="G83" i="3"/>
  <c r="F83" i="3"/>
  <c r="G75" i="3"/>
  <c r="F75" i="3"/>
  <c r="G67" i="3"/>
  <c r="F67" i="3"/>
  <c r="G59" i="3"/>
  <c r="F59" i="3"/>
  <c r="G51" i="3"/>
  <c r="F51" i="3"/>
  <c r="G43" i="3"/>
  <c r="F43" i="3"/>
  <c r="G35" i="3"/>
  <c r="F35" i="3"/>
  <c r="G27" i="3"/>
  <c r="F27" i="3"/>
  <c r="G19" i="3"/>
  <c r="F19" i="3"/>
  <c r="G11" i="3"/>
  <c r="F11" i="3"/>
  <c r="B107" i="3"/>
  <c r="B99" i="3"/>
  <c r="B91" i="3"/>
  <c r="B83" i="3"/>
  <c r="B75" i="3"/>
  <c r="B67" i="3"/>
  <c r="B59" i="3"/>
  <c r="B51" i="3"/>
  <c r="B43" i="3"/>
  <c r="B35" i="3"/>
  <c r="B27" i="3"/>
  <c r="B19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12" i="2"/>
  <c r="M12" i="2"/>
  <c r="L12" i="2"/>
  <c r="K12" i="2"/>
  <c r="J12" i="2"/>
  <c r="I12" i="2"/>
  <c r="H12" i="2"/>
  <c r="H23" i="2" s="1"/>
  <c r="G12" i="2"/>
  <c r="G23" i="2" s="1"/>
  <c r="F12" i="2"/>
  <c r="E12" i="2"/>
  <c r="O12" i="2" s="1"/>
  <c r="D12" i="2"/>
  <c r="C12" i="2"/>
  <c r="B12" i="2"/>
  <c r="A33" i="2"/>
  <c r="A12" i="2"/>
  <c r="F50" i="1"/>
  <c r="J50" i="1" s="1"/>
  <c r="F49" i="1"/>
  <c r="J66" i="1"/>
  <c r="M107" i="1"/>
  <c r="J107" i="1"/>
  <c r="I107" i="1"/>
  <c r="H107" i="1"/>
  <c r="E107" i="1"/>
  <c r="G107" i="1"/>
  <c r="F107" i="1"/>
  <c r="M99" i="1"/>
  <c r="I99" i="1"/>
  <c r="E99" i="1"/>
  <c r="G99" i="1"/>
  <c r="J99" i="1"/>
  <c r="M91" i="1"/>
  <c r="J91" i="1"/>
  <c r="I91" i="1"/>
  <c r="E91" i="1"/>
  <c r="G91" i="1"/>
  <c r="F91" i="1"/>
  <c r="H91" i="1" s="1"/>
  <c r="M83" i="1"/>
  <c r="I83" i="1"/>
  <c r="E83" i="1"/>
  <c r="G83" i="1"/>
  <c r="H83" i="1" s="1"/>
  <c r="M75" i="1"/>
  <c r="J75" i="1"/>
  <c r="I75" i="1"/>
  <c r="H75" i="1"/>
  <c r="E75" i="1"/>
  <c r="G75" i="1"/>
  <c r="F75" i="1"/>
  <c r="M67" i="1"/>
  <c r="I67" i="1"/>
  <c r="E67" i="1"/>
  <c r="G67" i="1"/>
  <c r="G71" i="1" s="1"/>
  <c r="J67" i="1"/>
  <c r="M59" i="1"/>
  <c r="J59" i="1"/>
  <c r="I59" i="1"/>
  <c r="E59" i="1"/>
  <c r="G59" i="1"/>
  <c r="F59" i="1"/>
  <c r="H59" i="1" s="1"/>
  <c r="M51" i="1"/>
  <c r="I51" i="1"/>
  <c r="E51" i="1"/>
  <c r="G51" i="1"/>
  <c r="M43" i="1"/>
  <c r="J43" i="1"/>
  <c r="I43" i="1"/>
  <c r="E43" i="1"/>
  <c r="G43" i="1"/>
  <c r="F43" i="1"/>
  <c r="H43" i="1" s="1"/>
  <c r="M35" i="1"/>
  <c r="I35" i="1"/>
  <c r="E35" i="1"/>
  <c r="G35" i="1"/>
  <c r="F35" i="1"/>
  <c r="J35" i="1" s="1"/>
  <c r="M27" i="1"/>
  <c r="I27" i="1"/>
  <c r="E27" i="1"/>
  <c r="G27" i="1"/>
  <c r="F27" i="1"/>
  <c r="H27" i="1" s="1"/>
  <c r="M19" i="1"/>
  <c r="J19" i="1"/>
  <c r="I19" i="1"/>
  <c r="H19" i="1"/>
  <c r="E19" i="1"/>
  <c r="G19" i="1"/>
  <c r="F19" i="1"/>
  <c r="M11" i="1"/>
  <c r="I11" i="1"/>
  <c r="E11" i="1"/>
  <c r="G11" i="1"/>
  <c r="F11" i="1"/>
  <c r="J11" i="1" s="1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G116" i="4"/>
  <c r="H116" i="4"/>
  <c r="G107" i="4"/>
  <c r="H107" i="4" s="1"/>
  <c r="F107" i="4"/>
  <c r="G99" i="4"/>
  <c r="H99" i="4"/>
  <c r="F99" i="4"/>
  <c r="G91" i="4"/>
  <c r="H91" i="4"/>
  <c r="F91" i="4"/>
  <c r="G83" i="4"/>
  <c r="H83" i="4" s="1"/>
  <c r="F83" i="4"/>
  <c r="G75" i="4"/>
  <c r="H75" i="4" s="1"/>
  <c r="F75" i="4"/>
  <c r="G67" i="4"/>
  <c r="H67" i="4"/>
  <c r="F67" i="4"/>
  <c r="G59" i="4"/>
  <c r="H59" i="4"/>
  <c r="F59" i="4"/>
  <c r="G51" i="4"/>
  <c r="H51" i="4" s="1"/>
  <c r="F51" i="4"/>
  <c r="G43" i="4"/>
  <c r="H43" i="4" s="1"/>
  <c r="F43" i="4"/>
  <c r="G35" i="4"/>
  <c r="H35" i="4"/>
  <c r="F35" i="4"/>
  <c r="G27" i="4"/>
  <c r="H27" i="4"/>
  <c r="F27" i="4"/>
  <c r="G19" i="4"/>
  <c r="H19" i="4" s="1"/>
  <c r="F19" i="4"/>
  <c r="G11" i="4"/>
  <c r="H11" i="4" s="1"/>
  <c r="F11" i="4"/>
  <c r="B107" i="4"/>
  <c r="B99" i="4"/>
  <c r="B91" i="4"/>
  <c r="B83" i="4"/>
  <c r="B75" i="4"/>
  <c r="B67" i="4"/>
  <c r="B59" i="4"/>
  <c r="B51" i="4"/>
  <c r="B43" i="4"/>
  <c r="B35" i="4"/>
  <c r="B27" i="4"/>
  <c r="B19" i="4"/>
  <c r="B11" i="4"/>
  <c r="G106" i="3"/>
  <c r="F106" i="3"/>
  <c r="G98" i="3"/>
  <c r="F98" i="3"/>
  <c r="G90" i="3"/>
  <c r="F90" i="3"/>
  <c r="G82" i="3"/>
  <c r="F82" i="3"/>
  <c r="G74" i="3"/>
  <c r="F74" i="3"/>
  <c r="G66" i="3"/>
  <c r="F66" i="3"/>
  <c r="G58" i="3"/>
  <c r="F58" i="3"/>
  <c r="G50" i="3"/>
  <c r="F50" i="3"/>
  <c r="G42" i="3"/>
  <c r="F42" i="3"/>
  <c r="G34" i="3"/>
  <c r="F34" i="3"/>
  <c r="G26" i="3"/>
  <c r="F26" i="3"/>
  <c r="G18" i="3"/>
  <c r="F18" i="3"/>
  <c r="G10" i="3"/>
  <c r="F10" i="3"/>
  <c r="B106" i="3"/>
  <c r="B98" i="3"/>
  <c r="B90" i="3"/>
  <c r="B82" i="3"/>
  <c r="B74" i="3"/>
  <c r="B66" i="3"/>
  <c r="B58" i="3"/>
  <c r="B50" i="3"/>
  <c r="B42" i="3"/>
  <c r="B34" i="3"/>
  <c r="B26" i="3"/>
  <c r="B18" i="3"/>
  <c r="B10" i="3"/>
  <c r="N32" i="2"/>
  <c r="M32" i="2"/>
  <c r="L32" i="2"/>
  <c r="K32" i="2"/>
  <c r="K44" i="2" s="1"/>
  <c r="J32" i="2"/>
  <c r="I32" i="2"/>
  <c r="H32" i="2"/>
  <c r="G32" i="2"/>
  <c r="F32" i="2"/>
  <c r="E32" i="2"/>
  <c r="D32" i="2"/>
  <c r="C32" i="2"/>
  <c r="B32" i="2"/>
  <c r="O32" i="2" s="1"/>
  <c r="N11" i="2"/>
  <c r="M11" i="2"/>
  <c r="L11" i="2"/>
  <c r="K11" i="2"/>
  <c r="K23" i="2" s="1"/>
  <c r="J11" i="2"/>
  <c r="J23" i="2" s="1"/>
  <c r="I11" i="2"/>
  <c r="H11" i="2"/>
  <c r="G11" i="2"/>
  <c r="F11" i="2"/>
  <c r="E11" i="2"/>
  <c r="D11" i="2"/>
  <c r="C11" i="2"/>
  <c r="B11" i="2"/>
  <c r="O11" i="2" s="1"/>
  <c r="A32" i="2"/>
  <c r="A11" i="2"/>
  <c r="M115" i="1"/>
  <c r="M106" i="1"/>
  <c r="I106" i="1"/>
  <c r="E106" i="1"/>
  <c r="G106" i="1"/>
  <c r="F106" i="1"/>
  <c r="H106" i="1" s="1"/>
  <c r="M98" i="1"/>
  <c r="J98" i="1"/>
  <c r="I98" i="1"/>
  <c r="H98" i="1"/>
  <c r="E98" i="1"/>
  <c r="G98" i="1"/>
  <c r="F98" i="1"/>
  <c r="M90" i="1"/>
  <c r="I90" i="1"/>
  <c r="E90" i="1"/>
  <c r="G90" i="1"/>
  <c r="F90" i="1"/>
  <c r="J90" i="1" s="1"/>
  <c r="M82" i="1"/>
  <c r="J82" i="1"/>
  <c r="I82" i="1"/>
  <c r="E82" i="1"/>
  <c r="G82" i="1"/>
  <c r="M74" i="1"/>
  <c r="I74" i="1"/>
  <c r="E74" i="1"/>
  <c r="G74" i="1"/>
  <c r="F74" i="1"/>
  <c r="J74" i="1" s="1"/>
  <c r="M66" i="1"/>
  <c r="I66" i="1"/>
  <c r="E66" i="1"/>
  <c r="G66" i="1"/>
  <c r="H66" i="1" s="1"/>
  <c r="M58" i="1"/>
  <c r="I58" i="1"/>
  <c r="E58" i="1"/>
  <c r="G58" i="1"/>
  <c r="F58" i="1"/>
  <c r="H58" i="1" s="1"/>
  <c r="M50" i="1"/>
  <c r="I50" i="1"/>
  <c r="E50" i="1"/>
  <c r="G50" i="1"/>
  <c r="M42" i="1"/>
  <c r="I42" i="1"/>
  <c r="E42" i="1"/>
  <c r="G42" i="1"/>
  <c r="F42" i="1"/>
  <c r="J42" i="1" s="1"/>
  <c r="M34" i="1"/>
  <c r="J34" i="1"/>
  <c r="I34" i="1"/>
  <c r="E34" i="1"/>
  <c r="G34" i="1"/>
  <c r="F34" i="1"/>
  <c r="H34" i="1" s="1"/>
  <c r="M26" i="1"/>
  <c r="I26" i="1"/>
  <c r="E26" i="1"/>
  <c r="G26" i="1"/>
  <c r="G31" i="1" s="1"/>
  <c r="F26" i="1"/>
  <c r="J26" i="1" s="1"/>
  <c r="M18" i="1"/>
  <c r="I18" i="1"/>
  <c r="E18" i="1"/>
  <c r="G18" i="1"/>
  <c r="F18" i="1"/>
  <c r="F23" i="1" s="1"/>
  <c r="M10" i="1"/>
  <c r="J10" i="1"/>
  <c r="I10" i="1"/>
  <c r="H10" i="1"/>
  <c r="E10" i="1"/>
  <c r="G10" i="1"/>
  <c r="F10" i="1"/>
  <c r="B106" i="1"/>
  <c r="B98" i="1"/>
  <c r="B90" i="1"/>
  <c r="B82" i="1"/>
  <c r="B74" i="1"/>
  <c r="B66" i="1"/>
  <c r="B58" i="1"/>
  <c r="B50" i="1"/>
  <c r="B42" i="1"/>
  <c r="B34" i="1"/>
  <c r="B26" i="1"/>
  <c r="B18" i="1"/>
  <c r="B10" i="1"/>
  <c r="B106" i="4"/>
  <c r="B98" i="4"/>
  <c r="B90" i="4"/>
  <c r="B82" i="4"/>
  <c r="B74" i="4"/>
  <c r="B66" i="4"/>
  <c r="B58" i="4"/>
  <c r="B50" i="4"/>
  <c r="B42" i="4"/>
  <c r="B34" i="4"/>
  <c r="B26" i="4"/>
  <c r="B18" i="4"/>
  <c r="B10" i="4"/>
  <c r="B105" i="3"/>
  <c r="B97" i="3"/>
  <c r="B89" i="3"/>
  <c r="B81" i="3"/>
  <c r="B73" i="3"/>
  <c r="B65" i="3"/>
  <c r="B57" i="3"/>
  <c r="B49" i="3"/>
  <c r="B41" i="3"/>
  <c r="B33" i="3"/>
  <c r="B25" i="3"/>
  <c r="B17" i="3"/>
  <c r="B9" i="3"/>
  <c r="A31" i="2"/>
  <c r="A10" i="2"/>
  <c r="G105" i="1"/>
  <c r="G111" i="1" s="1"/>
  <c r="G97" i="1"/>
  <c r="G103" i="1" s="1"/>
  <c r="F97" i="1"/>
  <c r="J97" i="1" s="1"/>
  <c r="B97" i="1"/>
  <c r="G89" i="1"/>
  <c r="G95" i="1" s="1"/>
  <c r="H95" i="1" s="1"/>
  <c r="F89" i="1"/>
  <c r="H89" i="1" s="1"/>
  <c r="G81" i="1"/>
  <c r="G73" i="1"/>
  <c r="F73" i="1"/>
  <c r="G65" i="1"/>
  <c r="H65" i="1"/>
  <c r="G57" i="1"/>
  <c r="F57" i="1"/>
  <c r="G49" i="1"/>
  <c r="H49" i="1" s="1"/>
  <c r="G41" i="1"/>
  <c r="G47" i="1" s="1"/>
  <c r="F41" i="1"/>
  <c r="F47" i="1" s="1"/>
  <c r="G33" i="1"/>
  <c r="H33" i="1" s="1"/>
  <c r="F33" i="1"/>
  <c r="G25" i="1"/>
  <c r="G17" i="1"/>
  <c r="G23" i="1" s="1"/>
  <c r="F17" i="1"/>
  <c r="G9" i="1"/>
  <c r="G15" i="1" s="1"/>
  <c r="F9" i="1"/>
  <c r="H9" i="1" s="1"/>
  <c r="B105" i="1"/>
  <c r="B89" i="1"/>
  <c r="B81" i="1"/>
  <c r="B73" i="1"/>
  <c r="B65" i="1"/>
  <c r="B57" i="1"/>
  <c r="B49" i="1"/>
  <c r="B41" i="1"/>
  <c r="B33" i="1"/>
  <c r="B25" i="1"/>
  <c r="B17" i="1"/>
  <c r="B9" i="1"/>
  <c r="J105" i="1"/>
  <c r="J89" i="1"/>
  <c r="G63" i="1"/>
  <c r="J57" i="1"/>
  <c r="J49" i="1"/>
  <c r="L39" i="1"/>
  <c r="F50" i="4"/>
  <c r="F49" i="3"/>
  <c r="M49" i="1"/>
  <c r="E49" i="1"/>
  <c r="F106" i="4"/>
  <c r="F105" i="3"/>
  <c r="G31" i="2"/>
  <c r="G44" i="2" s="1"/>
  <c r="G10" i="2"/>
  <c r="M105" i="1"/>
  <c r="E105" i="1"/>
  <c r="E56" i="4"/>
  <c r="D56" i="4"/>
  <c r="C56" i="4"/>
  <c r="G56" i="4"/>
  <c r="H56" i="4"/>
  <c r="G50" i="4"/>
  <c r="H50" i="4" s="1"/>
  <c r="E55" i="3"/>
  <c r="D55" i="3"/>
  <c r="G55" i="3" s="1"/>
  <c r="C55" i="3"/>
  <c r="G49" i="3"/>
  <c r="L55" i="1"/>
  <c r="D55" i="1"/>
  <c r="C55" i="1"/>
  <c r="E55" i="1"/>
  <c r="I49" i="1"/>
  <c r="G106" i="4"/>
  <c r="H106" i="4"/>
  <c r="G105" i="3"/>
  <c r="I105" i="1"/>
  <c r="D15" i="1"/>
  <c r="E15" i="1" s="1"/>
  <c r="D23" i="1"/>
  <c r="D31" i="1"/>
  <c r="D39" i="1"/>
  <c r="D47" i="1"/>
  <c r="D63" i="1"/>
  <c r="D71" i="1"/>
  <c r="D79" i="1"/>
  <c r="D87" i="1"/>
  <c r="D95" i="1"/>
  <c r="E95" i="1" s="1"/>
  <c r="D103" i="1"/>
  <c r="E103" i="1" s="1"/>
  <c r="D111" i="1"/>
  <c r="D113" i="1" s="1"/>
  <c r="C111" i="1"/>
  <c r="C112" i="4"/>
  <c r="D112" i="4"/>
  <c r="C111" i="3"/>
  <c r="D111" i="3"/>
  <c r="G111" i="3"/>
  <c r="E16" i="4"/>
  <c r="E24" i="4"/>
  <c r="F24" i="4" s="1"/>
  <c r="E32" i="4"/>
  <c r="F32" i="4" s="1"/>
  <c r="E40" i="4"/>
  <c r="F40" i="4" s="1"/>
  <c r="E48" i="4"/>
  <c r="E64" i="4"/>
  <c r="E72" i="4"/>
  <c r="E80" i="4"/>
  <c r="E88" i="4"/>
  <c r="E96" i="4"/>
  <c r="E104" i="4"/>
  <c r="F104" i="4" s="1"/>
  <c r="E112" i="4"/>
  <c r="F112" i="4" s="1"/>
  <c r="D16" i="4"/>
  <c r="D24" i="4"/>
  <c r="D32" i="4"/>
  <c r="D40" i="4"/>
  <c r="D48" i="4"/>
  <c r="F48" i="4" s="1"/>
  <c r="D64" i="4"/>
  <c r="F64" i="4" s="1"/>
  <c r="D72" i="4"/>
  <c r="G72" i="4" s="1"/>
  <c r="H72" i="4" s="1"/>
  <c r="D80" i="4"/>
  <c r="G80" i="4" s="1"/>
  <c r="H80" i="4" s="1"/>
  <c r="D88" i="4"/>
  <c r="F88" i="4" s="1"/>
  <c r="D96" i="4"/>
  <c r="F96" i="4" s="1"/>
  <c r="D104" i="4"/>
  <c r="C16" i="4"/>
  <c r="C24" i="4"/>
  <c r="G24" i="4"/>
  <c r="H24" i="4"/>
  <c r="C32" i="4"/>
  <c r="C40" i="4"/>
  <c r="G40" i="4"/>
  <c r="H40" i="4"/>
  <c r="C48" i="4"/>
  <c r="C64" i="4"/>
  <c r="G64" i="4" s="1"/>
  <c r="H64" i="4" s="1"/>
  <c r="C72" i="4"/>
  <c r="C80" i="4"/>
  <c r="C88" i="4"/>
  <c r="C96" i="4"/>
  <c r="C104" i="4"/>
  <c r="C114" i="4" s="1"/>
  <c r="G104" i="4"/>
  <c r="H104" i="4"/>
  <c r="F82" i="4"/>
  <c r="E15" i="3"/>
  <c r="E23" i="3"/>
  <c r="F23" i="3" s="1"/>
  <c r="E31" i="3"/>
  <c r="F31" i="3" s="1"/>
  <c r="E39" i="3"/>
  <c r="E47" i="3"/>
  <c r="E63" i="3"/>
  <c r="E71" i="3"/>
  <c r="E79" i="3"/>
  <c r="E87" i="3"/>
  <c r="E95" i="3"/>
  <c r="F95" i="3" s="1"/>
  <c r="E103" i="3"/>
  <c r="E111" i="3"/>
  <c r="E113" i="3" s="1"/>
  <c r="D15" i="3"/>
  <c r="G15" i="3" s="1"/>
  <c r="D23" i="3"/>
  <c r="D31" i="3"/>
  <c r="D39" i="3"/>
  <c r="D47" i="3"/>
  <c r="F47" i="3" s="1"/>
  <c r="D63" i="3"/>
  <c r="D71" i="3"/>
  <c r="F71" i="3" s="1"/>
  <c r="D79" i="3"/>
  <c r="F79" i="3" s="1"/>
  <c r="D87" i="3"/>
  <c r="D95" i="3"/>
  <c r="D103" i="3"/>
  <c r="C15" i="3"/>
  <c r="C23" i="3"/>
  <c r="G23" i="3"/>
  <c r="C31" i="3"/>
  <c r="G31" i="3" s="1"/>
  <c r="C39" i="3"/>
  <c r="G39" i="3" s="1"/>
  <c r="C47" i="3"/>
  <c r="G47" i="3"/>
  <c r="C63" i="3"/>
  <c r="C71" i="3"/>
  <c r="C79" i="3"/>
  <c r="C87" i="3"/>
  <c r="G87" i="3"/>
  <c r="C95" i="3"/>
  <c r="G95" i="3" s="1"/>
  <c r="C103" i="3"/>
  <c r="C113" i="3" s="1"/>
  <c r="F81" i="3"/>
  <c r="M81" i="1"/>
  <c r="E81" i="1"/>
  <c r="L15" i="1"/>
  <c r="L23" i="1"/>
  <c r="L31" i="1"/>
  <c r="L47" i="1"/>
  <c r="L63" i="1"/>
  <c r="L71" i="1"/>
  <c r="L79" i="1"/>
  <c r="L87" i="1"/>
  <c r="L95" i="1"/>
  <c r="L103" i="1"/>
  <c r="M103" i="1" s="1"/>
  <c r="K15" i="1"/>
  <c r="M15" i="1" s="1"/>
  <c r="K23" i="1"/>
  <c r="I23" i="1" s="1"/>
  <c r="C15" i="1"/>
  <c r="C23" i="1"/>
  <c r="C31" i="1"/>
  <c r="C39" i="1"/>
  <c r="C47" i="1"/>
  <c r="E47" i="1" s="1"/>
  <c r="C63" i="1"/>
  <c r="C71" i="1"/>
  <c r="E71" i="1"/>
  <c r="C79" i="1"/>
  <c r="E79" i="1" s="1"/>
  <c r="C87" i="1"/>
  <c r="E87" i="1"/>
  <c r="C95" i="1"/>
  <c r="C103" i="1"/>
  <c r="E89" i="1"/>
  <c r="I89" i="1"/>
  <c r="M89" i="1"/>
  <c r="K87" i="1"/>
  <c r="I87" i="1" s="1"/>
  <c r="F98" i="4"/>
  <c r="K31" i="2"/>
  <c r="K10" i="2"/>
  <c r="K39" i="1"/>
  <c r="I39" i="1" s="1"/>
  <c r="K47" i="1"/>
  <c r="I47" i="1" s="1"/>
  <c r="K63" i="1"/>
  <c r="K71" i="1"/>
  <c r="J71" i="1" s="1"/>
  <c r="K79" i="1"/>
  <c r="K103" i="1"/>
  <c r="I81" i="1"/>
  <c r="G82" i="4"/>
  <c r="H82" i="4"/>
  <c r="G81" i="3"/>
  <c r="F66" i="4"/>
  <c r="F65" i="3"/>
  <c r="N31" i="2"/>
  <c r="N44" i="2" s="1"/>
  <c r="M31" i="2"/>
  <c r="M44" i="2" s="1"/>
  <c r="L31" i="2"/>
  <c r="L44" i="2" s="1"/>
  <c r="J31" i="2"/>
  <c r="J44" i="2" s="1"/>
  <c r="I31" i="2"/>
  <c r="H31" i="2"/>
  <c r="F31" i="2"/>
  <c r="F44" i="2" s="1"/>
  <c r="E31" i="2"/>
  <c r="E44" i="2" s="1"/>
  <c r="C31" i="2"/>
  <c r="C44" i="2" s="1"/>
  <c r="B31" i="2"/>
  <c r="O31" i="2" s="1"/>
  <c r="O44" i="2" s="1"/>
  <c r="M65" i="1"/>
  <c r="E65" i="1"/>
  <c r="I10" i="2"/>
  <c r="I23" i="2" s="1"/>
  <c r="G66" i="4"/>
  <c r="H66" i="4" s="1"/>
  <c r="G74" i="4"/>
  <c r="H74" i="4"/>
  <c r="F74" i="4"/>
  <c r="G65" i="3"/>
  <c r="I65" i="1"/>
  <c r="F10" i="4"/>
  <c r="G10" i="4"/>
  <c r="H10" i="4"/>
  <c r="I9" i="1"/>
  <c r="I17" i="1"/>
  <c r="I33" i="1"/>
  <c r="I41" i="1"/>
  <c r="I57" i="1"/>
  <c r="I73" i="1"/>
  <c r="I97" i="1"/>
  <c r="E9" i="1"/>
  <c r="M9" i="1"/>
  <c r="E17" i="1"/>
  <c r="M17" i="1"/>
  <c r="E25" i="1"/>
  <c r="E33" i="1"/>
  <c r="M33" i="1"/>
  <c r="E41" i="1"/>
  <c r="M41" i="1"/>
  <c r="E57" i="1"/>
  <c r="M57" i="1"/>
  <c r="E73" i="1"/>
  <c r="M73" i="1"/>
  <c r="E97" i="1"/>
  <c r="M97" i="1"/>
  <c r="F18" i="4"/>
  <c r="G18" i="4"/>
  <c r="H18" i="4" s="1"/>
  <c r="F26" i="4"/>
  <c r="G26" i="4"/>
  <c r="H26" i="4" s="1"/>
  <c r="F34" i="4"/>
  <c r="G34" i="4"/>
  <c r="H34" i="4"/>
  <c r="F42" i="4"/>
  <c r="G42" i="4"/>
  <c r="H42" i="4"/>
  <c r="F58" i="4"/>
  <c r="G58" i="4"/>
  <c r="H58" i="4" s="1"/>
  <c r="F90" i="4"/>
  <c r="G90" i="4"/>
  <c r="H90" i="4" s="1"/>
  <c r="G98" i="4"/>
  <c r="H98" i="4"/>
  <c r="F9" i="3"/>
  <c r="F17" i="3"/>
  <c r="G17" i="3"/>
  <c r="F25" i="3"/>
  <c r="G25" i="3"/>
  <c r="F33" i="3"/>
  <c r="G33" i="3"/>
  <c r="F41" i="3"/>
  <c r="G41" i="3"/>
  <c r="F57" i="3"/>
  <c r="G57" i="3"/>
  <c r="F73" i="3"/>
  <c r="G73" i="3"/>
  <c r="F89" i="3"/>
  <c r="G89" i="3"/>
  <c r="F97" i="3"/>
  <c r="G97" i="3"/>
  <c r="G9" i="3"/>
  <c r="B10" i="2"/>
  <c r="B23" i="2" s="1"/>
  <c r="C10" i="2"/>
  <c r="C23" i="2" s="1"/>
  <c r="D10" i="2"/>
  <c r="D23" i="2" s="1"/>
  <c r="E10" i="2"/>
  <c r="F10" i="2"/>
  <c r="H10" i="2"/>
  <c r="J10" i="2"/>
  <c r="L10" i="2"/>
  <c r="M10" i="2"/>
  <c r="N10" i="2"/>
  <c r="I25" i="1"/>
  <c r="M25" i="1"/>
  <c r="K31" i="1"/>
  <c r="M31" i="1" s="1"/>
  <c r="D31" i="2"/>
  <c r="D44" i="2" s="1"/>
  <c r="L111" i="1"/>
  <c r="M111" i="1" s="1"/>
  <c r="K111" i="1"/>
  <c r="K55" i="1"/>
  <c r="M55" i="1"/>
  <c r="K95" i="1"/>
  <c r="F116" i="4"/>
  <c r="E115" i="1"/>
  <c r="H97" i="1"/>
  <c r="H57" i="1"/>
  <c r="H17" i="1"/>
  <c r="G87" i="1"/>
  <c r="H73" i="1"/>
  <c r="J73" i="1"/>
  <c r="J17" i="1"/>
  <c r="F95" i="1"/>
  <c r="J95" i="1"/>
  <c r="J33" i="1"/>
  <c r="H105" i="1"/>
  <c r="G79" i="1"/>
  <c r="G32" i="4"/>
  <c r="H32" i="4" s="1"/>
  <c r="H50" i="1"/>
  <c r="F56" i="4"/>
  <c r="F16" i="4"/>
  <c r="F103" i="3"/>
  <c r="F87" i="3"/>
  <c r="G79" i="3"/>
  <c r="J65" i="1"/>
  <c r="J81" i="1"/>
  <c r="I71" i="1"/>
  <c r="E23" i="1"/>
  <c r="G112" i="4"/>
  <c r="H112" i="4"/>
  <c r="F72" i="4"/>
  <c r="E114" i="4"/>
  <c r="G16" i="4"/>
  <c r="H16" i="4"/>
  <c r="G103" i="3"/>
  <c r="F63" i="3"/>
  <c r="G63" i="3"/>
  <c r="D113" i="3"/>
  <c r="G113" i="3" s="1"/>
  <c r="F39" i="3"/>
  <c r="L23" i="2"/>
  <c r="M23" i="1"/>
  <c r="H52" i="1"/>
  <c r="I111" i="1"/>
  <c r="I103" i="1"/>
  <c r="M95" i="1"/>
  <c r="I95" i="1"/>
  <c r="M87" i="1"/>
  <c r="M79" i="1"/>
  <c r="E63" i="1"/>
  <c r="I55" i="1"/>
  <c r="E39" i="1"/>
  <c r="E31" i="1"/>
  <c r="I31" i="1"/>
  <c r="F23" i="2"/>
  <c r="M23" i="2"/>
  <c r="O33" i="2"/>
  <c r="H23" i="1" l="1"/>
  <c r="J23" i="1"/>
  <c r="J115" i="1"/>
  <c r="H115" i="1"/>
  <c r="H71" i="1"/>
  <c r="H47" i="1"/>
  <c r="K113" i="1"/>
  <c r="F39" i="1"/>
  <c r="H39" i="1" s="1"/>
  <c r="F63" i="1"/>
  <c r="H63" i="1" s="1"/>
  <c r="H35" i="1"/>
  <c r="G39" i="1"/>
  <c r="G113" i="1" s="1"/>
  <c r="J76" i="1"/>
  <c r="G96" i="4"/>
  <c r="H96" i="4" s="1"/>
  <c r="H74" i="1"/>
  <c r="H44" i="1"/>
  <c r="H13" i="1"/>
  <c r="E111" i="1"/>
  <c r="F113" i="3"/>
  <c r="O10" i="2"/>
  <c r="O23" i="2" s="1"/>
  <c r="I15" i="1"/>
  <c r="G48" i="4"/>
  <c r="H48" i="4" s="1"/>
  <c r="M47" i="1"/>
  <c r="H51" i="1"/>
  <c r="F55" i="3"/>
  <c r="M71" i="1"/>
  <c r="F15" i="3"/>
  <c r="J41" i="1"/>
  <c r="J18" i="1"/>
  <c r="J106" i="1"/>
  <c r="J27" i="1"/>
  <c r="H36" i="1"/>
  <c r="H108" i="1"/>
  <c r="H101" i="1"/>
  <c r="J15" i="1"/>
  <c r="D114" i="4"/>
  <c r="I63" i="1"/>
  <c r="F103" i="1"/>
  <c r="F111" i="1"/>
  <c r="F55" i="1"/>
  <c r="G71" i="3"/>
  <c r="H84" i="1"/>
  <c r="F115" i="3"/>
  <c r="J13" i="1"/>
  <c r="C113" i="1"/>
  <c r="E113" i="1" s="1"/>
  <c r="G88" i="4"/>
  <c r="H88" i="4" s="1"/>
  <c r="E23" i="2"/>
  <c r="M63" i="1"/>
  <c r="J109" i="1"/>
  <c r="F15" i="1"/>
  <c r="H15" i="1" s="1"/>
  <c r="L113" i="1"/>
  <c r="H42" i="1"/>
  <c r="H60" i="1"/>
  <c r="B44" i="2"/>
  <c r="F80" i="4"/>
  <c r="H90" i="1"/>
  <c r="H11" i="1"/>
  <c r="J45" i="1"/>
  <c r="J29" i="1"/>
  <c r="J20" i="1"/>
  <c r="J92" i="1"/>
  <c r="J85" i="1"/>
  <c r="M39" i="1"/>
  <c r="F79" i="1"/>
  <c r="J47" i="1"/>
  <c r="J9" i="1"/>
  <c r="J58" i="1"/>
  <c r="F111" i="3"/>
  <c r="H41" i="1"/>
  <c r="H26" i="1"/>
  <c r="F31" i="1"/>
  <c r="H31" i="1" s="1"/>
  <c r="H25" i="1"/>
  <c r="H18" i="1"/>
  <c r="F87" i="1"/>
  <c r="H67" i="1"/>
  <c r="I79" i="1"/>
  <c r="J31" i="1" l="1"/>
  <c r="J87" i="1"/>
  <c r="H87" i="1"/>
  <c r="F113" i="1"/>
  <c r="H113" i="1" s="1"/>
  <c r="J111" i="1"/>
  <c r="H111" i="1"/>
  <c r="H79" i="1"/>
  <c r="J79" i="1"/>
  <c r="H55" i="1"/>
  <c r="J55" i="1"/>
  <c r="J63" i="1"/>
  <c r="M113" i="1"/>
  <c r="I113" i="1"/>
  <c r="J103" i="1"/>
  <c r="H103" i="1"/>
  <c r="J39" i="1"/>
  <c r="G114" i="4"/>
  <c r="H114" i="4" s="1"/>
  <c r="F114" i="4"/>
  <c r="J113" i="1" l="1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<sst xmlns="http://schemas.openxmlformats.org/spreadsheetml/2006/main" count="192" uniqueCount="75">
  <si>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</si>
  <si>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</si>
  <si>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</si>
  <si>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</si>
  <si>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</si>
  <si>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</si>
  <si>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</si>
  <si>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</si>
  <si>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</si>
  <si>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</si>
  <si>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</si>
  <si>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</si>
  <si>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</si>
  <si>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</si>
  <si>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</si>
  <si>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</si>
  <si>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</si>
  <si>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</si>
  <si>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</si>
  <si>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</si>
  <si>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</si>
  <si>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</si>
  <si>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</si>
  <si>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</si>
  <si>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</si>
  <si>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</si>
  <si>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</si>
  <si>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</si>
  <si>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</si>
  <si>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</si>
  <si>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</si>
  <si>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</si>
  <si>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</si>
  <si>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</si>
  <si>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</si>
  <si>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</si>
  <si>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</si>
  <si>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</si>
  <si>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</si>
  <si>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</si>
  <si>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</si>
  <si>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</si>
  <si>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</si>
  <si>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</si>
  <si>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</si>
  <si>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</si>
  <si>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</si>
  <si>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</si>
  <si>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</si>
  <si>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</si>
  <si>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</si>
  <si>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</si>
  <si>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</si>
  <si>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</si>
  <si>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</si>
  <si>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</si>
  <si>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</si>
  <si>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</si>
  <si>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</si>
  <si>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</si>
  <si>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</si>
  <si>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</si>
  <si>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</si>
  <si>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</si>
  <si>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</si>
  <si>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</si>
  <si>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</si>
  <si>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</si>
  <si>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</si>
  <si>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NOVEMBER 30, 2019</t>
  </si>
  <si>
    <t>(as reported on the tax remittal database dtd 12/9/19)</t>
  </si>
  <si>
    <t>FOR THE MONTH ENDED:   NOVEMBER 30, 2019</t>
  </si>
  <si>
    <t>THRU MONTH ENDED:   NOVEMBER 30, 2019</t>
  </si>
  <si>
    <t>(as reported on the tax remittal database as of 12/9/19)</t>
  </si>
  <si>
    <t>THRU MONTH ENDED:     NOVEMBER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</si>
</sst>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87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>(+C9-D9)/D9</f>
        <v>4.7285202863961817E-2</v>
      </c>
      <c r="F9" s="21">
        <f>+C9-121652</f>
        <v>152167</v>
      </c>
      <c r="G9" s="21">
        <f>+D9-122888</f>
        <v>138568</v>
      </c>
      <c r="H9" s="23">
        <f>(+F9-G9)/G9</f>
        <v>9.8139541596905494E-2</v>
      </c>
      <c r="I9" s="24">
        <f>K9/C9</f>
        <v>53.293904623126956</v>
      </c>
      <c r="J9" s="24">
        <f>K9/F9</f>
        <v>95.9004493089829</v>
      </c>
      <c r="K9" s="21">
        <v>14592883.67</v>
      </c>
      <c r="L9" s="21">
        <v>13375050.09</v>
      </c>
      <c r="M9" s="25">
        <f>(+K9-L9)/L9</f>
        <v>9.1052636947545076E-2</v>
      </c>
      <c r="N9" s="10"/>
      <c r="R9" s="2"/>
    </row>
    <row r="10" spans="1:18" ht="15.75" x14ac:dyDescent="0.25">
      <c r="A10" s="19"/>
      <c r="B10" s="20">
        <f>DATE(2019,8,1)</f>
        <v>43678</v>
      </c>
      <c r="C10" s="21">
        <v>276880</v>
      </c>
      <c r="D10" s="22">
        <v>266367</v>
      </c>
      <c r="E10" s="23">
        <f>(+C10-D10)/D10</f>
        <v>3.9468102279937078E-2</v>
      </c>
      <c r="F10" s="21">
        <f>+C10-123357</f>
        <v>153523</v>
      </c>
      <c r="G10" s="21">
        <f>+D10-122166</f>
        <v>144201</v>
      </c>
      <c r="H10" s="23">
        <f>(+F10-G10)/G10</f>
        <v>6.4645876242189718E-2</v>
      </c>
      <c r="I10" s="24">
        <f>K10/C10</f>
        <v>52.376661297312914</v>
      </c>
      <c r="J10" s="24">
        <f>K10/F10</f>
        <v>94.461741758563861</v>
      </c>
      <c r="K10" s="21">
        <v>14502049.98</v>
      </c>
      <c r="L10" s="21">
        <v>13957901.84</v>
      </c>
      <c r="M10" s="25">
        <f>(+K10-L10)/L10</f>
        <v>3.898495248337415E-2</v>
      </c>
      <c r="N10" s="10"/>
      <c r="R10" s="2"/>
    </row>
    <row r="11" spans="1:18" ht="15.75" x14ac:dyDescent="0.25">
      <c r="A11" s="19"/>
      <c r="B11" s="20">
        <f>DATE(2019,9,1)</f>
        <v>43709</v>
      </c>
      <c r="C11" s="21">
        <v>254028</v>
      </c>
      <c r="D11" s="22">
        <v>263613</v>
      </c>
      <c r="E11" s="23">
        <f>(+C11-D11)/D11</f>
        <v>-3.6360118810529071E-2</v>
      </c>
      <c r="F11" s="21">
        <f>+C11-112781</f>
        <v>141247</v>
      </c>
      <c r="G11" s="21">
        <f>+D11-122145</f>
        <v>141468</v>
      </c>
      <c r="H11" s="23">
        <f>(+F11-G11)/G11</f>
        <v>-1.56219074278282E-3</v>
      </c>
      <c r="I11" s="24">
        <f>K11/C11</f>
        <v>50.285363739430302</v>
      </c>
      <c r="J11" s="24">
        <f>K11/F11</f>
        <v>90.43654293542518</v>
      </c>
      <c r="K11" s="21">
        <v>12773890.380000001</v>
      </c>
      <c r="L11" s="21">
        <v>13536102.300000001</v>
      </c>
      <c r="M11" s="25">
        <f>(+K11-L11)/L11</f>
        <v>-5.6309556703039977E-2</v>
      </c>
      <c r="N11" s="10"/>
      <c r="R11" s="2"/>
    </row>
    <row r="12" spans="1:18" ht="15.75" x14ac:dyDescent="0.25">
      <c r="A12" s="19"/>
      <c r="B12" s="20">
        <f>DATE(2019,10,1)</f>
        <v>43739</v>
      </c>
      <c r="C12" s="21">
        <v>250952</v>
      </c>
      <c r="D12" s="22">
        <v>264243</v>
      </c>
      <c r="E12" s="23">
        <f>(+C12-D12)/D12</f>
        <v>-5.0298399579175229E-2</v>
      </c>
      <c r="F12" s="21">
        <f>+C12-113545</f>
        <v>137407</v>
      </c>
      <c r="G12" s="21">
        <f>+D12-121413</f>
        <v>142830</v>
      </c>
      <c r="H12" s="23">
        <f>(+F12-G12)/G12</f>
        <v>-3.7968213960652523E-2</v>
      </c>
      <c r="I12" s="24">
        <f>K12/C12</f>
        <v>53.295277224329752</v>
      </c>
      <c r="J12" s="24">
        <f>K12/F12</f>
        <v>97.335335244929297</v>
      </c>
      <c r="K12" s="21">
        <v>13374556.41</v>
      </c>
      <c r="L12" s="21">
        <v>13965262.380000001</v>
      </c>
      <c r="M12" s="25">
        <f>(+K12-L12)/L12</f>
        <v>-4.2298236433134642E-2</v>
      </c>
      <c r="N12" s="10"/>
      <c r="R12" s="2"/>
    </row>
    <row r="13" spans="1:18" ht="15.75" x14ac:dyDescent="0.25">
      <c r="A13" s="19"/>
      <c r="B13" s="20">
        <f>DATE(2019,11,1)</f>
        <v>43770</v>
      </c>
      <c r="C13" s="21">
        <v>272418</v>
      </c>
      <c r="D13" s="22">
        <v>252868</v>
      </c>
      <c r="E13" s="23">
        <f>(+C13-D13)/D13</f>
        <v>7.7313064523783157E-2</v>
      </c>
      <c r="F13" s="21">
        <f>+C13-124199</f>
        <v>148219</v>
      </c>
      <c r="G13" s="21">
        <f>+D13-117772</f>
        <v>135096</v>
      </c>
      <c r="H13" s="23">
        <f>(+F13-G13)/G13</f>
        <v>9.713833126073311E-2</v>
      </c>
      <c r="I13" s="24">
        <f>K13/C13</f>
        <v>51.274458772915153</v>
      </c>
      <c r="J13" s="24">
        <f>K13/F13</f>
        <v>94.239507148206371</v>
      </c>
      <c r="K13" s="21">
        <v>13968085.51</v>
      </c>
      <c r="L13" s="21">
        <v>13690400.939999999</v>
      </c>
      <c r="M13" s="25">
        <f>(+K13-L13)/L13</f>
        <v>2.0283158339700191E-2</v>
      </c>
      <c r="N13" s="10"/>
      <c r="R13" s="2"/>
    </row>
    <row r="14" spans="1:18" ht="15.75" customHeight="1" thickBot="1" x14ac:dyDescent="0.3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Top="1" thickBot="1" x14ac:dyDescent="0.3">
      <c r="A15" s="26" t="s">
        <v>14</v>
      </c>
      <c r="B15" s="27"/>
      <c r="C15" s="28">
        <f>SUM(C9:C14)</f>
        <v>1328097</v>
      </c>
      <c r="D15" s="28">
        <f>SUM(D9:D14)</f>
        <v>1308547</v>
      </c>
      <c r="E15" s="279">
        <f>(+C15-D15)/D15</f>
        <v>1.4940235238015907E-2</v>
      </c>
      <c r="F15" s="28">
        <f>SUM(F9:F14)</f>
        <v>732563</v>
      </c>
      <c r="G15" s="28">
        <f>SUM(G9:G14)</f>
        <v>702163</v>
      </c>
      <c r="H15" s="30">
        <f>(+F15-G15)/G15</f>
        <v>4.329479052584656E-2</v>
      </c>
      <c r="I15" s="31">
        <f>K15/C15</f>
        <v>52.113261267814025</v>
      </c>
      <c r="J15" s="31">
        <f>K15/F15</f>
        <v>94.478517137775185</v>
      </c>
      <c r="K15" s="28">
        <f>SUM(K9:K14)</f>
        <v>69211465.950000003</v>
      </c>
      <c r="L15" s="28">
        <f>SUM(L9:L14)</f>
        <v>68524717.550000012</v>
      </c>
      <c r="M15" s="32">
        <f>(+K15-L15)/L15</f>
        <v>1.0021907780924388E-2</v>
      </c>
      <c r="N15" s="10"/>
      <c r="R15" s="2"/>
    </row>
    <row r="16" spans="1:18" ht="15.75" customHeight="1" thickTop="1" x14ac:dyDescent="0.25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.75" x14ac:dyDescent="0.25">
      <c r="A17" s="19" t="s">
        <v>15</v>
      </c>
      <c r="B17" s="20">
        <f>DATE(2019,7,1)</f>
        <v>43647</v>
      </c>
      <c r="C17" s="21">
        <v>128877</v>
      </c>
      <c r="D17" s="21">
        <v>142478</v>
      </c>
      <c r="E17" s="23">
        <f>(+C17-D17)/D17</f>
        <v>-9.5460351773607149E-2</v>
      </c>
      <c r="F17" s="21">
        <f>+C17-61988</f>
        <v>66889</v>
      </c>
      <c r="G17" s="21">
        <f>+D17-67444</f>
        <v>75034</v>
      </c>
      <c r="H17" s="23">
        <f>(+F17-G17)/G17</f>
        <v>-0.10855079030839353</v>
      </c>
      <c r="I17" s="24">
        <f>K17/C17</f>
        <v>54.051311172668512</v>
      </c>
      <c r="J17" s="24">
        <f>K17/F17</f>
        <v>104.14224805274409</v>
      </c>
      <c r="K17" s="21">
        <v>6965970.8300000001</v>
      </c>
      <c r="L17" s="21">
        <v>7374850.2599999998</v>
      </c>
      <c r="M17" s="25">
        <f>(+K17-L17)/L17</f>
        <v>-5.544240433161008E-2</v>
      </c>
      <c r="N17" s="10"/>
      <c r="R17" s="2"/>
    </row>
    <row r="18" spans="1:18" ht="15.75" x14ac:dyDescent="0.25">
      <c r="A18" s="19"/>
      <c r="B18" s="20">
        <f>DATE(2019,8,1)</f>
        <v>43678</v>
      </c>
      <c r="C18" s="21">
        <v>130133</v>
      </c>
      <c r="D18" s="21">
        <v>137794</v>
      </c>
      <c r="E18" s="23">
        <f>(+C18-D18)/D18</f>
        <v>-5.5597486102442778E-2</v>
      </c>
      <c r="F18" s="21">
        <f>+C18-62200</f>
        <v>67933</v>
      </c>
      <c r="G18" s="21">
        <f>+D18-65911</f>
        <v>71883</v>
      </c>
      <c r="H18" s="23">
        <f>(+F18-G18)/G18</f>
        <v>-5.4950405520081243E-2</v>
      </c>
      <c r="I18" s="24">
        <f>K18/C18</f>
        <v>53.532999700306604</v>
      </c>
      <c r="J18" s="24">
        <f>K18/F18</f>
        <v>102.54824385791882</v>
      </c>
      <c r="K18" s="21">
        <v>6966409.8499999996</v>
      </c>
      <c r="L18" s="21">
        <v>7098601.2599999998</v>
      </c>
      <c r="M18" s="25">
        <f>(+K18-L18)/L18</f>
        <v>-1.862217712451145E-2</v>
      </c>
      <c r="N18" s="10"/>
      <c r="R18" s="2"/>
    </row>
    <row r="19" spans="1:18" ht="15.75" x14ac:dyDescent="0.25">
      <c r="A19" s="19"/>
      <c r="B19" s="20">
        <f>DATE(2019,9,1)</f>
        <v>43709</v>
      </c>
      <c r="C19" s="21">
        <v>118251</v>
      </c>
      <c r="D19" s="21">
        <v>137262</v>
      </c>
      <c r="E19" s="23">
        <f>(+C19-D19)/D19</f>
        <v>-0.13850155177689383</v>
      </c>
      <c r="F19" s="21">
        <f>+C19-55723</f>
        <v>62528</v>
      </c>
      <c r="G19" s="21">
        <f>+D19-65092</f>
        <v>72170</v>
      </c>
      <c r="H19" s="23">
        <f>(+F19-G19)/G19</f>
        <v>-0.13360121934321739</v>
      </c>
      <c r="I19" s="24">
        <f>K19/C19</f>
        <v>54.246988186146417</v>
      </c>
      <c r="J19" s="24">
        <f>K19/F19</f>
        <v>102.59020918628454</v>
      </c>
      <c r="K19" s="21">
        <v>6414760.5999999996</v>
      </c>
      <c r="L19" s="21">
        <v>6514977.2199999997</v>
      </c>
      <c r="M19" s="25">
        <f>(+K19-L19)/L19</f>
        <v>-1.5382497377327763E-2</v>
      </c>
      <c r="N19" s="10"/>
      <c r="R19" s="2"/>
    </row>
    <row r="20" spans="1:18" ht="15.75" x14ac:dyDescent="0.25">
      <c r="A20" s="19"/>
      <c r="B20" s="20">
        <f>DATE(2019,10,1)</f>
        <v>43739</v>
      </c>
      <c r="C20" s="21">
        <v>113052</v>
      </c>
      <c r="D20" s="21">
        <v>119937</v>
      </c>
      <c r="E20" s="23">
        <f>(+C20-D20)/D20</f>
        <v>-5.7405137697291081E-2</v>
      </c>
      <c r="F20" s="21">
        <f>+C20-54189</f>
        <v>58863</v>
      </c>
      <c r="G20" s="21">
        <f>+D20-56627</f>
        <v>63310</v>
      </c>
      <c r="H20" s="23">
        <f>(+F20-G20)/G20</f>
        <v>-7.0241667982941083E-2</v>
      </c>
      <c r="I20" s="24">
        <f>K20/C20</f>
        <v>53.516211477903973</v>
      </c>
      <c r="J20" s="24">
        <f>K20/F20</f>
        <v>102.78298319827397</v>
      </c>
      <c r="K20" s="21">
        <v>6050114.7400000002</v>
      </c>
      <c r="L20" s="21">
        <v>6347121.8700000001</v>
      </c>
      <c r="M20" s="25">
        <f>(+K20-L20)/L20</f>
        <v>-4.6793985696701283E-2</v>
      </c>
      <c r="N20" s="10"/>
      <c r="R20" s="2"/>
    </row>
    <row r="21" spans="1:18" ht="15.75" x14ac:dyDescent="0.25">
      <c r="A21" s="19"/>
      <c r="B21" s="20">
        <f>DATE(2019,11,1)</f>
        <v>43770</v>
      </c>
      <c r="C21" s="21">
        <v>116655</v>
      </c>
      <c r="D21" s="21">
        <v>113387</v>
      </c>
      <c r="E21" s="23">
        <f>(+C21-D21)/D21</f>
        <v>2.882164622046619E-2</v>
      </c>
      <c r="F21" s="21">
        <f>+C21-56252</f>
        <v>60403</v>
      </c>
      <c r="G21" s="21">
        <f>+D21-54700</f>
        <v>58687</v>
      </c>
      <c r="H21" s="23">
        <f>(+F21-G21)/G21</f>
        <v>2.9239865728355512E-2</v>
      </c>
      <c r="I21" s="24">
        <f>K21/C21</f>
        <v>54.552378123526637</v>
      </c>
      <c r="J21" s="24">
        <f>K21/F21</f>
        <v>105.35582123404467</v>
      </c>
      <c r="K21" s="21">
        <v>6363807.6699999999</v>
      </c>
      <c r="L21" s="21">
        <v>5777883.1900000004</v>
      </c>
      <c r="M21" s="25">
        <f>(+K21-L21)/L21</f>
        <v>0.10140815602054418</v>
      </c>
      <c r="N21" s="10"/>
      <c r="R21" s="2"/>
    </row>
    <row r="22" spans="1:18" ht="15.75" customHeight="1" thickBot="1" x14ac:dyDescent="0.3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Top="1" thickBot="1" x14ac:dyDescent="0.3">
      <c r="A23" s="26" t="s">
        <v>14</v>
      </c>
      <c r="B23" s="27"/>
      <c r="C23" s="28">
        <f>SUM(C17:C22)</f>
        <v>606968</v>
      </c>
      <c r="D23" s="28">
        <f>SUM(D17:D22)</f>
        <v>650858</v>
      </c>
      <c r="E23" s="279">
        <f>(+C23-D23)/D23</f>
        <v>-6.7434063958651508E-2</v>
      </c>
      <c r="F23" s="28">
        <f>SUM(F17:F22)</f>
        <v>316616</v>
      </c>
      <c r="G23" s="28">
        <f>SUM(G17:G22)</f>
        <v>341084</v>
      </c>
      <c r="H23" s="30">
        <f>(+F23-G23)/G23</f>
        <v>-7.1735994652343704E-2</v>
      </c>
      <c r="I23" s="31">
        <f>K23/C23</f>
        <v>53.974943802638698</v>
      </c>
      <c r="J23" s="31">
        <f>K23/F23</f>
        <v>103.47254620739319</v>
      </c>
      <c r="K23" s="28">
        <f>SUM(K17:K22)</f>
        <v>32761063.690000005</v>
      </c>
      <c r="L23" s="28">
        <f>SUM(L17:L22)</f>
        <v>33113433.800000001</v>
      </c>
      <c r="M23" s="32">
        <f>(+K23-L23)/L23</f>
        <v>-1.0641303832403986E-2</v>
      </c>
      <c r="N23" s="10"/>
      <c r="R23" s="2"/>
    </row>
    <row r="24" spans="1:18" ht="15.75" customHeight="1" thickTop="1" x14ac:dyDescent="0.25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 x14ac:dyDescent="0.25">
      <c r="A25" s="19" t="s">
        <v>56</v>
      </c>
      <c r="B25" s="20">
        <f>DATE(2019,7,1)</f>
        <v>43647</v>
      </c>
      <c r="C25" s="21">
        <v>66822</v>
      </c>
      <c r="D25" s="21">
        <v>72910</v>
      </c>
      <c r="E25" s="23">
        <f>(+C25-D25)/D25</f>
        <v>-8.3500205733095592E-2</v>
      </c>
      <c r="F25" s="21">
        <f>+C25-35692</f>
        <v>31130</v>
      </c>
      <c r="G25" s="21">
        <f>+D25-39365</f>
        <v>33545</v>
      </c>
      <c r="H25" s="23">
        <f>(+F25-G25)/G25</f>
        <v>-7.1992845431509911E-2</v>
      </c>
      <c r="I25" s="24">
        <f>K25/C25</f>
        <v>48.793103618568736</v>
      </c>
      <c r="J25" s="24">
        <f>K25/F25</f>
        <v>104.73667748152907</v>
      </c>
      <c r="K25" s="21">
        <v>3260452.77</v>
      </c>
      <c r="L25" s="21">
        <v>3264963.85</v>
      </c>
      <c r="M25" s="25">
        <f>(+K25-L25)/L25</f>
        <v>-1.3816630772190859E-3</v>
      </c>
      <c r="N25" s="10"/>
      <c r="R25" s="2"/>
    </row>
    <row r="26" spans="1:18" ht="15.75" customHeight="1" x14ac:dyDescent="0.25">
      <c r="A26" s="19"/>
      <c r="B26" s="20">
        <f>DATE(2019,8,1)</f>
        <v>43678</v>
      </c>
      <c r="C26" s="21">
        <v>69025</v>
      </c>
      <c r="D26" s="21">
        <v>70574</v>
      </c>
      <c r="E26" s="23">
        <f>(+C26-D26)/D26</f>
        <v>-2.1948592966248192E-2</v>
      </c>
      <c r="F26" s="21">
        <f>+C26-37871</f>
        <v>31154</v>
      </c>
      <c r="G26" s="21">
        <f>+D26-38367</f>
        <v>32207</v>
      </c>
      <c r="H26" s="23">
        <f>(+F26-G26)/G26</f>
        <v>-3.2694755798428912E-2</v>
      </c>
      <c r="I26" s="24">
        <f>K26/C26</f>
        <v>46.687241434262944</v>
      </c>
      <c r="J26" s="24">
        <f>K26/F26</f>
        <v>103.4405482442062</v>
      </c>
      <c r="K26" s="21">
        <v>3222586.84</v>
      </c>
      <c r="L26" s="21">
        <v>3124652.26</v>
      </c>
      <c r="M26" s="25">
        <f>(+K26-L26)/L26</f>
        <v>3.1342553299034973E-2</v>
      </c>
      <c r="N26" s="10"/>
      <c r="R26" s="2"/>
    </row>
    <row r="27" spans="1:18" ht="15.75" customHeight="1" x14ac:dyDescent="0.25">
      <c r="A27" s="19"/>
      <c r="B27" s="20">
        <f>DATE(2019,9,1)</f>
        <v>43709</v>
      </c>
      <c r="C27" s="21">
        <v>65573</v>
      </c>
      <c r="D27" s="21">
        <v>68201</v>
      </c>
      <c r="E27" s="23">
        <f>(+C27-D27)/D27</f>
        <v>-3.8533159337839622E-2</v>
      </c>
      <c r="F27" s="21">
        <f>+C27-35939</f>
        <v>29634</v>
      </c>
      <c r="G27" s="21">
        <f>+D27-36459</f>
        <v>31742</v>
      </c>
      <c r="H27" s="23">
        <f>(+F27-G27)/G27</f>
        <v>-6.6410434125133894E-2</v>
      </c>
      <c r="I27" s="24">
        <f>K27/C27</f>
        <v>47.458679486983975</v>
      </c>
      <c r="J27" s="24">
        <f>K27/F27</f>
        <v>105.01477998245259</v>
      </c>
      <c r="K27" s="21">
        <v>3112007.99</v>
      </c>
      <c r="L27" s="21">
        <v>3126829.64</v>
      </c>
      <c r="M27" s="25">
        <f>(+K27-L27)/L27</f>
        <v>-4.7401527126370423E-3</v>
      </c>
      <c r="N27" s="10"/>
      <c r="R27" s="2"/>
    </row>
    <row r="28" spans="1:18" ht="15.75" customHeight="1" x14ac:dyDescent="0.25">
      <c r="A28" s="19"/>
      <c r="B28" s="20">
        <f>DATE(2019,10,1)</f>
        <v>43739</v>
      </c>
      <c r="C28" s="21">
        <v>63039</v>
      </c>
      <c r="D28" s="21">
        <v>62804</v>
      </c>
      <c r="E28" s="23">
        <f>(+C28-D28)/D28</f>
        <v>3.7417998853576206E-3</v>
      </c>
      <c r="F28" s="21">
        <f>+C28-34568</f>
        <v>28471</v>
      </c>
      <c r="G28" s="21">
        <f>+D28-33338</f>
        <v>29466</v>
      </c>
      <c r="H28" s="23">
        <f>(+F28-G28)/G28</f>
        <v>-3.3767732301635781E-2</v>
      </c>
      <c r="I28" s="24">
        <f>K28/C28</f>
        <v>49.582150573454527</v>
      </c>
      <c r="J28" s="24">
        <f>K28/F28</f>
        <v>109.78220610445716</v>
      </c>
      <c r="K28" s="21">
        <v>3125609.19</v>
      </c>
      <c r="L28" s="21">
        <v>2846929.77</v>
      </c>
      <c r="M28" s="25">
        <f>(+K28-L28)/L28</f>
        <v>9.7887704479622598E-2</v>
      </c>
      <c r="N28" s="10"/>
      <c r="R28" s="2"/>
    </row>
    <row r="29" spans="1:18" ht="15.75" customHeight="1" x14ac:dyDescent="0.25">
      <c r="A29" s="19"/>
      <c r="B29" s="20">
        <f>DATE(2019,11,1)</f>
        <v>43770</v>
      </c>
      <c r="C29" s="21">
        <v>64312</v>
      </c>
      <c r="D29" s="21">
        <v>61960</v>
      </c>
      <c r="E29" s="23">
        <f>(+C29-D29)/D29</f>
        <v>3.7959974176888317E-2</v>
      </c>
      <c r="F29" s="21">
        <f>+C29-35218</f>
        <v>29094</v>
      </c>
      <c r="G29" s="21">
        <f>+D29-34125</f>
        <v>27835</v>
      </c>
      <c r="H29" s="23">
        <f>(+F29-G29)/G29</f>
        <v>4.5230824501526858E-2</v>
      </c>
      <c r="I29" s="24">
        <f>K29/C29</f>
        <v>49.90834914168429</v>
      </c>
      <c r="J29" s="24">
        <f>K29/F29</f>
        <v>110.32191345294562</v>
      </c>
      <c r="K29" s="21">
        <v>3209705.75</v>
      </c>
      <c r="L29" s="21">
        <v>2852375.01</v>
      </c>
      <c r="M29" s="25">
        <f>(+K29-L29)/L29</f>
        <v>0.12527481090223136</v>
      </c>
      <c r="N29" s="10"/>
      <c r="R29" s="2"/>
    </row>
    <row r="30" spans="1:18" ht="15.75" customHeight="1" thickBot="1" x14ac:dyDescent="0.25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39" t="s">
        <v>14</v>
      </c>
      <c r="B31" s="40"/>
      <c r="C31" s="41">
        <f>SUM(C25:C30)</f>
        <v>328771</v>
      </c>
      <c r="D31" s="41">
        <f>SUM(D25:D30)</f>
        <v>336449</v>
      </c>
      <c r="E31" s="280">
        <f>(+C31-D31)/D31</f>
        <v>-2.2820694964169903E-2</v>
      </c>
      <c r="F31" s="41">
        <f>SUM(F25:F30)</f>
        <v>149483</v>
      </c>
      <c r="G31" s="41">
        <f>SUM(G25:G30)</f>
        <v>154795</v>
      </c>
      <c r="H31" s="42">
        <f>(+F31-G31)/G31</f>
        <v>-3.4316353887399467E-2</v>
      </c>
      <c r="I31" s="43">
        <f>K31/C31</f>
        <v>48.454281369098851</v>
      </c>
      <c r="J31" s="43">
        <f>K31/F31</f>
        <v>106.56972725995598</v>
      </c>
      <c r="K31" s="41">
        <f>SUM(K25:K30)</f>
        <v>15930362.539999999</v>
      </c>
      <c r="L31" s="41">
        <f>SUM(L25:L30)</f>
        <v>15215750.529999999</v>
      </c>
      <c r="M31" s="44">
        <f>(+K31-L31)/L31</f>
        <v>4.6965281705364542E-2</v>
      </c>
      <c r="N31" s="10"/>
      <c r="R31" s="2"/>
    </row>
    <row r="32" spans="1:18" ht="15.75" customHeight="1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 x14ac:dyDescent="0.25">
      <c r="A33" s="177" t="s">
        <v>65</v>
      </c>
      <c r="B33" s="20">
        <f>DATE(2019,7,1)</f>
        <v>43647</v>
      </c>
      <c r="C33" s="21">
        <v>438217</v>
      </c>
      <c r="D33" s="21">
        <v>465892</v>
      </c>
      <c r="E33" s="23">
        <f>(+C33-D33)/D33</f>
        <v>-5.9402179045787436E-2</v>
      </c>
      <c r="F33" s="21">
        <f>+C33-221917</f>
        <v>216300</v>
      </c>
      <c r="G33" s="21">
        <f>+D33-233751</f>
        <v>232141</v>
      </c>
      <c r="H33" s="23">
        <f>(+F33-G33)/G33</f>
        <v>-6.8238699755751892E-2</v>
      </c>
      <c r="I33" s="24">
        <f>K33/C33</f>
        <v>46.659625824648522</v>
      </c>
      <c r="J33" s="24">
        <f>K33/F33</f>
        <v>94.530935043920479</v>
      </c>
      <c r="K33" s="21">
        <v>20447041.25</v>
      </c>
      <c r="L33" s="21">
        <v>20180093.420000002</v>
      </c>
      <c r="M33" s="25">
        <f>(+K33-L33)/L33</f>
        <v>1.3228275233623681E-2</v>
      </c>
      <c r="N33" s="10"/>
      <c r="R33" s="2"/>
    </row>
    <row r="34" spans="1:18" ht="15.75" customHeight="1" x14ac:dyDescent="0.25">
      <c r="A34" s="177"/>
      <c r="B34" s="20">
        <f>DATE(2019,8,1)</f>
        <v>43678</v>
      </c>
      <c r="C34" s="21">
        <v>437029</v>
      </c>
      <c r="D34" s="21">
        <v>454572</v>
      </c>
      <c r="E34" s="23">
        <f>(+C34-D34)/D34</f>
        <v>-3.8592346206981515E-2</v>
      </c>
      <c r="F34" s="21">
        <f>+C34-215022</f>
        <v>222007</v>
      </c>
      <c r="G34" s="21">
        <f>+D34-227733</f>
        <v>226839</v>
      </c>
      <c r="H34" s="23">
        <f>(+F34-G34)/G34</f>
        <v>-2.1301451690405971E-2</v>
      </c>
      <c r="I34" s="24">
        <f>K34/C34</f>
        <v>48.822521114159471</v>
      </c>
      <c r="J34" s="24">
        <f>K34/F34</f>
        <v>96.108940618989479</v>
      </c>
      <c r="K34" s="21">
        <v>21336857.579999998</v>
      </c>
      <c r="L34" s="21">
        <v>20410400.739999998</v>
      </c>
      <c r="M34" s="25">
        <f>(+K34-L34)/L34</f>
        <v>4.5391408615723237E-2</v>
      </c>
      <c r="N34" s="10"/>
      <c r="R34" s="2"/>
    </row>
    <row r="35" spans="1:18" ht="15.75" customHeight="1" x14ac:dyDescent="0.25">
      <c r="A35" s="177"/>
      <c r="B35" s="20">
        <f>DATE(2019,9,1)</f>
        <v>43709</v>
      </c>
      <c r="C35" s="21">
        <v>403849</v>
      </c>
      <c r="D35" s="21">
        <v>400695</v>
      </c>
      <c r="E35" s="23">
        <f>(+C35-D35)/D35</f>
        <v>7.8713235752879366E-3</v>
      </c>
      <c r="F35" s="21">
        <f>+C35-198275</f>
        <v>205574</v>
      </c>
      <c r="G35" s="21">
        <f>+D35-202275</f>
        <v>198420</v>
      </c>
      <c r="H35" s="23">
        <f>(+F35-G35)/G35</f>
        <v>3.6054833182138896E-2</v>
      </c>
      <c r="I35" s="24">
        <f>K35/C35</f>
        <v>46.879226914019846</v>
      </c>
      <c r="J35" s="24">
        <f>K35/F35</f>
        <v>92.093985182951158</v>
      </c>
      <c r="K35" s="21">
        <v>18932128.91</v>
      </c>
      <c r="L35" s="21">
        <v>19424363</v>
      </c>
      <c r="M35" s="25">
        <f>(+K35-L35)/L35</f>
        <v>-2.5341067297805331E-2</v>
      </c>
      <c r="N35" s="10"/>
      <c r="R35" s="2"/>
    </row>
    <row r="36" spans="1:18" ht="15.75" customHeight="1" x14ac:dyDescent="0.25">
      <c r="A36" s="177"/>
      <c r="B36" s="20">
        <f>DATE(2019,10,1)</f>
        <v>43739</v>
      </c>
      <c r="C36" s="21">
        <v>396586</v>
      </c>
      <c r="D36" s="21">
        <v>385385</v>
      </c>
      <c r="E36" s="23">
        <f>(+C36-D36)/D36</f>
        <v>2.9064442051455038E-2</v>
      </c>
      <c r="F36" s="21">
        <f>+C36-195500</f>
        <v>201086</v>
      </c>
      <c r="G36" s="21">
        <f>+D36-195549</f>
        <v>189836</v>
      </c>
      <c r="H36" s="23">
        <f>(+F36-G36)/G36</f>
        <v>5.926167850144335E-2</v>
      </c>
      <c r="I36" s="24">
        <f>K36/C36</f>
        <v>47.992709147574551</v>
      </c>
      <c r="J36" s="24">
        <f>K36/F36</f>
        <v>94.65222118894404</v>
      </c>
      <c r="K36" s="21">
        <v>19033236.550000001</v>
      </c>
      <c r="L36" s="21">
        <v>18152971.32</v>
      </c>
      <c r="M36" s="25">
        <f>(+K36-L36)/L36</f>
        <v>4.8491523204808346E-2</v>
      </c>
      <c r="N36" s="10"/>
      <c r="R36" s="2"/>
    </row>
    <row r="37" spans="1:18" ht="15.75" customHeight="1" x14ac:dyDescent="0.25">
      <c r="A37" s="177"/>
      <c r="B37" s="20">
        <f>DATE(2019,11,1)</f>
        <v>43770</v>
      </c>
      <c r="C37" s="21">
        <v>419787</v>
      </c>
      <c r="D37" s="21">
        <v>374346</v>
      </c>
      <c r="E37" s="23">
        <f>(+C37-D37)/D37</f>
        <v>0.12138770014905996</v>
      </c>
      <c r="F37" s="21">
        <f>+C37-213343</f>
        <v>206444</v>
      </c>
      <c r="G37" s="21">
        <f>+D37-191013</f>
        <v>183333</v>
      </c>
      <c r="H37" s="23">
        <f>(+F37-G37)/G37</f>
        <v>0.12606022920041673</v>
      </c>
      <c r="I37" s="24">
        <f>K37/C37</f>
        <v>48.215090343436074</v>
      </c>
      <c r="J37" s="24">
        <f>K37/F37</f>
        <v>98.041445282982309</v>
      </c>
      <c r="K37" s="21">
        <v>20240068.129999999</v>
      </c>
      <c r="L37" s="21">
        <v>17751787.379999999</v>
      </c>
      <c r="M37" s="25">
        <f>(+K37-L37)/L37</f>
        <v>0.14017071615016155</v>
      </c>
      <c r="N37" s="10"/>
      <c r="R37" s="2"/>
    </row>
    <row r="38" spans="1:18" ht="15.75" thickBot="1" x14ac:dyDescent="0.25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Top="1" thickBot="1" x14ac:dyDescent="0.3">
      <c r="A39" s="39" t="s">
        <v>14</v>
      </c>
      <c r="B39" s="40"/>
      <c r="C39" s="41">
        <f>SUM(C33:C38)</f>
        <v>2095468</v>
      </c>
      <c r="D39" s="41">
        <f>SUM(D33:D38)</f>
        <v>2080890</v>
      </c>
      <c r="E39" s="280">
        <f>(+C39-D39)/D39</f>
        <v>7.0056562336308021E-3</v>
      </c>
      <c r="F39" s="41">
        <f>SUM(F33:F38)</f>
        <v>1051411</v>
      </c>
      <c r="G39" s="41">
        <f>SUM(G33:G38)</f>
        <v>1030569</v>
      </c>
      <c r="H39" s="42">
        <f>(+F39-G39)/G39</f>
        <v>2.0223779290857769E-2</v>
      </c>
      <c r="I39" s="43">
        <f>K39/C39</f>
        <v>47.71694553197662</v>
      </c>
      <c r="J39" s="43">
        <f>K39/F39</f>
        <v>95.100139165369185</v>
      </c>
      <c r="K39" s="41">
        <f>SUM(K33:K38)</f>
        <v>99989332.419999987</v>
      </c>
      <c r="L39" s="41">
        <f>SUM(L33:L38)</f>
        <v>95919615.859999985</v>
      </c>
      <c r="M39" s="44">
        <f>(+K39-L39)/L39</f>
        <v>4.2428407615184571E-2</v>
      </c>
      <c r="N39" s="10"/>
      <c r="R39" s="2"/>
    </row>
    <row r="40" spans="1:18" ht="15.75" thickTop="1" x14ac:dyDescent="0.2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 x14ac:dyDescent="0.25">
      <c r="A41" s="19" t="s">
        <v>16</v>
      </c>
      <c r="B41" s="20">
        <f>DATE(2019,7,1)</f>
        <v>43647</v>
      </c>
      <c r="C41" s="21">
        <v>288759</v>
      </c>
      <c r="D41" s="21">
        <v>289167</v>
      </c>
      <c r="E41" s="23">
        <f>(+C41-D41)/D41</f>
        <v>-1.410949382190914E-3</v>
      </c>
      <c r="F41" s="21">
        <f>+C41-131177</f>
        <v>157582</v>
      </c>
      <c r="G41" s="21">
        <f>+D41-134357</f>
        <v>154810</v>
      </c>
      <c r="H41" s="23">
        <f>(+F41-G41)/G41</f>
        <v>1.790582003746528E-2</v>
      </c>
      <c r="I41" s="24">
        <f>K41/C41</f>
        <v>48.751639741098977</v>
      </c>
      <c r="J41" s="24">
        <f>K41/F41</f>
        <v>89.334281453465493</v>
      </c>
      <c r="K41" s="21">
        <v>14077474.74</v>
      </c>
      <c r="L41" s="21">
        <v>14895059.23</v>
      </c>
      <c r="M41" s="25">
        <f>(+K41-L41)/L41</f>
        <v>-5.4889643429769715E-2</v>
      </c>
      <c r="N41" s="10"/>
      <c r="R41" s="2"/>
    </row>
    <row r="42" spans="1:18" ht="15.75" x14ac:dyDescent="0.25">
      <c r="A42" s="19"/>
      <c r="B42" s="20">
        <f>DATE(2019,8,1)</f>
        <v>43678</v>
      </c>
      <c r="C42" s="21">
        <v>292957</v>
      </c>
      <c r="D42" s="21">
        <v>292132</v>
      </c>
      <c r="E42" s="23">
        <f>(+C42-D42)/D42</f>
        <v>2.8240658332534608E-3</v>
      </c>
      <c r="F42" s="21">
        <f>+C42-131852</f>
        <v>161105</v>
      </c>
      <c r="G42" s="21">
        <f>+D42-136807</f>
        <v>155325</v>
      </c>
      <c r="H42" s="23">
        <f>(+F42-G42)/G42</f>
        <v>3.7212296797038469E-2</v>
      </c>
      <c r="I42" s="24">
        <f>K42/C42</f>
        <v>53.183119911795927</v>
      </c>
      <c r="J42" s="24">
        <f>K42/F42</f>
        <v>96.709396108128232</v>
      </c>
      <c r="K42" s="21">
        <v>15580367.26</v>
      </c>
      <c r="L42" s="21">
        <v>14589427.75</v>
      </c>
      <c r="M42" s="25">
        <f>(+K42-L42)/L42</f>
        <v>6.7921753133874621E-2</v>
      </c>
      <c r="N42" s="10"/>
      <c r="R42" s="2"/>
    </row>
    <row r="43" spans="1:18" ht="15.75" x14ac:dyDescent="0.25">
      <c r="A43" s="19"/>
      <c r="B43" s="20">
        <f>DATE(2019,9,1)</f>
        <v>43709</v>
      </c>
      <c r="C43" s="21">
        <v>276713</v>
      </c>
      <c r="D43" s="21">
        <v>292955</v>
      </c>
      <c r="E43" s="23">
        <f>(+C43-D43)/D43</f>
        <v>-5.5441962076086773E-2</v>
      </c>
      <c r="F43" s="21">
        <f>+C43-125818</f>
        <v>150895</v>
      </c>
      <c r="G43" s="21">
        <f>+D43-135433</f>
        <v>157522</v>
      </c>
      <c r="H43" s="23">
        <f>(+F43-G43)/G43</f>
        <v>-4.2070313987887409E-2</v>
      </c>
      <c r="I43" s="24">
        <f>K43/C43</f>
        <v>52.918303368472031</v>
      </c>
      <c r="J43" s="24">
        <f>K43/F43</f>
        <v>97.042198084760926</v>
      </c>
      <c r="K43" s="21">
        <v>14643182.48</v>
      </c>
      <c r="L43" s="21">
        <v>15232551.26</v>
      </c>
      <c r="M43" s="25">
        <f>(+K43-L43)/L43</f>
        <v>-3.8691403031589029E-2</v>
      </c>
      <c r="N43" s="10"/>
      <c r="R43" s="2"/>
    </row>
    <row r="44" spans="1:18" ht="15.75" x14ac:dyDescent="0.25">
      <c r="A44" s="19"/>
      <c r="B44" s="20">
        <f>DATE(2019,10,1)</f>
        <v>43739</v>
      </c>
      <c r="C44" s="21">
        <v>265282</v>
      </c>
      <c r="D44" s="21">
        <v>283107</v>
      </c>
      <c r="E44" s="23">
        <f>(+C44-D44)/D44</f>
        <v>-6.2962060281095134E-2</v>
      </c>
      <c r="F44" s="21">
        <f>+C44-120858</f>
        <v>144424</v>
      </c>
      <c r="G44" s="21">
        <f>+D44-129714</f>
        <v>153393</v>
      </c>
      <c r="H44" s="23">
        <f>(+F44-G44)/G44</f>
        <v>-5.8470725522025126E-2</v>
      </c>
      <c r="I44" s="24">
        <f>K44/C44</f>
        <v>55.320004071139394</v>
      </c>
      <c r="J44" s="24">
        <f>K44/F44</f>
        <v>101.61331440757769</v>
      </c>
      <c r="K44" s="21">
        <v>14675401.32</v>
      </c>
      <c r="L44" s="21">
        <v>14681050.109999999</v>
      </c>
      <c r="M44" s="25">
        <f>(+K44-L44)/L44</f>
        <v>-3.8476743541331776E-4</v>
      </c>
      <c r="N44" s="10"/>
      <c r="R44" s="2"/>
    </row>
    <row r="45" spans="1:18" ht="15.75" x14ac:dyDescent="0.25">
      <c r="A45" s="19"/>
      <c r="B45" s="20">
        <f>DATE(2019,11,1)</f>
        <v>43770</v>
      </c>
      <c r="C45" s="21">
        <v>288764</v>
      </c>
      <c r="D45" s="21">
        <v>270987</v>
      </c>
      <c r="E45" s="23">
        <f>(+C45-D45)/D45</f>
        <v>6.5600932886079405E-2</v>
      </c>
      <c r="F45" s="21">
        <f>+C45-130395</f>
        <v>158369</v>
      </c>
      <c r="G45" s="21">
        <f>+D45-127087</f>
        <v>143900</v>
      </c>
      <c r="H45" s="23">
        <f>(+F45-G45)/G45</f>
        <v>0.10054899235580264</v>
      </c>
      <c r="I45" s="24">
        <f>K45/C45</f>
        <v>50.373510860079513</v>
      </c>
      <c r="J45" s="24">
        <f>K45/F45</f>
        <v>91.849140235778464</v>
      </c>
      <c r="K45" s="21">
        <v>14546056.49</v>
      </c>
      <c r="L45" s="21">
        <v>13799099.199999999</v>
      </c>
      <c r="M45" s="25">
        <f>(+K45-L45)/L45</f>
        <v>5.4130873267437707E-2</v>
      </c>
      <c r="N45" s="10"/>
      <c r="R45" s="2"/>
    </row>
    <row r="46" spans="1:18" ht="15.75" thickBot="1" x14ac:dyDescent="0.25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SUM(C41:C46)</f>
        <v>1412475</v>
      </c>
      <c r="D47" s="41">
        <f>SUM(D41:D46)</f>
        <v>1428348</v>
      </c>
      <c r="E47" s="281">
        <f>(+C47-D47)/D47</f>
        <v>-1.1112838047870686E-2</v>
      </c>
      <c r="F47" s="47">
        <f>SUM(F41:F46)</f>
        <v>772375</v>
      </c>
      <c r="G47" s="48">
        <f>SUM(G41:G46)</f>
        <v>764950</v>
      </c>
      <c r="H47" s="49">
        <f>(+F47-G47)/G47</f>
        <v>9.7065167658016861E-3</v>
      </c>
      <c r="I47" s="50">
        <f>K47/C47</f>
        <v>52.052236174091583</v>
      </c>
      <c r="J47" s="51">
        <f>K47/F47</f>
        <v>95.19013729082377</v>
      </c>
      <c r="K47" s="48">
        <f>SUM(K41:K46)</f>
        <v>73522482.290000007</v>
      </c>
      <c r="L47" s="47">
        <f>SUM(L41:L46)</f>
        <v>73197187.549999997</v>
      </c>
      <c r="M47" s="44">
        <f>(+K47-L47)/L47</f>
        <v>4.4440879614097897E-3</v>
      </c>
      <c r="N47" s="10"/>
      <c r="R47" s="2"/>
    </row>
    <row r="48" spans="1:18" ht="15.75" customHeight="1" thickTop="1" x14ac:dyDescent="0.25">
      <c r="A48" s="273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x14ac:dyDescent="0.25">
      <c r="A49" s="274" t="s">
        <v>66</v>
      </c>
      <c r="B49" s="20">
        <f>DATE(2019,7,1)</f>
        <v>43647</v>
      </c>
      <c r="C49" s="21">
        <v>110928</v>
      </c>
      <c r="D49" s="21">
        <v>129160</v>
      </c>
      <c r="E49" s="23">
        <f>(+C49-D49)/D49</f>
        <v>-0.14115825332920409</v>
      </c>
      <c r="F49" s="21">
        <f>+C49-54910</f>
        <v>56018</v>
      </c>
      <c r="G49" s="21">
        <f>+D49-62596</f>
        <v>66564</v>
      </c>
      <c r="H49" s="23">
        <f>(+F49-G49)/G49</f>
        <v>-0.15843398834204675</v>
      </c>
      <c r="I49" s="24">
        <f>K49/C49</f>
        <v>40.178847450598589</v>
      </c>
      <c r="J49" s="24">
        <f>K49/F49</f>
        <v>79.562983148273773</v>
      </c>
      <c r="K49" s="21">
        <v>4456959.1900000004</v>
      </c>
      <c r="L49" s="21">
        <v>5218892.55</v>
      </c>
      <c r="M49" s="25">
        <f>(+K49-L49)/L49</f>
        <v>-0.14599521885155489</v>
      </c>
      <c r="N49" s="10"/>
      <c r="R49" s="2"/>
    </row>
    <row r="50" spans="1:18" ht="15.75" x14ac:dyDescent="0.25">
      <c r="A50" s="274"/>
      <c r="B50" s="20">
        <f>DATE(2019,8,1)</f>
        <v>43678</v>
      </c>
      <c r="C50" s="21">
        <v>114308</v>
      </c>
      <c r="D50" s="21">
        <v>120860</v>
      </c>
      <c r="E50" s="23">
        <f>(+C50-D50)/D50</f>
        <v>-5.4211484362071821E-2</v>
      </c>
      <c r="F50" s="21">
        <f>+C50-54234</f>
        <v>60074</v>
      </c>
      <c r="G50" s="21">
        <f>+D50-58336</f>
        <v>62524</v>
      </c>
      <c r="H50" s="23">
        <f>(+F50-G50)/G50</f>
        <v>-3.918495297805643E-2</v>
      </c>
      <c r="I50" s="24">
        <f>K50/C50</f>
        <v>45.628914424187286</v>
      </c>
      <c r="J50" s="24">
        <f>K50/F50</f>
        <v>86.822085261510807</v>
      </c>
      <c r="K50" s="21">
        <v>5215749.95</v>
      </c>
      <c r="L50" s="21">
        <v>5263252.67</v>
      </c>
      <c r="M50" s="25">
        <f>(+K50-L50)/L50</f>
        <v>-9.025354277737865E-3</v>
      </c>
      <c r="N50" s="10"/>
      <c r="R50" s="2"/>
    </row>
    <row r="51" spans="1:18" ht="15.75" x14ac:dyDescent="0.25">
      <c r="A51" s="274"/>
      <c r="B51" s="20">
        <f>DATE(2019,9,1)</f>
        <v>43709</v>
      </c>
      <c r="C51" s="21">
        <v>108669</v>
      </c>
      <c r="D51" s="21">
        <v>129571</v>
      </c>
      <c r="E51" s="23">
        <f>(+C51-D51)/D51</f>
        <v>-0.16131696135709381</v>
      </c>
      <c r="F51" s="21">
        <f>+C51-53294</f>
        <v>55375</v>
      </c>
      <c r="G51" s="21">
        <f>+D51-62477</f>
        <v>67094</v>
      </c>
      <c r="H51" s="23">
        <f>(+F51-G51)/G51</f>
        <v>-0.17466539481920887</v>
      </c>
      <c r="I51" s="24">
        <f>K51/C51</f>
        <v>46.652023300113186</v>
      </c>
      <c r="J51" s="24">
        <f>K51/F51</f>
        <v>91.550857246049659</v>
      </c>
      <c r="K51" s="21">
        <v>5069628.72</v>
      </c>
      <c r="L51" s="21">
        <v>5057302.72</v>
      </c>
      <c r="M51" s="25">
        <f>(+K51-L51)/L51</f>
        <v>2.4372675875728475E-3</v>
      </c>
      <c r="N51" s="10"/>
      <c r="R51" s="2"/>
    </row>
    <row r="52" spans="1:18" ht="15.75" x14ac:dyDescent="0.25">
      <c r="A52" s="274"/>
      <c r="B52" s="20">
        <f>DATE(2019,10,1)</f>
        <v>43739</v>
      </c>
      <c r="C52" s="21">
        <v>108724</v>
      </c>
      <c r="D52" s="21">
        <v>116235</v>
      </c>
      <c r="E52" s="23">
        <f>(+C52-D52)/D52</f>
        <v>-6.4619090635350804E-2</v>
      </c>
      <c r="F52" s="21">
        <f>+C52-52953</f>
        <v>55771</v>
      </c>
      <c r="G52" s="21">
        <f>+D52-55536</f>
        <v>60699</v>
      </c>
      <c r="H52" s="23">
        <f>(+F52-G52)/G52</f>
        <v>-8.1187498970328995E-2</v>
      </c>
      <c r="I52" s="24">
        <f>K52/C52</f>
        <v>46.939410433758873</v>
      </c>
      <c r="J52" s="24">
        <f>K52/F52</f>
        <v>91.507063886249128</v>
      </c>
      <c r="K52" s="21">
        <v>5103440.46</v>
      </c>
      <c r="L52" s="21">
        <v>4939589.4400000004</v>
      </c>
      <c r="M52" s="25">
        <f>(+K52-L52)/L52</f>
        <v>3.3170979489339815E-2</v>
      </c>
      <c r="N52" s="10"/>
      <c r="R52" s="2"/>
    </row>
    <row r="53" spans="1:18" ht="15.75" x14ac:dyDescent="0.25">
      <c r="A53" s="274"/>
      <c r="B53" s="20">
        <f>DATE(2019,11,1)</f>
        <v>43770</v>
      </c>
      <c r="C53" s="21">
        <v>108974</v>
      </c>
      <c r="D53" s="21">
        <v>117294</v>
      </c>
      <c r="E53" s="23">
        <f>(+C53-D53)/D53</f>
        <v>-7.0932869541494026E-2</v>
      </c>
      <c r="F53" s="21">
        <f>+C53-53623</f>
        <v>55351</v>
      </c>
      <c r="G53" s="21">
        <f>+D53-56187</f>
        <v>61107</v>
      </c>
      <c r="H53" s="23">
        <f>(+F53-G53)/G53</f>
        <v>-9.4195427692408393E-2</v>
      </c>
      <c r="I53" s="24">
        <f>K53/C53</f>
        <v>46.879786279295978</v>
      </c>
      <c r="J53" s="24">
        <f>K53/F53</f>
        <v>92.296034940651481</v>
      </c>
      <c r="K53" s="21">
        <v>5108677.83</v>
      </c>
      <c r="L53" s="21">
        <v>4901524.07</v>
      </c>
      <c r="M53" s="25">
        <f>(+K53-L53)/L53</f>
        <v>4.2263132250618479E-2</v>
      </c>
      <c r="N53" s="10"/>
      <c r="R53" s="2"/>
    </row>
    <row r="54" spans="1:18" ht="15.75" customHeight="1" thickBot="1" x14ac:dyDescent="0.3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45" customHeight="1" thickTop="1" thickBot="1" x14ac:dyDescent="0.3">
      <c r="A55" s="39" t="s">
        <v>14</v>
      </c>
      <c r="B55" s="52"/>
      <c r="C55" s="47">
        <f>SUM(C49:C54)</f>
        <v>551603</v>
      </c>
      <c r="D55" s="48">
        <f>SUM(D49:D54)</f>
        <v>613120</v>
      </c>
      <c r="E55" s="281">
        <f>(+C55-D55)/D55</f>
        <v>-0.10033435542797495</v>
      </c>
      <c r="F55" s="48">
        <f>SUM(F49:F54)</f>
        <v>282589</v>
      </c>
      <c r="G55" s="47">
        <f>SUM(G49:G54)</f>
        <v>317988</v>
      </c>
      <c r="H55" s="46">
        <f>(+F55-G55)/G55</f>
        <v>-0.11132181088594538</v>
      </c>
      <c r="I55" s="51">
        <f>K55/C55</f>
        <v>45.239884754071312</v>
      </c>
      <c r="J55" s="50">
        <f>K55/F55</f>
        <v>88.306537586388714</v>
      </c>
      <c r="K55" s="47">
        <f>SUM(K49:K54)</f>
        <v>24954456.149999999</v>
      </c>
      <c r="L55" s="48">
        <f>SUM(L49:L54)</f>
        <v>25380561.449999999</v>
      </c>
      <c r="M55" s="44">
        <f>(+K55-L55)/L55</f>
        <v>-1.6788647518276266E-2</v>
      </c>
      <c r="N55" s="10"/>
      <c r="R55" s="2"/>
    </row>
    <row r="56" spans="1:18" ht="15.75" customHeight="1" thickTop="1" x14ac:dyDescent="0.25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17</v>
      </c>
      <c r="B57" s="20">
        <f>DATE(2019,7,1)</f>
        <v>43647</v>
      </c>
      <c r="C57" s="21">
        <v>151411</v>
      </c>
      <c r="D57" s="21">
        <v>164240</v>
      </c>
      <c r="E57" s="23">
        <f>(+C57-D57)/D57</f>
        <v>-7.8111300535801273E-2</v>
      </c>
      <c r="F57" s="21">
        <f>+C57-71749</f>
        <v>79662</v>
      </c>
      <c r="G57" s="21">
        <f>+D57-78084</f>
        <v>86156</v>
      </c>
      <c r="H57" s="23">
        <f>(+F57-G57)/G57</f>
        <v>-7.5374901341752176E-2</v>
      </c>
      <c r="I57" s="24">
        <f>K57/C57</f>
        <v>34.630094246785241</v>
      </c>
      <c r="J57" s="24">
        <f>K57/F57</f>
        <v>65.82030579197108</v>
      </c>
      <c r="K57" s="21">
        <v>5243377.2</v>
      </c>
      <c r="L57" s="21">
        <v>5776329.8099999996</v>
      </c>
      <c r="M57" s="25">
        <f>(+K57-L57)/L57</f>
        <v>-9.2264920378568108E-2</v>
      </c>
      <c r="N57" s="10"/>
      <c r="R57" s="2"/>
    </row>
    <row r="58" spans="1:18" ht="15.75" x14ac:dyDescent="0.25">
      <c r="A58" s="19"/>
      <c r="B58" s="20">
        <f>DATE(2019,8,1)</f>
        <v>43678</v>
      </c>
      <c r="C58" s="21">
        <v>153444</v>
      </c>
      <c r="D58" s="21">
        <v>161125</v>
      </c>
      <c r="E58" s="23">
        <f>(+C58-D58)/D58</f>
        <v>-4.7671062839410396E-2</v>
      </c>
      <c r="F58" s="21">
        <f>+C58-72860</f>
        <v>80584</v>
      </c>
      <c r="G58" s="21">
        <f>+D58-76425</f>
        <v>84700</v>
      </c>
      <c r="H58" s="23">
        <f>(+F58-G58)/G58</f>
        <v>-4.8595041322314049E-2</v>
      </c>
      <c r="I58" s="24">
        <f>K58/C58</f>
        <v>36.91110437684106</v>
      </c>
      <c r="J58" s="24">
        <f>K58/F58</f>
        <v>70.284268589298122</v>
      </c>
      <c r="K58" s="21">
        <v>5663787.5</v>
      </c>
      <c r="L58" s="21">
        <v>5562742.8200000003</v>
      </c>
      <c r="M58" s="25">
        <f>(+K58-L58)/L58</f>
        <v>1.8164542792938197E-2</v>
      </c>
      <c r="N58" s="10"/>
      <c r="R58" s="2"/>
    </row>
    <row r="59" spans="1:18" ht="15.75" x14ac:dyDescent="0.25">
      <c r="A59" s="19"/>
      <c r="B59" s="20">
        <f>DATE(2019,9,1)</f>
        <v>43709</v>
      </c>
      <c r="C59" s="21">
        <v>143049</v>
      </c>
      <c r="D59" s="21">
        <v>154193</v>
      </c>
      <c r="E59" s="23">
        <f>(+C59-D59)/D59</f>
        <v>-7.2273060385361201E-2</v>
      </c>
      <c r="F59" s="21">
        <f>+C59-67371</f>
        <v>75678</v>
      </c>
      <c r="G59" s="21">
        <f>+D59-72768</f>
        <v>81425</v>
      </c>
      <c r="H59" s="23">
        <f>(+F59-G59)/G59</f>
        <v>-7.0580288609149527E-2</v>
      </c>
      <c r="I59" s="24">
        <f>K59/C59</f>
        <v>35.52142797223329</v>
      </c>
      <c r="J59" s="24">
        <f>K59/F59</f>
        <v>67.143750495520493</v>
      </c>
      <c r="K59" s="21">
        <v>5081304.75</v>
      </c>
      <c r="L59" s="21">
        <v>5375376.2999999998</v>
      </c>
      <c r="M59" s="25">
        <f>(+K59-L59)/L59</f>
        <v>-5.4707156036685252E-2</v>
      </c>
      <c r="N59" s="10"/>
      <c r="R59" s="2"/>
    </row>
    <row r="60" spans="1:18" ht="15.75" x14ac:dyDescent="0.25">
      <c r="A60" s="19"/>
      <c r="B60" s="20">
        <f>DATE(2019,10,1)</f>
        <v>43739</v>
      </c>
      <c r="C60" s="21">
        <v>147133</v>
      </c>
      <c r="D60" s="21">
        <v>153175</v>
      </c>
      <c r="E60" s="23">
        <f>(+C60-D60)/D60</f>
        <v>-3.9445079157826017E-2</v>
      </c>
      <c r="F60" s="21">
        <f>+C60-70441</f>
        <v>76692</v>
      </c>
      <c r="G60" s="21">
        <f>+D60-73639</f>
        <v>79536</v>
      </c>
      <c r="H60" s="23">
        <f>(+F60-G60)/G60</f>
        <v>-3.5757392878696441E-2</v>
      </c>
      <c r="I60" s="24">
        <f>K60/C60</f>
        <v>36.719846737305701</v>
      </c>
      <c r="J60" s="24">
        <f>K60/F60</f>
        <v>70.446737730141351</v>
      </c>
      <c r="K60" s="21">
        <v>5402701.21</v>
      </c>
      <c r="L60" s="21">
        <v>5256338.8</v>
      </c>
      <c r="M60" s="25">
        <f>(+K60-L60)/L60</f>
        <v>2.7844934576896022E-2</v>
      </c>
      <c r="N60" s="10"/>
      <c r="R60" s="2"/>
    </row>
    <row r="61" spans="1:18" ht="15.75" x14ac:dyDescent="0.25">
      <c r="A61" s="19"/>
      <c r="B61" s="20">
        <f>DATE(2019,11,1)</f>
        <v>43770</v>
      </c>
      <c r="C61" s="21">
        <v>147609</v>
      </c>
      <c r="D61" s="21">
        <v>139109</v>
      </c>
      <c r="E61" s="23">
        <f>(+C61-D61)/D61</f>
        <v>6.1103163706158481E-2</v>
      </c>
      <c r="F61" s="21">
        <f>+C61-72727</f>
        <v>74882</v>
      </c>
      <c r="G61" s="21">
        <f>+D61-66707</f>
        <v>72402</v>
      </c>
      <c r="H61" s="23">
        <f>(+F61-G61)/G61</f>
        <v>3.4253197425485486E-2</v>
      </c>
      <c r="I61" s="24">
        <f>K61/C61</f>
        <v>36.772296133704586</v>
      </c>
      <c r="J61" s="24">
        <f>K61/F61</f>
        <v>72.486336636307797</v>
      </c>
      <c r="K61" s="21">
        <v>5427921.8600000003</v>
      </c>
      <c r="L61" s="21">
        <v>5071701.4800000004</v>
      </c>
      <c r="M61" s="25">
        <f>(+K61-L61)/L61</f>
        <v>7.0236858656751985E-2</v>
      </c>
      <c r="N61" s="10"/>
      <c r="R61" s="2"/>
    </row>
    <row r="62" spans="1:18" ht="15.75" customHeight="1" thickBot="1" x14ac:dyDescent="0.3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45" customHeight="1" thickTop="1" thickBot="1" x14ac:dyDescent="0.3">
      <c r="A63" s="39" t="s">
        <v>14</v>
      </c>
      <c r="B63" s="52"/>
      <c r="C63" s="47">
        <f>SUM(C57:C62)</f>
        <v>742646</v>
      </c>
      <c r="D63" s="48">
        <f>SUM(D57:D62)</f>
        <v>771842</v>
      </c>
      <c r="E63" s="281">
        <f>(+C63-D63)/D63</f>
        <v>-3.7826394521158477E-2</v>
      </c>
      <c r="F63" s="48">
        <f>SUM(F57:F62)</f>
        <v>387498</v>
      </c>
      <c r="G63" s="47">
        <f>SUM(G57:G62)</f>
        <v>404219</v>
      </c>
      <c r="H63" s="53">
        <f>(+F63-G63)/G63</f>
        <v>-4.1366190109816708E-2</v>
      </c>
      <c r="I63" s="51">
        <f>K63/C63</f>
        <v>36.112888940356505</v>
      </c>
      <c r="J63" s="50">
        <f>K63/F63</f>
        <v>69.210918559579667</v>
      </c>
      <c r="K63" s="47">
        <f>SUM(K57:K62)</f>
        <v>26819092.52</v>
      </c>
      <c r="L63" s="48">
        <f>SUM(L57:L62)</f>
        <v>27042489.210000001</v>
      </c>
      <c r="M63" s="44">
        <f>(+K63-L63)/L63</f>
        <v>-8.2609514333241117E-3</v>
      </c>
      <c r="N63" s="10"/>
      <c r="R63" s="2"/>
    </row>
    <row r="64" spans="1:18" ht="15.75" customHeight="1" thickTop="1" x14ac:dyDescent="0.25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 x14ac:dyDescent="0.25">
      <c r="A65" s="19" t="s">
        <v>67</v>
      </c>
      <c r="B65" s="20">
        <f>DATE(2019,7,1)</f>
        <v>43647</v>
      </c>
      <c r="C65" s="21">
        <v>323721</v>
      </c>
      <c r="D65" s="21">
        <v>388346</v>
      </c>
      <c r="E65" s="23">
        <f>(+C65-D65)/D65</f>
        <v>-0.16641088101847321</v>
      </c>
      <c r="F65" s="21">
        <f>+C65-139052</f>
        <v>184669</v>
      </c>
      <c r="G65" s="21">
        <f>+D65-165497</f>
        <v>222849</v>
      </c>
      <c r="H65" s="23">
        <f>(+F65-G65)/G65</f>
        <v>-0.17132677283721265</v>
      </c>
      <c r="I65" s="24">
        <f>K65/C65</f>
        <v>38.806533280201158</v>
      </c>
      <c r="J65" s="24">
        <f>K65/F65</f>
        <v>68.0270633403549</v>
      </c>
      <c r="K65" s="21">
        <v>12562489.76</v>
      </c>
      <c r="L65" s="21">
        <v>13426296.74</v>
      </c>
      <c r="M65" s="25">
        <f>(+K65-L65)/L65</f>
        <v>-6.4336949847572072E-2</v>
      </c>
      <c r="N65" s="10"/>
      <c r="R65" s="2"/>
    </row>
    <row r="66" spans="1:18" ht="15.75" customHeight="1" x14ac:dyDescent="0.25">
      <c r="A66" s="19"/>
      <c r="B66" s="20">
        <f>DATE(2019,8,1)</f>
        <v>43678</v>
      </c>
      <c r="C66" s="21">
        <v>324702</v>
      </c>
      <c r="D66" s="21">
        <v>374981</v>
      </c>
      <c r="E66" s="23">
        <f>(+C66-D66)/D66</f>
        <v>-0.13408412692909774</v>
      </c>
      <c r="F66" s="21">
        <f>+C66-140464</f>
        <v>184238</v>
      </c>
      <c r="G66" s="21">
        <f>+D66-161656</f>
        <v>213325</v>
      </c>
      <c r="H66" s="23">
        <f>(+F66-G66)/G66</f>
        <v>-0.13635063869682409</v>
      </c>
      <c r="I66" s="24">
        <f>K66/C66</f>
        <v>39.773520366366697</v>
      </c>
      <c r="J66" s="24">
        <f>K66/F66</f>
        <v>70.097057121766412</v>
      </c>
      <c r="K66" s="21">
        <v>12914541.609999999</v>
      </c>
      <c r="L66" s="21">
        <v>14006614.060000001</v>
      </c>
      <c r="M66" s="25">
        <f>(+K66-L66)/L66</f>
        <v>-7.7968340194275412E-2</v>
      </c>
      <c r="N66" s="10"/>
      <c r="R66" s="2"/>
    </row>
    <row r="67" spans="1:18" ht="15.75" customHeight="1" x14ac:dyDescent="0.25">
      <c r="A67" s="19"/>
      <c r="B67" s="20">
        <f>DATE(2019,9,1)</f>
        <v>43709</v>
      </c>
      <c r="C67" s="21">
        <v>300782</v>
      </c>
      <c r="D67" s="21">
        <v>360336</v>
      </c>
      <c r="E67" s="23">
        <f>(+C67-D67)/D67</f>
        <v>-0.16527352249012034</v>
      </c>
      <c r="F67" s="21">
        <f>+C67-129542</f>
        <v>171240</v>
      </c>
      <c r="G67" s="21">
        <f>+D67-155587</f>
        <v>204749</v>
      </c>
      <c r="H67" s="23">
        <f>(+F67-G67)/G67</f>
        <v>-0.16365891896907922</v>
      </c>
      <c r="I67" s="24">
        <f>K67/C67</f>
        <v>40.861065821757947</v>
      </c>
      <c r="J67" s="24">
        <f>K67/F67</f>
        <v>71.772209180098102</v>
      </c>
      <c r="K67" s="21">
        <v>12290273.1</v>
      </c>
      <c r="L67" s="21">
        <v>13292569.289999999</v>
      </c>
      <c r="M67" s="25">
        <f>(+K67-L67)/L67</f>
        <v>-7.5402743302156572E-2</v>
      </c>
      <c r="N67" s="10"/>
      <c r="R67" s="2"/>
    </row>
    <row r="68" spans="1:18" ht="15.75" customHeight="1" x14ac:dyDescent="0.25">
      <c r="A68" s="19"/>
      <c r="B68" s="20">
        <f>DATE(2019,10,1)</f>
        <v>43739</v>
      </c>
      <c r="C68" s="21">
        <v>283543</v>
      </c>
      <c r="D68" s="21">
        <v>333769</v>
      </c>
      <c r="E68" s="23">
        <f>(+C68-D68)/D68</f>
        <v>-0.15048132091356597</v>
      </c>
      <c r="F68" s="21">
        <f>+C68-124663</f>
        <v>158880</v>
      </c>
      <c r="G68" s="21">
        <f>+D68-146853</f>
        <v>186916</v>
      </c>
      <c r="H68" s="23">
        <f>(+F68-G68)/G68</f>
        <v>-0.14999251000449398</v>
      </c>
      <c r="I68" s="24">
        <f>K68/C68</f>
        <v>41.993366297175385</v>
      </c>
      <c r="J68" s="24">
        <f>K68/F68</f>
        <v>74.942881797583084</v>
      </c>
      <c r="K68" s="21">
        <v>11906925.060000001</v>
      </c>
      <c r="L68" s="21">
        <v>13297492.66</v>
      </c>
      <c r="M68" s="25">
        <f>(+K68-L68)/L68</f>
        <v>-0.10457366930405958</v>
      </c>
      <c r="N68" s="10"/>
      <c r="R68" s="2"/>
    </row>
    <row r="69" spans="1:18" ht="15.75" customHeight="1" x14ac:dyDescent="0.25">
      <c r="A69" s="19"/>
      <c r="B69" s="20">
        <f>DATE(2019,11,1)</f>
        <v>43770</v>
      </c>
      <c r="C69" s="21">
        <v>291549</v>
      </c>
      <c r="D69" s="21">
        <v>328777</v>
      </c>
      <c r="E69" s="23">
        <f>(+C69-D69)/D69</f>
        <v>-0.11323176499572658</v>
      </c>
      <c r="F69" s="21">
        <f>+C69-134082</f>
        <v>157467</v>
      </c>
      <c r="G69" s="21">
        <f>+D69-148021</f>
        <v>180756</v>
      </c>
      <c r="H69" s="23">
        <f>(+F69-G69)/G69</f>
        <v>-0.12884219610967271</v>
      </c>
      <c r="I69" s="24">
        <f>K69/C69</f>
        <v>41.532733605671773</v>
      </c>
      <c r="J69" s="24">
        <f>K69/F69</f>
        <v>76.897552820590974</v>
      </c>
      <c r="K69" s="21">
        <v>12108826.949999999</v>
      </c>
      <c r="L69" s="21">
        <v>12818002.74</v>
      </c>
      <c r="M69" s="25">
        <f>(+K69-L69)/L69</f>
        <v>-5.5326543798195578E-2</v>
      </c>
      <c r="N69" s="10"/>
      <c r="R69" s="2"/>
    </row>
    <row r="70" spans="1:18" ht="15.75" customHeight="1" thickBot="1" x14ac:dyDescent="0.3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Top="1" thickBot="1" x14ac:dyDescent="0.3">
      <c r="A71" s="39" t="s">
        <v>14</v>
      </c>
      <c r="B71" s="40"/>
      <c r="C71" s="41">
        <f>SUM(C65:C70)</f>
        <v>1524297</v>
      </c>
      <c r="D71" s="41">
        <f>SUM(D65:D70)</f>
        <v>1786209</v>
      </c>
      <c r="E71" s="280">
        <f>(+C71-D71)/D71</f>
        <v>-0.14663009759776152</v>
      </c>
      <c r="F71" s="41">
        <f>SUM(F65:F70)</f>
        <v>856494</v>
      </c>
      <c r="G71" s="41">
        <f>SUM(G65:G70)</f>
        <v>1008595</v>
      </c>
      <c r="H71" s="42">
        <f>(+F71-G71)/G71</f>
        <v>-0.15080483246496365</v>
      </c>
      <c r="I71" s="43">
        <f>K71/C71</f>
        <v>40.532164322307267</v>
      </c>
      <c r="J71" s="43">
        <f>K71/F71</f>
        <v>72.134838632845074</v>
      </c>
      <c r="K71" s="41">
        <f>SUM(K65:K70)</f>
        <v>61783056.480000004</v>
      </c>
      <c r="L71" s="41">
        <f>SUM(L65:L70)</f>
        <v>66840975.490000002</v>
      </c>
      <c r="M71" s="44">
        <f>(+K71-L71)/L71</f>
        <v>-7.5670933479370109E-2</v>
      </c>
      <c r="N71" s="10"/>
      <c r="R71" s="2"/>
    </row>
    <row r="72" spans="1:18" ht="15.75" customHeight="1" thickTop="1" x14ac:dyDescent="0.2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 x14ac:dyDescent="0.25">
      <c r="A73" s="19" t="s">
        <v>18</v>
      </c>
      <c r="B73" s="20">
        <f>DATE(2019,7,1)</f>
        <v>43647</v>
      </c>
      <c r="C73" s="21">
        <v>366609</v>
      </c>
      <c r="D73" s="21">
        <v>413730</v>
      </c>
      <c r="E73" s="23">
        <f>(+C73-D73)/D73</f>
        <v>-0.11389311870060184</v>
      </c>
      <c r="F73" s="21">
        <f>+C73-178251</f>
        <v>188358</v>
      </c>
      <c r="G73" s="21">
        <f>+D73-202461</f>
        <v>211269</v>
      </c>
      <c r="H73" s="23">
        <f>(+F73-G73)/G73</f>
        <v>-0.10844468426508386</v>
      </c>
      <c r="I73" s="24">
        <f>K73/C73</f>
        <v>42.795962537744572</v>
      </c>
      <c r="J73" s="24">
        <f>K73/F73</f>
        <v>83.295559678909314</v>
      </c>
      <c r="K73" s="21">
        <v>15689385.029999999</v>
      </c>
      <c r="L73" s="21">
        <v>17628524.710000001</v>
      </c>
      <c r="M73" s="25">
        <f>(+K73-L73)/L73</f>
        <v>-0.11000011129121885</v>
      </c>
      <c r="N73" s="10"/>
      <c r="R73" s="2"/>
    </row>
    <row r="74" spans="1:18" ht="15.75" customHeight="1" x14ac:dyDescent="0.25">
      <c r="A74" s="19"/>
      <c r="B74" s="20">
        <f>DATE(2019,8,1)</f>
        <v>43678</v>
      </c>
      <c r="C74" s="21">
        <v>384946</v>
      </c>
      <c r="D74" s="21">
        <v>405657</v>
      </c>
      <c r="E74" s="23">
        <f>(+C74-D74)/D74</f>
        <v>-5.1055448322104638E-2</v>
      </c>
      <c r="F74" s="21">
        <f>+C74-186236</f>
        <v>198710</v>
      </c>
      <c r="G74" s="21">
        <f>+D74-195459</f>
        <v>210198</v>
      </c>
      <c r="H74" s="23">
        <f>(+F74-G74)/G74</f>
        <v>-5.4653231714859321E-2</v>
      </c>
      <c r="I74" s="24">
        <f>K74/C74</f>
        <v>43.116520966577127</v>
      </c>
      <c r="J74" s="24">
        <f>K74/F74</f>
        <v>83.52640672336571</v>
      </c>
      <c r="K74" s="21">
        <v>16597532.279999999</v>
      </c>
      <c r="L74" s="21">
        <v>17799458.530000001</v>
      </c>
      <c r="M74" s="25">
        <f>(+K74-L74)/L74</f>
        <v>-6.7526000747394746E-2</v>
      </c>
      <c r="N74" s="10"/>
      <c r="R74" s="2"/>
    </row>
    <row r="75" spans="1:18" ht="15.75" customHeight="1" x14ac:dyDescent="0.25">
      <c r="A75" s="19"/>
      <c r="B75" s="20">
        <f>DATE(2019,9,1)</f>
        <v>43709</v>
      </c>
      <c r="C75" s="21">
        <v>348168</v>
      </c>
      <c r="D75" s="21">
        <v>386512</v>
      </c>
      <c r="E75" s="23">
        <f>(+C75-D75)/D75</f>
        <v>-9.9205199321107759E-2</v>
      </c>
      <c r="F75" s="21">
        <f>+C75-163347</f>
        <v>184821</v>
      </c>
      <c r="G75" s="21">
        <f>+D75-188889</f>
        <v>197623</v>
      </c>
      <c r="H75" s="23">
        <f>(+F75-G75)/G75</f>
        <v>-6.4779909221092682E-2</v>
      </c>
      <c r="I75" s="24">
        <f>K75/C75</f>
        <v>44.422015894625581</v>
      </c>
      <c r="J75" s="24">
        <f>K75/F75</f>
        <v>83.68272236380065</v>
      </c>
      <c r="K75" s="21">
        <v>15466324.43</v>
      </c>
      <c r="L75" s="21">
        <v>16599689.699999999</v>
      </c>
      <c r="M75" s="25">
        <f>(+K75-L75)/L75</f>
        <v>-6.8276292538167124E-2</v>
      </c>
      <c r="N75" s="10"/>
      <c r="R75" s="2"/>
    </row>
    <row r="76" spans="1:18" ht="15.75" customHeight="1" x14ac:dyDescent="0.25">
      <c r="A76" s="19"/>
      <c r="B76" s="20">
        <f>DATE(2019,10,1)</f>
        <v>43739</v>
      </c>
      <c r="C76" s="21">
        <v>347400</v>
      </c>
      <c r="D76" s="21">
        <v>353857</v>
      </c>
      <c r="E76" s="23">
        <f>(+C76-D76)/D76</f>
        <v>-1.8247484153203129E-2</v>
      </c>
      <c r="F76" s="21">
        <f>+C76-164019</f>
        <v>183381</v>
      </c>
      <c r="G76" s="21">
        <f>+D76-169336</f>
        <v>184521</v>
      </c>
      <c r="H76" s="23">
        <f>(+F76-G76)/G76</f>
        <v>-6.178158583575853E-3</v>
      </c>
      <c r="I76" s="24">
        <f>K76/C76</f>
        <v>47.036089982728846</v>
      </c>
      <c r="J76" s="24">
        <f>K76/F76</f>
        <v>89.105946962880566</v>
      </c>
      <c r="K76" s="21">
        <v>16340337.66</v>
      </c>
      <c r="L76" s="21">
        <v>15074320.550000001</v>
      </c>
      <c r="M76" s="25">
        <f>(+K76-L76)/L76</f>
        <v>8.398501980906857E-2</v>
      </c>
      <c r="N76" s="10"/>
      <c r="R76" s="2"/>
    </row>
    <row r="77" spans="1:18" ht="15.75" customHeight="1" x14ac:dyDescent="0.25">
      <c r="A77" s="19"/>
      <c r="B77" s="20">
        <f>DATE(2019,11,1)</f>
        <v>43770</v>
      </c>
      <c r="C77" s="21">
        <v>367906</v>
      </c>
      <c r="D77" s="21">
        <v>343012</v>
      </c>
      <c r="E77" s="23">
        <f>(+C77-D77)/D77</f>
        <v>7.2574720417944563E-2</v>
      </c>
      <c r="F77" s="21">
        <f>+C77-173004</f>
        <v>194902</v>
      </c>
      <c r="G77" s="21">
        <f>+D77-162356</f>
        <v>180656</v>
      </c>
      <c r="H77" s="23">
        <f>(+F77-G77)/G77</f>
        <v>7.8857054291028253E-2</v>
      </c>
      <c r="I77" s="24">
        <f>K77/C77</f>
        <v>45.065145172951787</v>
      </c>
      <c r="J77" s="24">
        <f>K77/F77</f>
        <v>85.06704548952807</v>
      </c>
      <c r="K77" s="21">
        <v>16579737.300000001</v>
      </c>
      <c r="L77" s="21">
        <v>14816733.57</v>
      </c>
      <c r="M77" s="25">
        <f>(+K77-L77)/L77</f>
        <v>0.118987341013516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SUM(C73:C78)</f>
        <v>1815029</v>
      </c>
      <c r="D79" s="41">
        <f>SUM(D73:D78)</f>
        <v>1902768</v>
      </c>
      <c r="E79" s="280">
        <f>(+C79-D79)/D79</f>
        <v>-4.6111244250481402E-2</v>
      </c>
      <c r="F79" s="41">
        <f>SUM(F73:F78)</f>
        <v>950172</v>
      </c>
      <c r="G79" s="41">
        <f>SUM(G73:G78)</f>
        <v>984267</v>
      </c>
      <c r="H79" s="42">
        <f>(+F79-G79)/G79</f>
        <v>-3.4639990978057783E-2</v>
      </c>
      <c r="I79" s="43">
        <f>K79/C79</f>
        <v>44.447398195841494</v>
      </c>
      <c r="J79" s="43">
        <f>K79/F79</f>
        <v>84.903908660747732</v>
      </c>
      <c r="K79" s="41">
        <f>SUM(K73:K78)</f>
        <v>80673316.699999988</v>
      </c>
      <c r="L79" s="41">
        <f>SUM(L73:L78)</f>
        <v>81918727.060000002</v>
      </c>
      <c r="M79" s="44">
        <f>(+K79-L79)/L79</f>
        <v>-1.5202999420240433E-2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58</v>
      </c>
      <c r="B81" s="20">
        <f>DATE(2019,7,1)</f>
        <v>43647</v>
      </c>
      <c r="C81" s="21">
        <v>420442</v>
      </c>
      <c r="D81" s="21">
        <v>437171</v>
      </c>
      <c r="E81" s="23">
        <f>(+C81-D81)/D81</f>
        <v>-3.8266490686710695E-2</v>
      </c>
      <c r="F81" s="21">
        <f>+C81-190554</f>
        <v>229888</v>
      </c>
      <c r="G81" s="21">
        <f>+D81-202695</f>
        <v>234476</v>
      </c>
      <c r="H81" s="23">
        <f>(+F81-G81)/G81</f>
        <v>-1.9567034579231989E-2</v>
      </c>
      <c r="I81" s="24">
        <f>K81/C81</f>
        <v>43.352571341588138</v>
      </c>
      <c r="J81" s="24">
        <f>K81/F81</f>
        <v>79.287486950167036</v>
      </c>
      <c r="K81" s="21">
        <v>18227241.800000001</v>
      </c>
      <c r="L81" s="21">
        <v>19587162.530000001</v>
      </c>
      <c r="M81" s="25">
        <f>(+K81-L81)/L81</f>
        <v>-6.9429184953008122E-2</v>
      </c>
      <c r="N81" s="10"/>
      <c r="R81" s="2"/>
    </row>
    <row r="82" spans="1:18" ht="15.75" customHeight="1" x14ac:dyDescent="0.25">
      <c r="A82" s="19"/>
      <c r="B82" s="20">
        <f>DATE(2019,8,1)</f>
        <v>43678</v>
      </c>
      <c r="C82" s="21">
        <v>440157</v>
      </c>
      <c r="D82" s="21">
        <v>428435</v>
      </c>
      <c r="E82" s="23">
        <f>(+C82-D82)/D82</f>
        <v>2.7360042947004795E-2</v>
      </c>
      <c r="F82" s="21">
        <f>+C82-199137</f>
        <v>241020</v>
      </c>
      <c r="G82" s="21">
        <f>+D82-198491</f>
        <v>229944</v>
      </c>
      <c r="H82" s="23">
        <f>(+F82-G82)/G82</f>
        <v>4.8168249660786977E-2</v>
      </c>
      <c r="I82" s="24">
        <f>K82/C82</f>
        <v>44.349903102756521</v>
      </c>
      <c r="J82" s="24">
        <f>K82/F82</f>
        <v>80.992947888142069</v>
      </c>
      <c r="K82" s="21">
        <v>19520920.300000001</v>
      </c>
      <c r="L82" s="21">
        <v>19072987.460000001</v>
      </c>
      <c r="M82" s="25">
        <f>(+K82-L82)/L82</f>
        <v>2.3485195538423525E-2</v>
      </c>
      <c r="N82" s="10"/>
      <c r="R82" s="2"/>
    </row>
    <row r="83" spans="1:18" ht="15.75" customHeight="1" x14ac:dyDescent="0.25">
      <c r="A83" s="19"/>
      <c r="B83" s="20">
        <f>DATE(2019,9,1)</f>
        <v>43709</v>
      </c>
      <c r="C83" s="21">
        <v>423245</v>
      </c>
      <c r="D83" s="21">
        <v>430488</v>
      </c>
      <c r="E83" s="23">
        <f>(+C83-D83)/D83</f>
        <v>-1.6825091524037838E-2</v>
      </c>
      <c r="F83" s="21">
        <f>+C83-190485</f>
        <v>232760</v>
      </c>
      <c r="G83" s="21">
        <f>+D83-198602</f>
        <v>231886</v>
      </c>
      <c r="H83" s="23">
        <f>(+F83-G83)/G83</f>
        <v>3.7690934338424917E-3</v>
      </c>
      <c r="I83" s="24">
        <f>K83/C83</f>
        <v>43.615039823270216</v>
      </c>
      <c r="J83" s="24">
        <f>K83/F83</f>
        <v>79.308504597009801</v>
      </c>
      <c r="K83" s="21">
        <v>18459847.530000001</v>
      </c>
      <c r="L83" s="21">
        <v>18193233.449999999</v>
      </c>
      <c r="M83" s="25">
        <f>(+K83-L83)/L83</f>
        <v>1.4654573676126931E-2</v>
      </c>
      <c r="N83" s="10"/>
      <c r="R83" s="2"/>
    </row>
    <row r="84" spans="1:18" ht="15.75" customHeight="1" x14ac:dyDescent="0.25">
      <c r="A84" s="19"/>
      <c r="B84" s="20">
        <f>DATE(2019,10,1)</f>
        <v>43739</v>
      </c>
      <c r="C84" s="21">
        <v>422269</v>
      </c>
      <c r="D84" s="21">
        <v>407351</v>
      </c>
      <c r="E84" s="23">
        <f>(+C84-D84)/D84</f>
        <v>3.6621979570444163E-2</v>
      </c>
      <c r="F84" s="21">
        <f>+C84-185907</f>
        <v>236362</v>
      </c>
      <c r="G84" s="21">
        <f>+D84-184649</f>
        <v>222702</v>
      </c>
      <c r="H84" s="23">
        <f>(+F84-G84)/G84</f>
        <v>6.1337572181659798E-2</v>
      </c>
      <c r="I84" s="24">
        <f>K84/C84</f>
        <v>44.099241218275552</v>
      </c>
      <c r="J84" s="24">
        <f>K84/F84</f>
        <v>78.784840583511723</v>
      </c>
      <c r="K84" s="21">
        <v>18621742.489999998</v>
      </c>
      <c r="L84" s="21">
        <v>16758743.75</v>
      </c>
      <c r="M84" s="25">
        <f>(+K84-L84)/L84</f>
        <v>0.11116577517929996</v>
      </c>
      <c r="N84" s="10"/>
      <c r="R84" s="2"/>
    </row>
    <row r="85" spans="1:18" ht="15.75" customHeight="1" x14ac:dyDescent="0.25">
      <c r="A85" s="19"/>
      <c r="B85" s="20">
        <f>DATE(2019,11,1)</f>
        <v>43770</v>
      </c>
      <c r="C85" s="21">
        <v>434375</v>
      </c>
      <c r="D85" s="21">
        <v>411941</v>
      </c>
      <c r="E85" s="23">
        <f>(+C85-D85)/D85</f>
        <v>5.4459255087500394E-2</v>
      </c>
      <c r="F85" s="21">
        <f>+C85-194959</f>
        <v>239416</v>
      </c>
      <c r="G85" s="21">
        <f>+D85-188303</f>
        <v>223638</v>
      </c>
      <c r="H85" s="23">
        <f>(+F85-G85)/G85</f>
        <v>7.0551516289718202E-2</v>
      </c>
      <c r="I85" s="24">
        <f>K85/C85</f>
        <v>45.469023654676256</v>
      </c>
      <c r="J85" s="24">
        <f>K85/F85</f>
        <v>82.494934131386373</v>
      </c>
      <c r="K85" s="21">
        <v>19750607.149999999</v>
      </c>
      <c r="L85" s="21">
        <v>19508179.460000001</v>
      </c>
      <c r="M85" s="25">
        <f>(+K85-L85)/L85</f>
        <v>1.2426976617529928E-2</v>
      </c>
      <c r="N85" s="10"/>
      <c r="R85" s="2"/>
    </row>
    <row r="86" spans="1:18" ht="15.75" customHeight="1" thickBot="1" x14ac:dyDescent="0.3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Top="1" thickBot="1" x14ac:dyDescent="0.3">
      <c r="A87" s="39" t="s">
        <v>14</v>
      </c>
      <c r="B87" s="40"/>
      <c r="C87" s="41">
        <f>SUM(C81:C86)</f>
        <v>2140488</v>
      </c>
      <c r="D87" s="41">
        <f>SUM(D81:D86)</f>
        <v>2115386</v>
      </c>
      <c r="E87" s="280">
        <f>(+C87-D87)/D87</f>
        <v>1.1866392232906902E-2</v>
      </c>
      <c r="F87" s="41">
        <f>SUM(F81:F86)</f>
        <v>1179446</v>
      </c>
      <c r="G87" s="41">
        <f>SUM(G81:G86)</f>
        <v>1142646</v>
      </c>
      <c r="H87" s="42">
        <f>(+F87-G87)/G87</f>
        <v>3.2205950049271605E-2</v>
      </c>
      <c r="I87" s="43">
        <f>K87/C87</f>
        <v>44.186353425013365</v>
      </c>
      <c r="J87" s="43">
        <f>K87/F87</f>
        <v>80.190495597085416</v>
      </c>
      <c r="K87" s="41">
        <f>SUM(K81:K86)</f>
        <v>94580359.270000011</v>
      </c>
      <c r="L87" s="41">
        <f>SUM(L81:L86)</f>
        <v>93120306.650000006</v>
      </c>
      <c r="M87" s="44">
        <f>(+K87-L87)/L87</f>
        <v>1.5679207602781284E-2</v>
      </c>
      <c r="N87" s="10"/>
      <c r="R87" s="2"/>
    </row>
    <row r="88" spans="1:18" ht="15.75" customHeight="1" thickTop="1" x14ac:dyDescent="0.2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 x14ac:dyDescent="0.25">
      <c r="A89" s="19" t="s">
        <v>59</v>
      </c>
      <c r="B89" s="20">
        <f>DATE(2019,7,1)</f>
        <v>43647</v>
      </c>
      <c r="C89" s="21">
        <v>61327</v>
      </c>
      <c r="D89" s="21">
        <v>63934</v>
      </c>
      <c r="E89" s="23">
        <f>(+C89-D89)/D89</f>
        <v>-4.0776425688991771E-2</v>
      </c>
      <c r="F89" s="21">
        <f>+C89-29380</f>
        <v>31947</v>
      </c>
      <c r="G89" s="21">
        <f>+D89-30110</f>
        <v>33824</v>
      </c>
      <c r="H89" s="23">
        <f>(+F89-G89)/G89</f>
        <v>-5.5493140964995268E-2</v>
      </c>
      <c r="I89" s="24">
        <f>K89/C89</f>
        <v>44.824024328599151</v>
      </c>
      <c r="J89" s="24">
        <f>K89/F89</f>
        <v>86.046356152377371</v>
      </c>
      <c r="K89" s="21">
        <v>2748922.94</v>
      </c>
      <c r="L89" s="21">
        <v>2819787.79</v>
      </c>
      <c r="M89" s="25">
        <f>(+K89-L89)/L89</f>
        <v>-2.5131270605296185E-2</v>
      </c>
      <c r="N89" s="10"/>
      <c r="R89" s="2"/>
    </row>
    <row r="90" spans="1:18" ht="15" customHeight="1" x14ac:dyDescent="0.25">
      <c r="A90" s="19"/>
      <c r="B90" s="20">
        <f>DATE(2019,8,1)</f>
        <v>43678</v>
      </c>
      <c r="C90" s="21">
        <v>62887</v>
      </c>
      <c r="D90" s="21">
        <v>61004</v>
      </c>
      <c r="E90" s="23">
        <f>(+C90-D90)/D90</f>
        <v>3.0866828404694773E-2</v>
      </c>
      <c r="F90" s="21">
        <f>+C90-30695</f>
        <v>32192</v>
      </c>
      <c r="G90" s="21">
        <f>+D90-29259</f>
        <v>31745</v>
      </c>
      <c r="H90" s="23">
        <f>(+F90-G90)/G90</f>
        <v>1.4080957631123011E-2</v>
      </c>
      <c r="I90" s="24">
        <f>K90/C90</f>
        <v>47.076432649037166</v>
      </c>
      <c r="J90" s="24">
        <f>K90/F90</f>
        <v>91.963705889662037</v>
      </c>
      <c r="K90" s="21">
        <v>2960495.62</v>
      </c>
      <c r="L90" s="21">
        <v>2779592.61</v>
      </c>
      <c r="M90" s="25">
        <f>(+K90-L90)/L90</f>
        <v>6.5082562584594092E-2</v>
      </c>
      <c r="N90" s="10"/>
      <c r="R90" s="2"/>
    </row>
    <row r="91" spans="1:18" ht="15" customHeight="1" x14ac:dyDescent="0.25">
      <c r="A91" s="19"/>
      <c r="B91" s="20">
        <f>DATE(2019,9,1)</f>
        <v>43709</v>
      </c>
      <c r="C91" s="21">
        <v>59108</v>
      </c>
      <c r="D91" s="21">
        <v>57391</v>
      </c>
      <c r="E91" s="23">
        <f>(+C91-D91)/D91</f>
        <v>2.9917582896272936E-2</v>
      </c>
      <c r="F91" s="21">
        <f>+C91-28508</f>
        <v>30600</v>
      </c>
      <c r="G91" s="21">
        <f>+D91-27760</f>
        <v>29631</v>
      </c>
      <c r="H91" s="23">
        <f>(+F91-G91)/G91</f>
        <v>3.2702237521514632E-2</v>
      </c>
      <c r="I91" s="24">
        <f>K91/C91</f>
        <v>45.641732422007173</v>
      </c>
      <c r="J91" s="24">
        <f>K91/F91</f>
        <v>88.163121568627446</v>
      </c>
      <c r="K91" s="21">
        <v>2697791.52</v>
      </c>
      <c r="L91" s="21">
        <v>2617109.27</v>
      </c>
      <c r="M91" s="25">
        <f>(+K91-L91)/L91</f>
        <v>3.082876627463094E-2</v>
      </c>
      <c r="N91" s="10"/>
      <c r="R91" s="2"/>
    </row>
    <row r="92" spans="1:18" ht="15" customHeight="1" x14ac:dyDescent="0.25">
      <c r="A92" s="19"/>
      <c r="B92" s="20">
        <f>DATE(2019,10,1)</f>
        <v>43739</v>
      </c>
      <c r="C92" s="21">
        <v>56197</v>
      </c>
      <c r="D92" s="21">
        <v>54970</v>
      </c>
      <c r="E92" s="23">
        <f>(+C92-D92)/D92</f>
        <v>2.2321266145170094E-2</v>
      </c>
      <c r="F92" s="21">
        <f>+C92-27661</f>
        <v>28536</v>
      </c>
      <c r="G92" s="21">
        <f>+D92-26236</f>
        <v>28734</v>
      </c>
      <c r="H92" s="23">
        <f>(+F92-G92)/G92</f>
        <v>-6.8907913969513471E-3</v>
      </c>
      <c r="I92" s="24">
        <f>K92/C92</f>
        <v>50.092445860099296</v>
      </c>
      <c r="J92" s="24">
        <f>K92/F92</f>
        <v>98.648905943369783</v>
      </c>
      <c r="K92" s="21">
        <v>2815045.18</v>
      </c>
      <c r="L92" s="21">
        <v>2535463.88</v>
      </c>
      <c r="M92" s="25">
        <f>(+K92-L92)/L92</f>
        <v>0.11026830325029134</v>
      </c>
      <c r="N92" s="10"/>
      <c r="R92" s="2"/>
    </row>
    <row r="93" spans="1:18" ht="15" customHeight="1" x14ac:dyDescent="0.25">
      <c r="A93" s="19"/>
      <c r="B93" s="20">
        <f>DATE(2019,11,1)</f>
        <v>43770</v>
      </c>
      <c r="C93" s="21">
        <v>56040</v>
      </c>
      <c r="D93" s="21">
        <v>49028</v>
      </c>
      <c r="E93" s="23">
        <f>(+C93-D93)/D93</f>
        <v>0.14302031492208533</v>
      </c>
      <c r="F93" s="21">
        <f>+C93-27978</f>
        <v>28062</v>
      </c>
      <c r="G93" s="21">
        <f>+D93-24232</f>
        <v>24796</v>
      </c>
      <c r="H93" s="23">
        <f>(+F93-G93)/G93</f>
        <v>0.13171479270850137</v>
      </c>
      <c r="I93" s="24">
        <f>K93/C93</f>
        <v>52.130174161313349</v>
      </c>
      <c r="J93" s="24">
        <f>K93/F93</f>
        <v>104.10430332834437</v>
      </c>
      <c r="K93" s="21">
        <v>2921374.96</v>
      </c>
      <c r="L93" s="21">
        <v>2404704.69</v>
      </c>
      <c r="M93" s="25">
        <f>(+K93-L93)/L93</f>
        <v>0.21485809552772986</v>
      </c>
      <c r="N93" s="10"/>
      <c r="R93" s="2"/>
    </row>
    <row r="94" spans="1:18" ht="15.75" thickBot="1" x14ac:dyDescent="0.25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62" t="s">
        <v>14</v>
      </c>
      <c r="B95" s="52"/>
      <c r="C95" s="48">
        <f>SUM(C89:C94)</f>
        <v>295559</v>
      </c>
      <c r="D95" s="48">
        <f>SUM(D89:D94)</f>
        <v>286327</v>
      </c>
      <c r="E95" s="280">
        <f>(+C95-D95)/D95</f>
        <v>3.224285519702997E-2</v>
      </c>
      <c r="F95" s="48">
        <f>SUM(F89:F94)</f>
        <v>151337</v>
      </c>
      <c r="G95" s="48">
        <f>SUM(G89:G94)</f>
        <v>148730</v>
      </c>
      <c r="H95" s="42">
        <f>(+F95-G95)/G95</f>
        <v>1.7528407180797418E-2</v>
      </c>
      <c r="I95" s="50">
        <f>K95/C95</f>
        <v>47.853830267391615</v>
      </c>
      <c r="J95" s="50">
        <f>K95/F95</f>
        <v>93.4578471887245</v>
      </c>
      <c r="K95" s="48">
        <f>SUM(K89:K94)</f>
        <v>14143630.219999999</v>
      </c>
      <c r="L95" s="48">
        <f>SUM(L89:L94)</f>
        <v>13156658.24</v>
      </c>
      <c r="M95" s="44">
        <f>(+K95-L95)/L95</f>
        <v>7.5016920102045498E-2</v>
      </c>
      <c r="N95" s="10"/>
      <c r="R95" s="2"/>
    </row>
    <row r="96" spans="1:18" ht="15.75" customHeight="1" thickTop="1" x14ac:dyDescent="0.25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 x14ac:dyDescent="0.25">
      <c r="A97" s="19" t="s">
        <v>19</v>
      </c>
      <c r="B97" s="20">
        <f>DATE(2019,7,1)</f>
        <v>43647</v>
      </c>
      <c r="C97" s="21">
        <v>447474</v>
      </c>
      <c r="D97" s="21">
        <v>470294</v>
      </c>
      <c r="E97" s="23">
        <f>(+C97-D97)/D97</f>
        <v>-4.8522838905025366E-2</v>
      </c>
      <c r="F97" s="21">
        <f>+C97-208413</f>
        <v>239061</v>
      </c>
      <c r="G97" s="21">
        <f>+D97-224781</f>
        <v>245513</v>
      </c>
      <c r="H97" s="23">
        <f>(+F97-G97)/G97</f>
        <v>-2.627966747178357E-2</v>
      </c>
      <c r="I97" s="24">
        <f>K97/C97</f>
        <v>50.948363234511952</v>
      </c>
      <c r="J97" s="24">
        <f>K97/F97</f>
        <v>95.365065359887225</v>
      </c>
      <c r="K97" s="21">
        <v>22798067.890000001</v>
      </c>
      <c r="L97" s="21">
        <v>23419555.780000001</v>
      </c>
      <c r="M97" s="25">
        <f>(+K97-L97)/L97</f>
        <v>-2.6537134001949909E-2</v>
      </c>
      <c r="N97" s="10"/>
      <c r="R97" s="2"/>
    </row>
    <row r="98" spans="1:18" ht="15.75" x14ac:dyDescent="0.25">
      <c r="A98" s="19"/>
      <c r="B98" s="20">
        <f>DATE(2019,8,1)</f>
        <v>43678</v>
      </c>
      <c r="C98" s="21">
        <v>463395</v>
      </c>
      <c r="D98" s="21">
        <v>474770</v>
      </c>
      <c r="E98" s="23">
        <f>(+C98-D98)/D98</f>
        <v>-2.39589696063357E-2</v>
      </c>
      <c r="F98" s="21">
        <f>+C98-219743</f>
        <v>243652</v>
      </c>
      <c r="G98" s="21">
        <f>+D98-232249</f>
        <v>242521</v>
      </c>
      <c r="H98" s="23">
        <f>(+F98-G98)/G98</f>
        <v>4.663513675104424E-3</v>
      </c>
      <c r="I98" s="24">
        <f>K98/C98</f>
        <v>50.067066649402783</v>
      </c>
      <c r="J98" s="24">
        <f>K98/F98</f>
        <v>95.22116933166977</v>
      </c>
      <c r="K98" s="21">
        <v>23200828.350000001</v>
      </c>
      <c r="L98" s="21">
        <v>23787231.309999999</v>
      </c>
      <c r="M98" s="25">
        <f>(+K98-L98)/L98</f>
        <v>-2.4652005622591192E-2</v>
      </c>
      <c r="N98" s="10"/>
      <c r="R98" s="2"/>
    </row>
    <row r="99" spans="1:18" ht="15.75" x14ac:dyDescent="0.25">
      <c r="A99" s="19"/>
      <c r="B99" s="20">
        <f>DATE(2019,9,1)</f>
        <v>43709</v>
      </c>
      <c r="C99" s="21">
        <v>425892</v>
      </c>
      <c r="D99" s="21">
        <v>439040</v>
      </c>
      <c r="E99" s="23">
        <f>(+C99-D99)/D99</f>
        <v>-2.9947157434402332E-2</v>
      </c>
      <c r="F99" s="21">
        <f>+C99-202215</f>
        <v>223677</v>
      </c>
      <c r="G99" s="21">
        <f>+D99-213778</f>
        <v>225262</v>
      </c>
      <c r="H99" s="23">
        <f>(+F99-G99)/G99</f>
        <v>-7.0362511209169764E-3</v>
      </c>
      <c r="I99" s="24">
        <f>K99/C99</f>
        <v>50.554840593389876</v>
      </c>
      <c r="J99" s="24">
        <f>K99/F99</f>
        <v>96.258900870451598</v>
      </c>
      <c r="K99" s="21">
        <v>21530902.170000002</v>
      </c>
      <c r="L99" s="21">
        <v>21674295.539999999</v>
      </c>
      <c r="M99" s="25">
        <f>(+K99-L99)/L99</f>
        <v>-6.6158260938799273E-3</v>
      </c>
      <c r="N99" s="10"/>
      <c r="R99" s="2"/>
    </row>
    <row r="100" spans="1:18" ht="15.75" x14ac:dyDescent="0.25">
      <c r="A100" s="19"/>
      <c r="B100" s="20">
        <f>DATE(2019,10,1)</f>
        <v>43739</v>
      </c>
      <c r="C100" s="21">
        <v>405696</v>
      </c>
      <c r="D100" s="21">
        <v>422287</v>
      </c>
      <c r="E100" s="23">
        <f>(+C100-D100)/D100</f>
        <v>-3.9288446009467494E-2</v>
      </c>
      <c r="F100" s="21">
        <f>+C100-186355</f>
        <v>219341</v>
      </c>
      <c r="G100" s="21">
        <f>+D100-199383</f>
        <v>222904</v>
      </c>
      <c r="H100" s="23">
        <f>(+F100-G100)/G100</f>
        <v>-1.5984459677708788E-2</v>
      </c>
      <c r="I100" s="24">
        <f>K100/C100</f>
        <v>53.730310848517121</v>
      </c>
      <c r="J100" s="24">
        <f>K100/F100</f>
        <v>99.380290005060615</v>
      </c>
      <c r="K100" s="21">
        <v>21798172.190000001</v>
      </c>
      <c r="L100" s="21">
        <v>20754214.07</v>
      </c>
      <c r="M100" s="25">
        <f>(+K100-L100)/L100</f>
        <v>5.0301019179956885E-2</v>
      </c>
      <c r="N100" s="10"/>
      <c r="R100" s="2"/>
    </row>
    <row r="101" spans="1:18" ht="15.75" x14ac:dyDescent="0.25">
      <c r="A101" s="19"/>
      <c r="B101" s="20">
        <f>DATE(2019,11,1)</f>
        <v>43770</v>
      </c>
      <c r="C101" s="21">
        <v>410734</v>
      </c>
      <c r="D101" s="21">
        <v>425527</v>
      </c>
      <c r="E101" s="23">
        <f>(+C101-D101)/D101</f>
        <v>-3.4763951523640098E-2</v>
      </c>
      <c r="F101" s="21">
        <f>+C101-191355</f>
        <v>219379</v>
      </c>
      <c r="G101" s="21">
        <f>+D101-204971</f>
        <v>220556</v>
      </c>
      <c r="H101" s="23">
        <f>(+F101-G101)/G101</f>
        <v>-5.3365131757920894E-3</v>
      </c>
      <c r="I101" s="24">
        <f>K101/C101</f>
        <v>50.703642673847305</v>
      </c>
      <c r="J101" s="24">
        <f>K101/F101</f>
        <v>94.930280336768789</v>
      </c>
      <c r="K101" s="21">
        <v>20825709.969999999</v>
      </c>
      <c r="L101" s="21">
        <v>21387450.190000001</v>
      </c>
      <c r="M101" s="25">
        <f>(+K101-L101)/L101</f>
        <v>-2.626494579810416E-2</v>
      </c>
      <c r="N101" s="10"/>
      <c r="R101" s="2"/>
    </row>
    <row r="102" spans="1:18" ht="15.75" thickBot="1" x14ac:dyDescent="0.25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SUM(C97:C102)</f>
        <v>2153191</v>
      </c>
      <c r="D103" s="41">
        <f>SUM(D97:D102)</f>
        <v>2231918</v>
      </c>
      <c r="E103" s="280">
        <f>(+C103-D103)/D103</f>
        <v>-3.527324928604008E-2</v>
      </c>
      <c r="F103" s="41">
        <f>SUM(F97:F102)</f>
        <v>1145110</v>
      </c>
      <c r="G103" s="41">
        <f>SUM(G97:G102)</f>
        <v>1156756</v>
      </c>
      <c r="H103" s="42">
        <f>(+F103-G103)/G103</f>
        <v>-1.0067810324735726E-2</v>
      </c>
      <c r="I103" s="43">
        <f>K103/C103</f>
        <v>51.158341535887892</v>
      </c>
      <c r="J103" s="43">
        <f>K103/F103</f>
        <v>96.194846407768679</v>
      </c>
      <c r="K103" s="41">
        <f>SUM(K97:K102)</f>
        <v>110153680.56999999</v>
      </c>
      <c r="L103" s="41">
        <f>SUM(L97:L102)</f>
        <v>111022746.88999999</v>
      </c>
      <c r="M103" s="44">
        <f>(+K103-L103)/L103</f>
        <v>-7.8278221746850979E-3</v>
      </c>
      <c r="N103" s="10"/>
      <c r="R103" s="2"/>
    </row>
    <row r="104" spans="1:18" ht="15.75" customHeight="1" thickTop="1" x14ac:dyDescent="0.25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 x14ac:dyDescent="0.25">
      <c r="A105" s="19" t="s">
        <v>63</v>
      </c>
      <c r="B105" s="20">
        <f>DATE(2019,7,1)</f>
        <v>43647</v>
      </c>
      <c r="C105" s="21">
        <v>77431</v>
      </c>
      <c r="D105" s="21">
        <v>83462</v>
      </c>
      <c r="E105" s="23">
        <f>(+C105-D105)/D105</f>
        <v>-7.2260429896240208E-2</v>
      </c>
      <c r="F105" s="21">
        <f>+C105-35761</f>
        <v>41670</v>
      </c>
      <c r="G105" s="21">
        <f>+D105-37670</f>
        <v>45792</v>
      </c>
      <c r="H105" s="23">
        <f>(+F105-G105)/G105</f>
        <v>-9.0015723270440245E-2</v>
      </c>
      <c r="I105" s="24">
        <f>K105/C105</f>
        <v>43.866899303896368</v>
      </c>
      <c r="J105" s="24">
        <f>K105/F105</f>
        <v>81.513268058555312</v>
      </c>
      <c r="K105" s="21">
        <v>3396657.88</v>
      </c>
      <c r="L105" s="21">
        <v>3596592.5</v>
      </c>
      <c r="M105" s="25">
        <f>(+K105-L105)/L105</f>
        <v>-5.5590011934907861E-2</v>
      </c>
      <c r="N105" s="10"/>
      <c r="R105" s="2"/>
    </row>
    <row r="106" spans="1:18" ht="15.75" x14ac:dyDescent="0.25">
      <c r="A106" s="19"/>
      <c r="B106" s="20">
        <f>DATE(2019,8,1)</f>
        <v>43678</v>
      </c>
      <c r="C106" s="21">
        <v>83032</v>
      </c>
      <c r="D106" s="21">
        <v>82775</v>
      </c>
      <c r="E106" s="23">
        <f>(+C106-D106)/D106</f>
        <v>3.1048021745696164E-3</v>
      </c>
      <c r="F106" s="21">
        <f>+C106-37844</f>
        <v>45188</v>
      </c>
      <c r="G106" s="21">
        <f>+D106-37255</f>
        <v>45520</v>
      </c>
      <c r="H106" s="23">
        <f>(+F106-G106)/G106</f>
        <v>-7.2934973637961333E-3</v>
      </c>
      <c r="I106" s="24">
        <f>K106/C106</f>
        <v>42.053671957799402</v>
      </c>
      <c r="J106" s="24">
        <f>K106/F106</f>
        <v>77.272738116314073</v>
      </c>
      <c r="K106" s="21">
        <v>3491800.49</v>
      </c>
      <c r="L106" s="21">
        <v>3639194.09</v>
      </c>
      <c r="M106" s="25">
        <f>(+K106-L106)/L106</f>
        <v>-4.0501714488110643E-2</v>
      </c>
      <c r="N106" s="10"/>
      <c r="R106" s="2"/>
    </row>
    <row r="107" spans="1:18" ht="15.75" x14ac:dyDescent="0.25">
      <c r="A107" s="19"/>
      <c r="B107" s="20">
        <f>DATE(2019,9,1)</f>
        <v>43709</v>
      </c>
      <c r="C107" s="21">
        <v>70924</v>
      </c>
      <c r="D107" s="21">
        <v>77092</v>
      </c>
      <c r="E107" s="23">
        <f>(+C107-D107)/D107</f>
        <v>-8.0008301769314588E-2</v>
      </c>
      <c r="F107" s="21">
        <f>+C107-32729</f>
        <v>38195</v>
      </c>
      <c r="G107" s="21">
        <f>+D107-35421</f>
        <v>41671</v>
      </c>
      <c r="H107" s="23">
        <f>(+F107-G107)/G107</f>
        <v>-8.3415324806220159E-2</v>
      </c>
      <c r="I107" s="24">
        <f>K107/C107</f>
        <v>47.535936354407532</v>
      </c>
      <c r="J107" s="24">
        <f>K107/F107</f>
        <v>88.269112449273464</v>
      </c>
      <c r="K107" s="21">
        <v>3371438.75</v>
      </c>
      <c r="L107" s="21">
        <v>3422069</v>
      </c>
      <c r="M107" s="25">
        <f>(+K107-L107)/L107</f>
        <v>-1.4795215993599195E-2</v>
      </c>
      <c r="N107" s="10"/>
      <c r="R107" s="2"/>
    </row>
    <row r="108" spans="1:18" ht="15.75" x14ac:dyDescent="0.25">
      <c r="A108" s="19"/>
      <c r="B108" s="20">
        <f>DATE(2019,10,1)</f>
        <v>43739</v>
      </c>
      <c r="C108" s="21">
        <v>70482</v>
      </c>
      <c r="D108" s="21">
        <v>82223</v>
      </c>
      <c r="E108" s="23">
        <f>(+C108-D108)/D108</f>
        <v>-0.14279459518626175</v>
      </c>
      <c r="F108" s="21">
        <f>+C108-33635</f>
        <v>36847</v>
      </c>
      <c r="G108" s="21">
        <f>+D108-37480</f>
        <v>44743</v>
      </c>
      <c r="H108" s="23">
        <f>(+F108-G108)/G108</f>
        <v>-0.17647453232907942</v>
      </c>
      <c r="I108" s="24">
        <f>K108/C108</f>
        <v>46.451715189693822</v>
      </c>
      <c r="J108" s="24">
        <f>K108/F108</f>
        <v>88.854175102450682</v>
      </c>
      <c r="K108" s="21">
        <v>3274009.79</v>
      </c>
      <c r="L108" s="21">
        <v>3392612.93</v>
      </c>
      <c r="M108" s="25">
        <f>(+K108-L108)/L108</f>
        <v>-3.4959231261315782E-2</v>
      </c>
      <c r="N108" s="10"/>
      <c r="R108" s="2"/>
    </row>
    <row r="109" spans="1:18" ht="15.75" x14ac:dyDescent="0.25">
      <c r="A109" s="19"/>
      <c r="B109" s="20">
        <f>DATE(2019,11,1)</f>
        <v>43770</v>
      </c>
      <c r="C109" s="21">
        <v>73056</v>
      </c>
      <c r="D109" s="21">
        <v>76303</v>
      </c>
      <c r="E109" s="23">
        <f>(+C109-D109)/D109</f>
        <v>-4.2554028019868156E-2</v>
      </c>
      <c r="F109" s="21">
        <f>+C109-35437</f>
        <v>37619</v>
      </c>
      <c r="G109" s="21">
        <f>+D109-35181</f>
        <v>41122</v>
      </c>
      <c r="H109" s="23">
        <f>(+F109-G109)/G109</f>
        <v>-8.5185545450124023E-2</v>
      </c>
      <c r="I109" s="24">
        <f>K109/C109</f>
        <v>46.231660643889619</v>
      </c>
      <c r="J109" s="24">
        <f>K109/F109</f>
        <v>89.781764533879155</v>
      </c>
      <c r="K109" s="21">
        <v>3377500.2</v>
      </c>
      <c r="L109" s="21">
        <v>3366475.85</v>
      </c>
      <c r="M109" s="25">
        <f>(+K109-L109)/L109</f>
        <v>3.2747450126517593E-3</v>
      </c>
      <c r="N109" s="10"/>
      <c r="R109" s="2"/>
    </row>
    <row r="110" spans="1:18" ht="15.75" thickBot="1" x14ac:dyDescent="0.25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Top="1" thickBot="1" x14ac:dyDescent="0.3">
      <c r="A111" s="26" t="s">
        <v>14</v>
      </c>
      <c r="B111" s="27"/>
      <c r="C111" s="28">
        <f>SUM(C105:C110)</f>
        <v>374925</v>
      </c>
      <c r="D111" s="28">
        <f>SUM(D105:D110)</f>
        <v>401855</v>
      </c>
      <c r="E111" s="280">
        <f>(+C111-D111)/D111</f>
        <v>-6.7014221547573125E-2</v>
      </c>
      <c r="F111" s="28">
        <f>SUM(F105:F110)</f>
        <v>199519</v>
      </c>
      <c r="G111" s="28">
        <f>SUM(G105:G110)</f>
        <v>218848</v>
      </c>
      <c r="H111" s="42">
        <f>(+F111-G111)/G111</f>
        <v>-8.8321574791636201E-2</v>
      </c>
      <c r="I111" s="43">
        <f>K111/C111</f>
        <v>45.106106848036269</v>
      </c>
      <c r="J111" s="43">
        <f>K111/F111</f>
        <v>84.760885479578377</v>
      </c>
      <c r="K111" s="28">
        <f>SUM(K105:K110)</f>
        <v>16911407.109999999</v>
      </c>
      <c r="L111" s="28">
        <f>SUM(L105:L110)</f>
        <v>17416944.370000001</v>
      </c>
      <c r="M111" s="44">
        <f>(+K111-L111)/L111</f>
        <v>-2.9025599970955274E-2</v>
      </c>
      <c r="N111" s="10"/>
      <c r="R111" s="2"/>
    </row>
    <row r="112" spans="1:18" ht="16.5" thickTop="1" thickBot="1" x14ac:dyDescent="0.25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Top="1" thickBot="1" x14ac:dyDescent="0.3">
      <c r="A113" s="64" t="s">
        <v>20</v>
      </c>
      <c r="B113" s="65"/>
      <c r="C113" s="28">
        <f>C111+C103+C47+C63+C71+C31+C15+C79+C87+C39+C95+C23+C55</f>
        <v>15369517</v>
      </c>
      <c r="D113" s="28">
        <f>D111+D103+D47+D63+D71+D31+D15+D79+D87+D39+D95+D23+D55</f>
        <v>15914517</v>
      </c>
      <c r="E113" s="279">
        <f>(+C113-D113)/D113</f>
        <v>-3.4245462806065684E-2</v>
      </c>
      <c r="F113" s="28">
        <f>F111+F103+F47+F63+F71+F31+F15+F79+F87+F39+F95+F23+F55</f>
        <v>8174613</v>
      </c>
      <c r="G113" s="28">
        <f>G111+G103+G47+G63+G71+G31+G15+G79+G87+G39+G95+G23+G55</f>
        <v>8375610</v>
      </c>
      <c r="H113" s="30">
        <f>(+F113-G113)/G113</f>
        <v>-2.3997893884743916E-2</v>
      </c>
      <c r="I113" s="31">
        <f>K113/C113</f>
        <v>46.939256836112683</v>
      </c>
      <c r="J113" s="31">
        <f>K113/F113</f>
        <v>88.252949211173672</v>
      </c>
      <c r="K113" s="28">
        <f>K111+K103+K47+K63+K71+K31+K15+K79+K87+K39+K95+K23+K55</f>
        <v>721433705.91000009</v>
      </c>
      <c r="L113" s="28">
        <f>L111+L103+L47+L63+L71+L31+L15+L79+L87+L39+L95+L23+L55</f>
        <v>721870114.64999998</v>
      </c>
      <c r="M113" s="32">
        <f>(+K113-L113)/L113</f>
        <v>-6.0455299525938105E-4</v>
      </c>
      <c r="N113" s="10"/>
      <c r="R113" s="2"/>
    </row>
    <row r="114" spans="1:18" ht="17.25" thickTop="1" thickBot="1" x14ac:dyDescent="0.3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Top="1" thickBot="1" x14ac:dyDescent="0.3">
      <c r="A115" s="64" t="s">
        <v>21</v>
      </c>
      <c r="B115" s="65"/>
      <c r="C115" s="28">
        <f>SUM(C13+C21+C29+C37+C45+C53+C61+C69+C77+C85+C93+C101+C109)</f>
        <v>3052179</v>
      </c>
      <c r="D115" s="28">
        <f>SUM(D13+D21+D29+D37+D45+D53+D61+D69+D77+D85+D93+D101+D109)</f>
        <v>2964539</v>
      </c>
      <c r="E115" s="279">
        <f>(+C115-D115)/D115</f>
        <v>2.9562775190341568E-2</v>
      </c>
      <c r="F115" s="28">
        <f>SUM(F13+F21+F29+F37+F45+F53+F61+F69+F77+F85+F93+F101+F109)</f>
        <v>1609607</v>
      </c>
      <c r="G115" s="28">
        <f>SUM(G13+G21+G29+G37+G45+G53+G61+G69+G77+G85+G93+G101+G109)</f>
        <v>1553884</v>
      </c>
      <c r="H115" s="30">
        <f>(+F115-G115)/G115</f>
        <v>3.5860463200599275E-2</v>
      </c>
      <c r="I115" s="31">
        <f>K115/C115</f>
        <v>47.319662369081229</v>
      </c>
      <c r="J115" s="31">
        <f>K115/F115</f>
        <v>89.72878458530559</v>
      </c>
      <c r="K115" s="28">
        <f>SUM(K13+K21+K29+K37+K45+K53+K61+K69+K77+K85+K93+K101+K109)</f>
        <v>144428079.76999998</v>
      </c>
      <c r="L115" s="28">
        <f>SUM(L13+L21+L29+L37+L45+L53+L61+L69+L77+L85+L93+L101+L109)</f>
        <v>138146317.76999998</v>
      </c>
      <c r="M115" s="44">
        <f>(+K115-L115)/L115</f>
        <v>4.5471801937265639E-2</v>
      </c>
      <c r="N115" s="10"/>
      <c r="R115" s="2"/>
    </row>
    <row r="116" spans="1:18" ht="15.75" thickTop="1" x14ac:dyDescent="0.2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8.75" x14ac:dyDescent="0.3">
      <c r="A117" s="264" t="s">
        <v>22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198"/>
      <c r="L117" s="198"/>
      <c r="M117" s="71"/>
      <c r="N117" s="2"/>
      <c r="O117" s="2"/>
      <c r="P117" s="2"/>
      <c r="Q117" s="2"/>
      <c r="R117" s="2"/>
    </row>
    <row r="118" spans="1:18" ht="18" x14ac:dyDescent="0.25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5.75" x14ac:dyDescent="0.25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4"/>
      <c r="N128" s="2"/>
      <c r="O128" s="2"/>
      <c r="P128" s="2"/>
      <c r="Q128" s="2"/>
      <c r="R128" s="2"/>
    </row>
    <row r="129" spans="1:18" x14ac:dyDescent="0.2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x14ac:dyDescent="0.2">
      <c r="A130" s="2"/>
      <c r="B130" s="70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.75" x14ac:dyDescent="0.25">
      <c r="A131" s="76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.75" x14ac:dyDescent="0.2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.75" x14ac:dyDescent="0.2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 x14ac:dyDescent="0.25">
      <c r="A135" s="76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.75" x14ac:dyDescent="0.25">
      <c r="A151" s="76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 x14ac:dyDescent="0.25">
      <c r="A153" s="76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.75" x14ac:dyDescent="0.25">
      <c r="A169" s="76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.75" x14ac:dyDescent="0.25">
      <c r="A175" s="76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 x14ac:dyDescent="0.25">
      <c r="A178" s="76"/>
      <c r="B178" s="76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5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DATE(2019,7,1)</f>
        <v>43647</v>
      </c>
      <c r="B10" s="89">
        <f>'MONTHLY STATS'!$C$9*2</f>
        <v>547638</v>
      </c>
      <c r="C10" s="89">
        <f>'MONTHLY STATS'!$C$17*2</f>
        <v>257754</v>
      </c>
      <c r="D10" s="89">
        <f>'MONTHLY STATS'!$C$25*2</f>
        <v>133644</v>
      </c>
      <c r="E10" s="89">
        <f>'MONTHLY STATS'!$C$33*2</f>
        <v>876434</v>
      </c>
      <c r="F10" s="89">
        <f>'MONTHLY STATS'!$C$41*2</f>
        <v>577518</v>
      </c>
      <c r="G10" s="89">
        <f>'MONTHLY STATS'!$C$49*2</f>
        <v>221856</v>
      </c>
      <c r="H10" s="89">
        <f>'MONTHLY STATS'!$C$57*2</f>
        <v>302822</v>
      </c>
      <c r="I10" s="89">
        <f>'MONTHLY STATS'!$C$65*2</f>
        <v>647442</v>
      </c>
      <c r="J10" s="89">
        <f>'MONTHLY STATS'!$C$73*2</f>
        <v>733218</v>
      </c>
      <c r="K10" s="89">
        <f>'MONTHLY STATS'!$C$81*2</f>
        <v>840884</v>
      </c>
      <c r="L10" s="89">
        <f>'MONTHLY STATS'!$C$89*2</f>
        <v>122654</v>
      </c>
      <c r="M10" s="89">
        <f>'MONTHLY STATS'!$C$97*2</f>
        <v>894948</v>
      </c>
      <c r="N10" s="89">
        <f>'MONTHLY STATS'!$C$105*2</f>
        <v>154862</v>
      </c>
      <c r="O10" s="90">
        <f>SUM(B10:N10)</f>
        <v>6311674</v>
      </c>
      <c r="P10" s="83"/>
    </row>
    <row r="11" spans="1:16" ht="15.75" x14ac:dyDescent="0.25">
      <c r="A11" s="88">
        <f>DATE(2019,8,1)</f>
        <v>43678</v>
      </c>
      <c r="B11" s="89">
        <f>'MONTHLY STATS'!$C$10*2</f>
        <v>553760</v>
      </c>
      <c r="C11" s="89">
        <f>'MONTHLY STATS'!$C$18*2</f>
        <v>260266</v>
      </c>
      <c r="D11" s="89">
        <f>'MONTHLY STATS'!$C$26*2</f>
        <v>138050</v>
      </c>
      <c r="E11" s="89">
        <f>'MONTHLY STATS'!$C$34*2</f>
        <v>874058</v>
      </c>
      <c r="F11" s="89">
        <f>'MONTHLY STATS'!$C$42*2</f>
        <v>585914</v>
      </c>
      <c r="G11" s="89">
        <f>'MONTHLY STATS'!$C$50*2</f>
        <v>228616</v>
      </c>
      <c r="H11" s="89">
        <f>'MONTHLY STATS'!$C$58*2</f>
        <v>306888</v>
      </c>
      <c r="I11" s="89">
        <f>'MONTHLY STATS'!$C$66*2</f>
        <v>649404</v>
      </c>
      <c r="J11" s="89">
        <f>'MONTHLY STATS'!$C$74*2</f>
        <v>769892</v>
      </c>
      <c r="K11" s="89">
        <f>'MONTHLY STATS'!$C$82*2</f>
        <v>880314</v>
      </c>
      <c r="L11" s="89">
        <f>'MONTHLY STATS'!$C$90*2</f>
        <v>125774</v>
      </c>
      <c r="M11" s="89">
        <f>'MONTHLY STATS'!$C$98*2</f>
        <v>926790</v>
      </c>
      <c r="N11" s="89">
        <f>'MONTHLY STATS'!$C$106*2</f>
        <v>166064</v>
      </c>
      <c r="O11" s="90">
        <f>SUM(B11:N11)</f>
        <v>6465790</v>
      </c>
      <c r="P11" s="83"/>
    </row>
    <row r="12" spans="1:16" ht="15.75" x14ac:dyDescent="0.25">
      <c r="A12" s="88">
        <f>DATE(2019,9,1)</f>
        <v>43709</v>
      </c>
      <c r="B12" s="89">
        <f>'MONTHLY STATS'!$C$11*2</f>
        <v>508056</v>
      </c>
      <c r="C12" s="89">
        <f>'MONTHLY STATS'!$C$19*2</f>
        <v>236502</v>
      </c>
      <c r="D12" s="89">
        <f>'MONTHLY STATS'!$C$27*2</f>
        <v>131146</v>
      </c>
      <c r="E12" s="89">
        <f>'MONTHLY STATS'!$C$35*2</f>
        <v>807698</v>
      </c>
      <c r="F12" s="89">
        <f>'MONTHLY STATS'!$C$43*2</f>
        <v>553426</v>
      </c>
      <c r="G12" s="89">
        <f>'MONTHLY STATS'!$C$51*2</f>
        <v>217338</v>
      </c>
      <c r="H12" s="89">
        <f>'MONTHLY STATS'!$C$59*2</f>
        <v>286098</v>
      </c>
      <c r="I12" s="89">
        <f>'MONTHLY STATS'!$C$67*2</f>
        <v>601564</v>
      </c>
      <c r="J12" s="89">
        <f>'MONTHLY STATS'!$C$75*2</f>
        <v>696336</v>
      </c>
      <c r="K12" s="89">
        <f>'MONTHLY STATS'!$C$83*2</f>
        <v>846490</v>
      </c>
      <c r="L12" s="89">
        <f>'MONTHLY STATS'!$C$91*2</f>
        <v>118216</v>
      </c>
      <c r="M12" s="89">
        <f>'MONTHLY STATS'!$C$99*2</f>
        <v>851784</v>
      </c>
      <c r="N12" s="89">
        <f>'MONTHLY STATS'!$C$107*2</f>
        <v>141848</v>
      </c>
      <c r="O12" s="90">
        <f>SUM(B12:N12)</f>
        <v>5996502</v>
      </c>
      <c r="P12" s="83"/>
    </row>
    <row r="13" spans="1:16" ht="15.75" x14ac:dyDescent="0.25">
      <c r="A13" s="88">
        <f>DATE(2019,10,1)</f>
        <v>43739</v>
      </c>
      <c r="B13" s="89">
        <f>'MONTHLY STATS'!$C$12*2</f>
        <v>501904</v>
      </c>
      <c r="C13" s="89">
        <f>'MONTHLY STATS'!$C$20*2</f>
        <v>226104</v>
      </c>
      <c r="D13" s="89">
        <f>'MONTHLY STATS'!$C$28*2</f>
        <v>126078</v>
      </c>
      <c r="E13" s="89">
        <f>'MONTHLY STATS'!$C$36*2</f>
        <v>793172</v>
      </c>
      <c r="F13" s="89">
        <f>'MONTHLY STATS'!$C$44*2</f>
        <v>530564</v>
      </c>
      <c r="G13" s="89">
        <f>'MONTHLY STATS'!$C$52*2</f>
        <v>217448</v>
      </c>
      <c r="H13" s="89">
        <f>'MONTHLY STATS'!$C$60*2</f>
        <v>294266</v>
      </c>
      <c r="I13" s="89">
        <f>'MONTHLY STATS'!$C$68*2</f>
        <v>567086</v>
      </c>
      <c r="J13" s="89">
        <f>'MONTHLY STATS'!$C$76*2</f>
        <v>694800</v>
      </c>
      <c r="K13" s="89">
        <f>'MONTHLY STATS'!$C$84*2</f>
        <v>844538</v>
      </c>
      <c r="L13" s="89">
        <f>'MONTHLY STATS'!$C$92*2</f>
        <v>112394</v>
      </c>
      <c r="M13" s="89">
        <f>'MONTHLY STATS'!$C$100*2</f>
        <v>811392</v>
      </c>
      <c r="N13" s="89">
        <f>'MONTHLY STATS'!$C$108*2</f>
        <v>140964</v>
      </c>
      <c r="O13" s="90">
        <f>SUM(B13:N13)</f>
        <v>5860710</v>
      </c>
      <c r="P13" s="83"/>
    </row>
    <row r="14" spans="1:16" ht="15.75" x14ac:dyDescent="0.25">
      <c r="A14" s="88">
        <f>DATE(2019,11,1)</f>
        <v>43770</v>
      </c>
      <c r="B14" s="89">
        <f>'MONTHLY STATS'!$C$13*2</f>
        <v>544836</v>
      </c>
      <c r="C14" s="89">
        <f>'MONTHLY STATS'!$C$21*2</f>
        <v>233310</v>
      </c>
      <c r="D14" s="89">
        <f>'MONTHLY STATS'!$C$29*2</f>
        <v>128624</v>
      </c>
      <c r="E14" s="89">
        <f>'MONTHLY STATS'!$C$37*2</f>
        <v>839574</v>
      </c>
      <c r="F14" s="89">
        <f>'MONTHLY STATS'!$C$45*2</f>
        <v>577528</v>
      </c>
      <c r="G14" s="89">
        <f>'MONTHLY STATS'!$C$53*2</f>
        <v>217948</v>
      </c>
      <c r="H14" s="89">
        <f>'MONTHLY STATS'!$C$61*2</f>
        <v>295218</v>
      </c>
      <c r="I14" s="89">
        <f>'MONTHLY STATS'!$C$69*2</f>
        <v>583098</v>
      </c>
      <c r="J14" s="89">
        <f>'MONTHLY STATS'!$C$77*2</f>
        <v>735812</v>
      </c>
      <c r="K14" s="89">
        <f>'MONTHLY STATS'!$C$85*2</f>
        <v>868750</v>
      </c>
      <c r="L14" s="89">
        <f>'MONTHLY STATS'!$C$93*2</f>
        <v>112080</v>
      </c>
      <c r="M14" s="89">
        <f>'MONTHLY STATS'!$C$101*2</f>
        <v>821468</v>
      </c>
      <c r="N14" s="89">
        <f>'MONTHLY STATS'!$C$109*2</f>
        <v>146112</v>
      </c>
      <c r="O14" s="90">
        <f>SUM(B14:N14)</f>
        <v>6104358</v>
      </c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0">SUM(B10:B21)</f>
        <v>2656194</v>
      </c>
      <c r="C23" s="90">
        <f t="shared" si="0"/>
        <v>1213936</v>
      </c>
      <c r="D23" s="90">
        <f t="shared" si="0"/>
        <v>657542</v>
      </c>
      <c r="E23" s="90">
        <f t="shared" si="0"/>
        <v>4190936</v>
      </c>
      <c r="F23" s="90">
        <f t="shared" si="0"/>
        <v>2824950</v>
      </c>
      <c r="G23" s="90">
        <f>SUM(G10:G21)</f>
        <v>1103206</v>
      </c>
      <c r="H23" s="90">
        <f t="shared" si="0"/>
        <v>1485292</v>
      </c>
      <c r="I23" s="90">
        <f>SUM(I10:I21)</f>
        <v>3048594</v>
      </c>
      <c r="J23" s="90">
        <f t="shared" si="0"/>
        <v>3630058</v>
      </c>
      <c r="K23" s="90">
        <f>SUM(K10:K21)</f>
        <v>4280976</v>
      </c>
      <c r="L23" s="90">
        <f t="shared" si="0"/>
        <v>591118</v>
      </c>
      <c r="M23" s="90">
        <f t="shared" si="0"/>
        <v>4306382</v>
      </c>
      <c r="N23" s="90">
        <f t="shared" si="0"/>
        <v>749850</v>
      </c>
      <c r="O23" s="90">
        <f t="shared" si="0"/>
        <v>30739034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DATE(2019,7,1)</f>
        <v>43647</v>
      </c>
      <c r="B31" s="89">
        <f>'MONTHLY STATS'!$K$9*0.21</f>
        <v>3064505.5707</v>
      </c>
      <c r="C31" s="89">
        <f>'MONTHLY STATS'!$K$17*0.21</f>
        <v>1462853.8743</v>
      </c>
      <c r="D31" s="89">
        <f>'MONTHLY STATS'!$K$25*0.21</f>
        <v>684695.08169999998</v>
      </c>
      <c r="E31" s="89">
        <f>'MONTHLY STATS'!$K$33*0.21</f>
        <v>4293878.6624999996</v>
      </c>
      <c r="F31" s="89">
        <f>'MONTHLY STATS'!$K$41*0.21</f>
        <v>2956269.6954000001</v>
      </c>
      <c r="G31" s="89">
        <f>'MONTHLY STATS'!$K$49*0.21</f>
        <v>935961.4299000001</v>
      </c>
      <c r="H31" s="89">
        <f>'MONTHLY STATS'!$K$57*0.21</f>
        <v>1101109.2120000001</v>
      </c>
      <c r="I31" s="89">
        <f>'MONTHLY STATS'!$K$65*0.21</f>
        <v>2638122.8495999998</v>
      </c>
      <c r="J31" s="89">
        <f>'MONTHLY STATS'!$K$73*0.21</f>
        <v>3294770.8562999996</v>
      </c>
      <c r="K31" s="89">
        <f>'MONTHLY STATS'!$K$81*0.21</f>
        <v>3827720.7779999999</v>
      </c>
      <c r="L31" s="89">
        <f>'MONTHLY STATS'!$K$89*0.21</f>
        <v>577273.81739999994</v>
      </c>
      <c r="M31" s="89">
        <f>'MONTHLY STATS'!$K$97*0.21</f>
        <v>4787594.2569000004</v>
      </c>
      <c r="N31" s="89">
        <f>'MONTHLY STATS'!$K$105*0.21</f>
        <v>713298.1547999999</v>
      </c>
      <c r="O31" s="90">
        <f>SUM(B31:N31)</f>
        <v>30338054.239500001</v>
      </c>
      <c r="P31" s="83"/>
    </row>
    <row r="32" spans="1:16" ht="15.75" x14ac:dyDescent="0.25">
      <c r="A32" s="88">
        <f>DATE(2019,8,1)</f>
        <v>43678</v>
      </c>
      <c r="B32" s="89">
        <f>'MONTHLY STATS'!$K$10*0.21</f>
        <v>3045430.4958000001</v>
      </c>
      <c r="C32" s="89">
        <f>'MONTHLY STATS'!$K$18*0.21</f>
        <v>1462946.0684999998</v>
      </c>
      <c r="D32" s="89">
        <f>'MONTHLY STATS'!$K$26*0.21</f>
        <v>676743.23639999994</v>
      </c>
      <c r="E32" s="89">
        <f>'MONTHLY STATS'!$K$34*0.21</f>
        <v>4480740.0917999996</v>
      </c>
      <c r="F32" s="89">
        <f>'MONTHLY STATS'!$K$42*0.21</f>
        <v>3271877.1245999997</v>
      </c>
      <c r="G32" s="89">
        <f>'MONTHLY STATS'!$K$50*0.21</f>
        <v>1095307.4894999999</v>
      </c>
      <c r="H32" s="89">
        <f>'MONTHLY STATS'!$K$58*0.21</f>
        <v>1189395.375</v>
      </c>
      <c r="I32" s="89">
        <f>'MONTHLY STATS'!$K$66*0.21</f>
        <v>2712053.7380999997</v>
      </c>
      <c r="J32" s="89">
        <f>'MONTHLY STATS'!$K$74*0.21</f>
        <v>3485481.7787999995</v>
      </c>
      <c r="K32" s="89">
        <f>'MONTHLY STATS'!$K$82*0.21</f>
        <v>4099393.2629999998</v>
      </c>
      <c r="L32" s="89">
        <f>'MONTHLY STATS'!$K$90*0.21</f>
        <v>621704.08019999997</v>
      </c>
      <c r="M32" s="89">
        <f>'MONTHLY STATS'!$K$98*0.21</f>
        <v>4872173.9534999998</v>
      </c>
      <c r="N32" s="89">
        <f>'MONTHLY STATS'!$K$106*0.21</f>
        <v>733278.10290000006</v>
      </c>
      <c r="O32" s="90">
        <f>SUM(B32:N32)</f>
        <v>31746524.798099998</v>
      </c>
      <c r="P32" s="83"/>
    </row>
    <row r="33" spans="1:16" ht="15.75" x14ac:dyDescent="0.25">
      <c r="A33" s="88">
        <f>DATE(2019,9,1)</f>
        <v>43709</v>
      </c>
      <c r="B33" s="89">
        <f>'MONTHLY STATS'!$K$11*0.21</f>
        <v>2682516.9797999999</v>
      </c>
      <c r="C33" s="89">
        <f>'MONTHLY STATS'!$K$19*0.21</f>
        <v>1347099.7259999998</v>
      </c>
      <c r="D33" s="89">
        <f>'MONTHLY STATS'!$K$27*0.21</f>
        <v>653521.67790000001</v>
      </c>
      <c r="E33" s="89">
        <f>'MONTHLY STATS'!$K$35*0.21</f>
        <v>3975747.0710999998</v>
      </c>
      <c r="F33" s="89">
        <f>'MONTHLY STATS'!$K$43*0.21</f>
        <v>3075068.3207999999</v>
      </c>
      <c r="G33" s="89">
        <f>'MONTHLY STATS'!$K$51*0.21</f>
        <v>1064622.0311999999</v>
      </c>
      <c r="H33" s="89">
        <f>'MONTHLY STATS'!$K$59*0.21</f>
        <v>1067073.9975000001</v>
      </c>
      <c r="I33" s="89">
        <f>'MONTHLY STATS'!$K$67*0.21</f>
        <v>2580957.3509999998</v>
      </c>
      <c r="J33" s="89">
        <f>'MONTHLY STATS'!$K$75*0.21</f>
        <v>3247928.1302999998</v>
      </c>
      <c r="K33" s="89">
        <f>'MONTHLY STATS'!$K$83*0.21</f>
        <v>3876567.9813000001</v>
      </c>
      <c r="L33" s="89">
        <f>'MONTHLY STATS'!$K$91*0.21</f>
        <v>566536.21919999993</v>
      </c>
      <c r="M33" s="89">
        <f>'MONTHLY STATS'!$K$99*0.21</f>
        <v>4521489.4556999998</v>
      </c>
      <c r="N33" s="89">
        <f>'MONTHLY STATS'!$K$107*0.21</f>
        <v>708002.13749999995</v>
      </c>
      <c r="O33" s="90">
        <f>SUM(B33:N33)</f>
        <v>29367131.079299998</v>
      </c>
      <c r="P33" s="83"/>
    </row>
    <row r="34" spans="1:16" ht="15.75" x14ac:dyDescent="0.25">
      <c r="A34" s="88">
        <f>DATE(2019,10,1)</f>
        <v>43739</v>
      </c>
      <c r="B34" s="89">
        <f>'MONTHLY STATS'!$K$12*0.21</f>
        <v>2808656.8460999997</v>
      </c>
      <c r="C34" s="89">
        <f>'MONTHLY STATS'!$K$20*0.21</f>
        <v>1270524.0954</v>
      </c>
      <c r="D34" s="89">
        <f>'MONTHLY STATS'!$K$28*0.21</f>
        <v>656377.92989999999</v>
      </c>
      <c r="E34" s="89">
        <f>'MONTHLY STATS'!$K$36*0.21</f>
        <v>3996979.6754999999</v>
      </c>
      <c r="F34" s="89">
        <f>'MONTHLY STATS'!$K$44*0.21</f>
        <v>3081834.2771999999</v>
      </c>
      <c r="G34" s="89">
        <f>'MONTHLY STATS'!$K$52*0.21</f>
        <v>1071722.4966</v>
      </c>
      <c r="H34" s="89">
        <f>'MONTHLY STATS'!$K$60*0.21</f>
        <v>1134567.2541</v>
      </c>
      <c r="I34" s="89">
        <f>'MONTHLY STATS'!$K$68*0.21</f>
        <v>2500454.2626</v>
      </c>
      <c r="J34" s="89">
        <f>'MONTHLY STATS'!$K$76*0.21</f>
        <v>3431470.9085999997</v>
      </c>
      <c r="K34" s="89">
        <f>'MONTHLY STATS'!$K$84*0.21</f>
        <v>3910565.9228999997</v>
      </c>
      <c r="L34" s="89">
        <f>'MONTHLY STATS'!$K$92*0.21</f>
        <v>591159.4878</v>
      </c>
      <c r="M34" s="89">
        <f>'MONTHLY STATS'!$K$100*0.21</f>
        <v>4577616.1599000003</v>
      </c>
      <c r="N34" s="89">
        <f>'MONTHLY STATS'!$K$108*0.21</f>
        <v>687542.05590000004</v>
      </c>
      <c r="O34" s="90">
        <f>SUM(B34:N34)</f>
        <v>29719471.372499995</v>
      </c>
      <c r="P34" s="83"/>
    </row>
    <row r="35" spans="1:16" ht="15.75" x14ac:dyDescent="0.25">
      <c r="A35" s="88">
        <f>DATE(2019,11,1)</f>
        <v>43770</v>
      </c>
      <c r="B35" s="89">
        <f>'MONTHLY STATS'!$K$13*0.21</f>
        <v>2933297.9570999998</v>
      </c>
      <c r="C35" s="89">
        <f>'MONTHLY STATS'!$K$21*0.21</f>
        <v>1336399.6106999998</v>
      </c>
      <c r="D35" s="89">
        <f>'MONTHLY STATS'!$K$29*0.21</f>
        <v>674038.20750000002</v>
      </c>
      <c r="E35" s="89">
        <f>'MONTHLY STATS'!$K$37*0.21</f>
        <v>4250414.3072999995</v>
      </c>
      <c r="F35" s="89">
        <f>'MONTHLY STATS'!$K$45*0.21</f>
        <v>3054671.8629000001</v>
      </c>
      <c r="G35" s="89">
        <f>'MONTHLY STATS'!$K$53*0.21</f>
        <v>1072822.3443</v>
      </c>
      <c r="H35" s="89">
        <f>'MONTHLY STATS'!$K$61*0.21</f>
        <v>1139863.5906</v>
      </c>
      <c r="I35" s="89">
        <f>'MONTHLY STATS'!$K$69*0.21</f>
        <v>2542853.6594999996</v>
      </c>
      <c r="J35" s="89">
        <f>'MONTHLY STATS'!$K$77*0.21</f>
        <v>3481744.8330000001</v>
      </c>
      <c r="K35" s="89">
        <f>'MONTHLY STATS'!$K$85*0.21</f>
        <v>4147627.5014999993</v>
      </c>
      <c r="L35" s="89">
        <f>'MONTHLY STATS'!$K$93*0.21</f>
        <v>613488.74159999995</v>
      </c>
      <c r="M35" s="89">
        <f>'MONTHLY STATS'!$K$101*0.21</f>
        <v>4373399.0936999992</v>
      </c>
      <c r="N35" s="89">
        <f>'MONTHLY STATS'!$K$109*0.21</f>
        <v>709275.04200000002</v>
      </c>
      <c r="O35" s="90">
        <f>SUM(B35:N35)</f>
        <v>30329896.751699999</v>
      </c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1">SUM(B31:B42)</f>
        <v>14534407.8495</v>
      </c>
      <c r="C44" s="90">
        <f t="shared" si="1"/>
        <v>6879823.3749000002</v>
      </c>
      <c r="D44" s="90">
        <f t="shared" si="1"/>
        <v>3345376.1333999997</v>
      </c>
      <c r="E44" s="90">
        <f t="shared" si="1"/>
        <v>20997759.808199998</v>
      </c>
      <c r="F44" s="90">
        <f t="shared" si="1"/>
        <v>15439721.2809</v>
      </c>
      <c r="G44" s="90">
        <f t="shared" si="1"/>
        <v>5240435.7915000003</v>
      </c>
      <c r="H44" s="90">
        <f t="shared" si="1"/>
        <v>5632009.4292000001</v>
      </c>
      <c r="I44" s="90">
        <f>SUM(I31:I42)</f>
        <v>12974441.860799998</v>
      </c>
      <c r="J44" s="90">
        <f t="shared" si="1"/>
        <v>16941396.506999999</v>
      </c>
      <c r="K44" s="90">
        <f>SUM(K31:K42)</f>
        <v>19861875.446699999</v>
      </c>
      <c r="L44" s="90">
        <f t="shared" si="1"/>
        <v>2970162.3461999996</v>
      </c>
      <c r="M44" s="90">
        <f t="shared" si="1"/>
        <v>23132272.919699997</v>
      </c>
      <c r="N44" s="90">
        <f t="shared" si="1"/>
        <v>3551395.4931000001</v>
      </c>
      <c r="O44" s="90">
        <f t="shared" si="1"/>
        <v>151501078.24110001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8"/>
  <sheetViews>
    <sheetView showOutlineSymbols="0" topLeftCell="A127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72</v>
      </c>
      <c r="B3" s="117"/>
      <c r="C3" s="200"/>
      <c r="D3" s="200"/>
      <c r="E3" s="200"/>
      <c r="F3" s="117"/>
      <c r="G3" s="210"/>
    </row>
    <row r="4" spans="1:8" x14ac:dyDescent="0.2">
      <c r="A4" s="284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DATE(2019,7,1)</f>
        <v>43647</v>
      </c>
      <c r="C9" s="204">
        <v>11145172</v>
      </c>
      <c r="D9" s="204">
        <v>2192281.5</v>
      </c>
      <c r="E9" s="204">
        <v>1826329</v>
      </c>
      <c r="F9" s="132">
        <f>(+D9-E9)/E9</f>
        <v>0.20037600016207374</v>
      </c>
      <c r="G9" s="215">
        <f>D9/C9</f>
        <v>0.19670234788660057</v>
      </c>
      <c r="H9" s="123"/>
    </row>
    <row r="10" spans="1:8" ht="15.75" x14ac:dyDescent="0.2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>(+D10-E10)/E10</f>
        <v>9.8894705358480092E-2</v>
      </c>
      <c r="G10" s="215">
        <f>D10/C10</f>
        <v>0.19150951972940256</v>
      </c>
      <c r="H10" s="123"/>
    </row>
    <row r="11" spans="1:8" ht="15.75" x14ac:dyDescent="0.2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>(+D11-E11)/E11</f>
        <v>-0.17161329040083143</v>
      </c>
      <c r="G11" s="215">
        <f>D11/C11</f>
        <v>0.17115509297811565</v>
      </c>
      <c r="H11" s="123"/>
    </row>
    <row r="12" spans="1:8" ht="15.75" x14ac:dyDescent="0.25">
      <c r="A12" s="130"/>
      <c r="B12" s="131">
        <f>DATE(2019,10,1)</f>
        <v>43739</v>
      </c>
      <c r="C12" s="204">
        <v>10226229</v>
      </c>
      <c r="D12" s="204">
        <v>1844628</v>
      </c>
      <c r="E12" s="204">
        <v>2198521</v>
      </c>
      <c r="F12" s="132">
        <f>(+D12-E12)/E12</f>
        <v>-0.16096866939183205</v>
      </c>
      <c r="G12" s="215">
        <f>D12/C12</f>
        <v>0.18038203525463786</v>
      </c>
      <c r="H12" s="123"/>
    </row>
    <row r="13" spans="1:8" ht="15.75" x14ac:dyDescent="0.25">
      <c r="A13" s="130"/>
      <c r="B13" s="131">
        <f>DATE(2019,11,1)</f>
        <v>43770</v>
      </c>
      <c r="C13" s="204">
        <v>9749060.5</v>
      </c>
      <c r="D13" s="204">
        <v>1695442.5</v>
      </c>
      <c r="E13" s="204">
        <v>2373996</v>
      </c>
      <c r="F13" s="132">
        <f>(+D13-E13)/E13</f>
        <v>-0.28582756668503234</v>
      </c>
      <c r="G13" s="215">
        <f>D13/C13</f>
        <v>0.17390829608658187</v>
      </c>
      <c r="H13" s="123"/>
    </row>
    <row r="14" spans="1:8" ht="15.75" thickBot="1" x14ac:dyDescent="0.25">
      <c r="A14" s="133"/>
      <c r="B14" s="134"/>
      <c r="C14" s="204"/>
      <c r="D14" s="204"/>
      <c r="E14" s="204"/>
      <c r="F14" s="132"/>
      <c r="G14" s="215"/>
      <c r="H14" s="123"/>
    </row>
    <row r="15" spans="1:8" ht="17.25" thickTop="1" thickBot="1" x14ac:dyDescent="0.3">
      <c r="A15" s="135" t="s">
        <v>14</v>
      </c>
      <c r="B15" s="136"/>
      <c r="C15" s="201">
        <f>SUM(C9:C14)</f>
        <v>50708237</v>
      </c>
      <c r="D15" s="201">
        <f>SUM(D9:D14)</f>
        <v>9281026</v>
      </c>
      <c r="E15" s="201">
        <f>SUM(E9:E14)</f>
        <v>10134332.5</v>
      </c>
      <c r="F15" s="137">
        <f>(+D15-E15)/E15</f>
        <v>-8.4199576045092261E-2</v>
      </c>
      <c r="G15" s="212">
        <f>D15/C15</f>
        <v>0.18302797630294265</v>
      </c>
      <c r="H15" s="123"/>
    </row>
    <row r="16" spans="1:8" ht="15.75" customHeight="1" thickTop="1" x14ac:dyDescent="0.25">
      <c r="A16" s="138"/>
      <c r="B16" s="139"/>
      <c r="C16" s="205"/>
      <c r="D16" s="205"/>
      <c r="E16" s="205"/>
      <c r="F16" s="140"/>
      <c r="G16" s="216"/>
      <c r="H16" s="123"/>
    </row>
    <row r="17" spans="1:8" ht="15.75" x14ac:dyDescent="0.25">
      <c r="A17" s="19" t="s">
        <v>15</v>
      </c>
      <c r="B17" s="131">
        <f>DATE(2019,7,1)</f>
        <v>43647</v>
      </c>
      <c r="C17" s="204">
        <v>2591163</v>
      </c>
      <c r="D17" s="204">
        <v>728719</v>
      </c>
      <c r="E17" s="204">
        <v>544502.5</v>
      </c>
      <c r="F17" s="132">
        <f>(+D17-E17)/E17</f>
        <v>0.33832076069439532</v>
      </c>
      <c r="G17" s="215">
        <f>D17/C17</f>
        <v>0.28123240413667533</v>
      </c>
      <c r="H17" s="123"/>
    </row>
    <row r="18" spans="1:8" ht="15.75" x14ac:dyDescent="0.25">
      <c r="A18" s="19"/>
      <c r="B18" s="131">
        <f>DATE(2019,8,1)</f>
        <v>43678</v>
      </c>
      <c r="C18" s="204">
        <v>2727354</v>
      </c>
      <c r="D18" s="204">
        <v>718107.5</v>
      </c>
      <c r="E18" s="204">
        <v>656165</v>
      </c>
      <c r="F18" s="132">
        <f>(+D18-E18)/E18</f>
        <v>9.440079857962555E-2</v>
      </c>
      <c r="G18" s="215">
        <f>D18/C18</f>
        <v>0.26329823704586935</v>
      </c>
      <c r="H18" s="123"/>
    </row>
    <row r="19" spans="1:8" ht="15.75" x14ac:dyDescent="0.25">
      <c r="A19" s="19"/>
      <c r="B19" s="131">
        <f>DATE(2019,9,1)</f>
        <v>43709</v>
      </c>
      <c r="C19" s="204">
        <v>2626262</v>
      </c>
      <c r="D19" s="204">
        <v>573243</v>
      </c>
      <c r="E19" s="204">
        <v>251895.5</v>
      </c>
      <c r="F19" s="132">
        <f>(+D19-E19)/E19</f>
        <v>1.2757175098403901</v>
      </c>
      <c r="G19" s="215">
        <f>D19/C19</f>
        <v>0.21827334820364458</v>
      </c>
      <c r="H19" s="123"/>
    </row>
    <row r="20" spans="1:8" ht="15.75" x14ac:dyDescent="0.25">
      <c r="A20" s="19"/>
      <c r="B20" s="131">
        <f>DATE(2019,10,1)</f>
        <v>43739</v>
      </c>
      <c r="C20" s="204">
        <v>2539016.5</v>
      </c>
      <c r="D20" s="204">
        <v>592260.5</v>
      </c>
      <c r="E20" s="204">
        <v>763257.5</v>
      </c>
      <c r="F20" s="132">
        <f>(+D20-E20)/E20</f>
        <v>-0.22403579394896217</v>
      </c>
      <c r="G20" s="215">
        <f>D20/C20</f>
        <v>0.23326374602134331</v>
      </c>
      <c r="H20" s="123"/>
    </row>
    <row r="21" spans="1:8" ht="15.75" x14ac:dyDescent="0.25">
      <c r="A21" s="19"/>
      <c r="B21" s="131">
        <f>DATE(2019,11,1)</f>
        <v>43770</v>
      </c>
      <c r="C21" s="204">
        <v>2588437</v>
      </c>
      <c r="D21" s="204">
        <v>527573</v>
      </c>
      <c r="E21" s="204">
        <v>497141.5</v>
      </c>
      <c r="F21" s="132">
        <f>(+D21-E21)/E21</f>
        <v>6.1212954460651545E-2</v>
      </c>
      <c r="G21" s="215">
        <f>D21/C21</f>
        <v>0.20381913873121116</v>
      </c>
      <c r="H21" s="123"/>
    </row>
    <row r="22" spans="1:8" ht="15.75" thickBot="1" x14ac:dyDescent="0.25">
      <c r="A22" s="133"/>
      <c r="B22" s="131"/>
      <c r="C22" s="204"/>
      <c r="D22" s="204"/>
      <c r="E22" s="204"/>
      <c r="F22" s="132"/>
      <c r="G22" s="215"/>
      <c r="H22" s="123"/>
    </row>
    <row r="23" spans="1:8" ht="17.25" thickTop="1" thickBot="1" x14ac:dyDescent="0.3">
      <c r="A23" s="135" t="s">
        <v>14</v>
      </c>
      <c r="B23" s="136"/>
      <c r="C23" s="201">
        <f>SUM(C17:C22)</f>
        <v>13072232.5</v>
      </c>
      <c r="D23" s="201">
        <f>SUM(D17:D22)</f>
        <v>3139903</v>
      </c>
      <c r="E23" s="201">
        <f>SUM(E17:E22)</f>
        <v>2712962</v>
      </c>
      <c r="F23" s="137">
        <f>(+D23-E23)/E23</f>
        <v>0.15737079988588118</v>
      </c>
      <c r="G23" s="212">
        <f>D23/C23</f>
        <v>0.24019638573594831</v>
      </c>
      <c r="H23" s="123"/>
    </row>
    <row r="24" spans="1:8" ht="15.75" customHeight="1" thickTop="1" x14ac:dyDescent="0.25">
      <c r="A24" s="255"/>
      <c r="B24" s="139"/>
      <c r="C24" s="205"/>
      <c r="D24" s="205"/>
      <c r="E24" s="205"/>
      <c r="F24" s="140"/>
      <c r="G24" s="219"/>
      <c r="H24" s="123"/>
    </row>
    <row r="25" spans="1:8" ht="15.75" x14ac:dyDescent="0.25">
      <c r="A25" s="19" t="s">
        <v>56</v>
      </c>
      <c r="B25" s="131">
        <f>DATE(2019,7,1)</f>
        <v>43647</v>
      </c>
      <c r="C25" s="204">
        <v>1246714</v>
      </c>
      <c r="D25" s="204">
        <v>293379.5</v>
      </c>
      <c r="E25" s="204">
        <v>373264</v>
      </c>
      <c r="F25" s="132">
        <f>(+D25-E25)/E25</f>
        <v>-0.2140160851300956</v>
      </c>
      <c r="G25" s="215">
        <f>D25/C25</f>
        <v>0.23532221503889425</v>
      </c>
      <c r="H25" s="123"/>
    </row>
    <row r="26" spans="1:8" ht="15.75" x14ac:dyDescent="0.25">
      <c r="A26" s="19"/>
      <c r="B26" s="131">
        <f>DATE(2019,8,1)</f>
        <v>43678</v>
      </c>
      <c r="C26" s="204">
        <v>1240704</v>
      </c>
      <c r="D26" s="204">
        <v>306469</v>
      </c>
      <c r="E26" s="204">
        <v>339140.5</v>
      </c>
      <c r="F26" s="132">
        <f>(+D26-E26)/E26</f>
        <v>-9.6336179253141391E-2</v>
      </c>
      <c r="G26" s="215">
        <f>D26/C26</f>
        <v>0.24701218018157434</v>
      </c>
      <c r="H26" s="123"/>
    </row>
    <row r="27" spans="1:8" ht="15.75" x14ac:dyDescent="0.25">
      <c r="A27" s="19"/>
      <c r="B27" s="131">
        <f>DATE(2019,9,1)</f>
        <v>43709</v>
      </c>
      <c r="C27" s="204">
        <v>1288109</v>
      </c>
      <c r="D27" s="204">
        <v>301048.5</v>
      </c>
      <c r="E27" s="204">
        <v>349109</v>
      </c>
      <c r="F27" s="132">
        <f>(+D27-E27)/E27</f>
        <v>-0.13766617302905396</v>
      </c>
      <c r="G27" s="215">
        <f>D27/C27</f>
        <v>0.23371352890166905</v>
      </c>
      <c r="H27" s="123"/>
    </row>
    <row r="28" spans="1:8" ht="15.75" x14ac:dyDescent="0.25">
      <c r="A28" s="19"/>
      <c r="B28" s="131">
        <f>DATE(2019,10,1)</f>
        <v>43739</v>
      </c>
      <c r="C28" s="204">
        <v>1303670</v>
      </c>
      <c r="D28" s="204">
        <v>332474</v>
      </c>
      <c r="E28" s="204">
        <v>213321</v>
      </c>
      <c r="F28" s="132">
        <f>(+D28-E28)/E28</f>
        <v>0.55856197936443197</v>
      </c>
      <c r="G28" s="215">
        <f>D28/C28</f>
        <v>0.25502926354061994</v>
      </c>
      <c r="H28" s="123"/>
    </row>
    <row r="29" spans="1:8" ht="15.75" x14ac:dyDescent="0.25">
      <c r="A29" s="19"/>
      <c r="B29" s="131">
        <f>DATE(2019,11,1)</f>
        <v>43770</v>
      </c>
      <c r="C29" s="204">
        <v>1310179</v>
      </c>
      <c r="D29" s="204">
        <v>408121.5</v>
      </c>
      <c r="E29" s="204">
        <v>301353.5</v>
      </c>
      <c r="F29" s="132">
        <f>(+D29-E29)/E29</f>
        <v>0.35429487296480711</v>
      </c>
      <c r="G29" s="215">
        <f>D29/C29</f>
        <v>0.3115005659532018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41" t="s">
        <v>14</v>
      </c>
      <c r="B31" s="142"/>
      <c r="C31" s="206">
        <f>SUM(C25:C30)</f>
        <v>6389376</v>
      </c>
      <c r="D31" s="206">
        <f>SUM(D25:D30)</f>
        <v>1641492.5</v>
      </c>
      <c r="E31" s="206">
        <f>SUM(E25:E30)</f>
        <v>1576188</v>
      </c>
      <c r="F31" s="143">
        <f>(+D31-E31)/E31</f>
        <v>4.1431923095468309E-2</v>
      </c>
      <c r="G31" s="217">
        <f>D31/C31</f>
        <v>0.25690967318248292</v>
      </c>
      <c r="H31" s="123"/>
    </row>
    <row r="32" spans="1:8" ht="15.75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.75" x14ac:dyDescent="0.25">
      <c r="A33" s="177" t="s">
        <v>65</v>
      </c>
      <c r="B33" s="131">
        <f>DATE(2019,7,1)</f>
        <v>43647</v>
      </c>
      <c r="C33" s="204">
        <v>16460624.75</v>
      </c>
      <c r="D33" s="204">
        <v>3167330.9</v>
      </c>
      <c r="E33" s="204">
        <v>2640847.2400000002</v>
      </c>
      <c r="F33" s="132">
        <f>(+D33-E33)/E33</f>
        <v>0.19936164880176849</v>
      </c>
      <c r="G33" s="215">
        <f>D33/C33</f>
        <v>0.19241863222718808</v>
      </c>
      <c r="H33" s="123"/>
    </row>
    <row r="34" spans="1:8" ht="15.75" x14ac:dyDescent="0.25">
      <c r="A34" s="177"/>
      <c r="B34" s="131">
        <f>DATE(2019,8,1)</f>
        <v>43678</v>
      </c>
      <c r="C34" s="204">
        <v>17103013</v>
      </c>
      <c r="D34" s="204">
        <v>3869820.12</v>
      </c>
      <c r="E34" s="204">
        <v>3019576.86</v>
      </c>
      <c r="F34" s="132">
        <f>(+D34-E34)/E34</f>
        <v>0.28157695578578523</v>
      </c>
      <c r="G34" s="215">
        <f>D34/C34</f>
        <v>0.2262654024761602</v>
      </c>
      <c r="H34" s="123"/>
    </row>
    <row r="35" spans="1:8" ht="15.75" x14ac:dyDescent="0.25">
      <c r="A35" s="177"/>
      <c r="B35" s="131">
        <f>DATE(2019,9,1)</f>
        <v>43709</v>
      </c>
      <c r="C35" s="204">
        <v>13722156.5</v>
      </c>
      <c r="D35" s="204">
        <v>2776000.96</v>
      </c>
      <c r="E35" s="204">
        <v>3074145.25</v>
      </c>
      <c r="F35" s="132">
        <f>(+D35-E35)/E35</f>
        <v>-9.698445120639633E-2</v>
      </c>
      <c r="G35" s="215">
        <f>D35/C35</f>
        <v>0.20230063401477749</v>
      </c>
      <c r="H35" s="123"/>
    </row>
    <row r="36" spans="1:8" ht="15.75" x14ac:dyDescent="0.25">
      <c r="A36" s="177"/>
      <c r="B36" s="131">
        <f>DATE(2019,10,1)</f>
        <v>43739</v>
      </c>
      <c r="C36" s="204">
        <v>13658392</v>
      </c>
      <c r="D36" s="204">
        <v>3235148.5</v>
      </c>
      <c r="E36" s="204">
        <v>2577292.69</v>
      </c>
      <c r="F36" s="132">
        <f>(+D36-E36)/E36</f>
        <v>0.25525071814796479</v>
      </c>
      <c r="G36" s="215">
        <f>D36/C36</f>
        <v>0.23686159395630174</v>
      </c>
      <c r="H36" s="123"/>
    </row>
    <row r="37" spans="1:8" ht="15.75" x14ac:dyDescent="0.25">
      <c r="A37" s="177"/>
      <c r="B37" s="131">
        <f>DATE(2019,11,1)</f>
        <v>43770</v>
      </c>
      <c r="C37" s="204">
        <v>17067350</v>
      </c>
      <c r="D37" s="204">
        <v>3242492.5</v>
      </c>
      <c r="E37" s="204">
        <v>2885158.69</v>
      </c>
      <c r="F37" s="132">
        <f>(+D37-E37)/E37</f>
        <v>0.12385239371356729</v>
      </c>
      <c r="G37" s="215">
        <f>D37/C37</f>
        <v>0.18998218821316726</v>
      </c>
      <c r="H37" s="123"/>
    </row>
    <row r="38" spans="1:8" ht="15.75" customHeight="1" thickBot="1" x14ac:dyDescent="0.25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Top="1" thickBot="1" x14ac:dyDescent="0.3">
      <c r="A39" s="141" t="s">
        <v>14</v>
      </c>
      <c r="B39" s="142"/>
      <c r="C39" s="206">
        <f>SUM(C33:C38)</f>
        <v>78011536.25</v>
      </c>
      <c r="D39" s="206">
        <f>SUM(D33:D38)</f>
        <v>16290792.98</v>
      </c>
      <c r="E39" s="206">
        <f>SUM(E33:E38)</f>
        <v>14197020.729999999</v>
      </c>
      <c r="F39" s="143">
        <f>(+D39-E39)/E39</f>
        <v>0.14747969238191019</v>
      </c>
      <c r="G39" s="217">
        <f>D39/C39</f>
        <v>0.20882543484073485</v>
      </c>
      <c r="H39" s="123"/>
    </row>
    <row r="40" spans="1:8" ht="15.75" customHeight="1" thickTop="1" x14ac:dyDescent="0.2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 x14ac:dyDescent="0.25">
      <c r="A41" s="130" t="s">
        <v>39</v>
      </c>
      <c r="B41" s="131">
        <f>DATE(2019,7,1)</f>
        <v>43647</v>
      </c>
      <c r="C41" s="204">
        <v>14612843</v>
      </c>
      <c r="D41" s="204">
        <v>2665528.5</v>
      </c>
      <c r="E41" s="204">
        <v>3513953.5</v>
      </c>
      <c r="F41" s="132">
        <f>(+D41-E41)/E41</f>
        <v>-0.241444572331421</v>
      </c>
      <c r="G41" s="215">
        <f>D41/C41</f>
        <v>0.1824099868861932</v>
      </c>
      <c r="H41" s="123"/>
    </row>
    <row r="42" spans="1:8" ht="15" customHeight="1" x14ac:dyDescent="0.25">
      <c r="A42" s="130"/>
      <c r="B42" s="131">
        <f>DATE(2019,8,1)</f>
        <v>43678</v>
      </c>
      <c r="C42" s="204">
        <v>15994186</v>
      </c>
      <c r="D42" s="204">
        <v>3359489.5</v>
      </c>
      <c r="E42" s="204">
        <v>3570821.5</v>
      </c>
      <c r="F42" s="132">
        <f>(+D42-E42)/E42</f>
        <v>-5.9183019929727652E-2</v>
      </c>
      <c r="G42" s="215">
        <f>D42/C42</f>
        <v>0.21004441864062354</v>
      </c>
      <c r="H42" s="123"/>
    </row>
    <row r="43" spans="1:8" ht="15" customHeight="1" x14ac:dyDescent="0.25">
      <c r="A43" s="130"/>
      <c r="B43" s="131">
        <f>DATE(2019,9,1)</f>
        <v>43709</v>
      </c>
      <c r="C43" s="204">
        <v>14986232</v>
      </c>
      <c r="D43" s="204">
        <v>3201605.5</v>
      </c>
      <c r="E43" s="204">
        <v>3367544</v>
      </c>
      <c r="F43" s="132">
        <f>(+D43-E43)/E43</f>
        <v>-4.9275822379752129E-2</v>
      </c>
      <c r="G43" s="215">
        <f>D43/C43</f>
        <v>0.21363645644882584</v>
      </c>
      <c r="H43" s="123"/>
    </row>
    <row r="44" spans="1:8" ht="15" customHeight="1" x14ac:dyDescent="0.25">
      <c r="A44" s="130"/>
      <c r="B44" s="131">
        <f>DATE(2019,10,1)</f>
        <v>43739</v>
      </c>
      <c r="C44" s="204">
        <v>15802061</v>
      </c>
      <c r="D44" s="204">
        <v>3223827</v>
      </c>
      <c r="E44" s="204">
        <v>3631888</v>
      </c>
      <c r="F44" s="132">
        <f>(+D44-E44)/E44</f>
        <v>-0.11235506160982937</v>
      </c>
      <c r="G44" s="215">
        <f>D44/C44</f>
        <v>0.20401307145947609</v>
      </c>
      <c r="H44" s="123"/>
    </row>
    <row r="45" spans="1:8" ht="15" customHeight="1" x14ac:dyDescent="0.25">
      <c r="A45" s="130"/>
      <c r="B45" s="131">
        <f>DATE(2019,11,1)</f>
        <v>43770</v>
      </c>
      <c r="C45" s="204">
        <v>15611065</v>
      </c>
      <c r="D45" s="204">
        <v>2721670</v>
      </c>
      <c r="E45" s="204">
        <v>3478954.5</v>
      </c>
      <c r="F45" s="132">
        <f>(+D45-E45)/E45</f>
        <v>-0.21767588509708879</v>
      </c>
      <c r="G45" s="215">
        <f>D45/C45</f>
        <v>0.17434236549524329</v>
      </c>
      <c r="H45" s="123"/>
    </row>
    <row r="46" spans="1:8" ht="15.75" thickBot="1" x14ac:dyDescent="0.25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Top="1" thickBot="1" x14ac:dyDescent="0.3">
      <c r="A47" s="141" t="s">
        <v>14</v>
      </c>
      <c r="B47" s="142"/>
      <c r="C47" s="207">
        <f>SUM(C41:C46)</f>
        <v>77006387</v>
      </c>
      <c r="D47" s="261">
        <f>SUM(D41:D46)</f>
        <v>15172120.5</v>
      </c>
      <c r="E47" s="206">
        <f>SUM(E41:E46)</f>
        <v>17563161.5</v>
      </c>
      <c r="F47" s="268">
        <f>(+D47-E47)/E47</f>
        <v>-0.13613955551225787</v>
      </c>
      <c r="G47" s="267">
        <f>D47/C47</f>
        <v>0.19702418320184273</v>
      </c>
      <c r="H47" s="123"/>
    </row>
    <row r="48" spans="1:8" ht="15.75" customHeight="1" thickTop="1" x14ac:dyDescent="0.25">
      <c r="A48" s="130"/>
      <c r="B48" s="134"/>
      <c r="C48" s="204"/>
      <c r="D48" s="204"/>
      <c r="E48" s="204"/>
      <c r="F48" s="132"/>
      <c r="G48" s="218"/>
      <c r="H48" s="123"/>
    </row>
    <row r="49" spans="1:8" ht="15.75" x14ac:dyDescent="0.25">
      <c r="A49" s="130" t="s">
        <v>66</v>
      </c>
      <c r="B49" s="131">
        <f>DATE(2019,7,1)</f>
        <v>43647</v>
      </c>
      <c r="C49" s="204">
        <v>2326207</v>
      </c>
      <c r="D49" s="204">
        <v>550912.5</v>
      </c>
      <c r="E49" s="204">
        <v>682875.5</v>
      </c>
      <c r="F49" s="132">
        <f>(+D49-E49)/E49</f>
        <v>-0.19324606022620522</v>
      </c>
      <c r="G49" s="215">
        <f>D49/C49</f>
        <v>0.23682866572063449</v>
      </c>
      <c r="H49" s="123"/>
    </row>
    <row r="50" spans="1:8" ht="15.75" x14ac:dyDescent="0.25">
      <c r="A50" s="130"/>
      <c r="B50" s="131">
        <f>DATE(2019,8,1)</f>
        <v>43678</v>
      </c>
      <c r="C50" s="204">
        <v>2456667</v>
      </c>
      <c r="D50" s="204">
        <v>544892.5</v>
      </c>
      <c r="E50" s="204">
        <v>651283.5</v>
      </c>
      <c r="F50" s="132">
        <f>(+D50-E50)/E50</f>
        <v>-0.16335589647212007</v>
      </c>
      <c r="G50" s="215">
        <f>D50/C50</f>
        <v>0.22180153028473129</v>
      </c>
      <c r="H50" s="123"/>
    </row>
    <row r="51" spans="1:8" ht="15.75" x14ac:dyDescent="0.25">
      <c r="A51" s="130"/>
      <c r="B51" s="131">
        <f>DATE(2019,9,1)</f>
        <v>43709</v>
      </c>
      <c r="C51" s="204">
        <v>2398271</v>
      </c>
      <c r="D51" s="204">
        <v>648210.4</v>
      </c>
      <c r="E51" s="204">
        <v>584999.5</v>
      </c>
      <c r="F51" s="132">
        <f>(+D51-E51)/E51</f>
        <v>0.10805291286573754</v>
      </c>
      <c r="G51" s="215">
        <f>D51/C51</f>
        <v>0.27028238259979792</v>
      </c>
      <c r="H51" s="123"/>
    </row>
    <row r="52" spans="1:8" ht="15.75" x14ac:dyDescent="0.25">
      <c r="A52" s="130"/>
      <c r="B52" s="131">
        <f>DATE(2019,10,1)</f>
        <v>43739</v>
      </c>
      <c r="C52" s="204">
        <v>2701389</v>
      </c>
      <c r="D52" s="204">
        <v>633881.5</v>
      </c>
      <c r="E52" s="204">
        <v>681963.5</v>
      </c>
      <c r="F52" s="132">
        <f>(+D52-E52)/E52</f>
        <v>-7.0505239649922613E-2</v>
      </c>
      <c r="G52" s="215">
        <f>D52/C52</f>
        <v>0.23465021142826895</v>
      </c>
      <c r="H52" s="123"/>
    </row>
    <row r="53" spans="1:8" ht="15.75" x14ac:dyDescent="0.25">
      <c r="A53" s="130"/>
      <c r="B53" s="131">
        <f>DATE(2019,11,1)</f>
        <v>43770</v>
      </c>
      <c r="C53" s="204">
        <v>2978379</v>
      </c>
      <c r="D53" s="204">
        <v>745956</v>
      </c>
      <c r="E53" s="204">
        <v>534840</v>
      </c>
      <c r="F53" s="132">
        <f>(+D53-E53)/E53</f>
        <v>0.3947273951088176</v>
      </c>
      <c r="G53" s="215">
        <f>D53/C53</f>
        <v>0.250457043915499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7">
        <f>SUM(C49:C54)</f>
        <v>12860913</v>
      </c>
      <c r="D55" s="261">
        <f>SUM(D49:D54)</f>
        <v>3123852.9</v>
      </c>
      <c r="E55" s="207">
        <f>SUM(E49:E54)</f>
        <v>3135962</v>
      </c>
      <c r="F55" s="268">
        <f>(+D55-E55)/E55</f>
        <v>-3.8613669425841554E-3</v>
      </c>
      <c r="G55" s="267">
        <f>D55/C55</f>
        <v>0.24289511172340564</v>
      </c>
      <c r="H55" s="123"/>
    </row>
    <row r="56" spans="1:8" ht="15.75" customHeight="1" thickTop="1" x14ac:dyDescent="0.25">
      <c r="A56" s="130"/>
      <c r="B56" s="134"/>
      <c r="C56" s="204"/>
      <c r="D56" s="204"/>
      <c r="E56" s="204"/>
      <c r="F56" s="132"/>
      <c r="G56" s="218"/>
      <c r="H56" s="123"/>
    </row>
    <row r="57" spans="1:8" ht="15.75" x14ac:dyDescent="0.25">
      <c r="A57" s="130" t="s">
        <v>17</v>
      </c>
      <c r="B57" s="131">
        <f>DATE(2019,7,1)</f>
        <v>43647</v>
      </c>
      <c r="C57" s="204">
        <v>1428358</v>
      </c>
      <c r="D57" s="204">
        <v>255421</v>
      </c>
      <c r="E57" s="204">
        <v>395162.5</v>
      </c>
      <c r="F57" s="132">
        <f>(+D57-E57)/E57</f>
        <v>-0.35363046847815771</v>
      </c>
      <c r="G57" s="215">
        <f>D57/C57</f>
        <v>0.17882141591953837</v>
      </c>
      <c r="H57" s="123"/>
    </row>
    <row r="58" spans="1:8" ht="15.75" x14ac:dyDescent="0.25">
      <c r="A58" s="130"/>
      <c r="B58" s="131">
        <f>DATE(2019,8,1)</f>
        <v>43678</v>
      </c>
      <c r="C58" s="204">
        <v>1645771</v>
      </c>
      <c r="D58" s="204">
        <v>366605.5</v>
      </c>
      <c r="E58" s="204">
        <v>271146</v>
      </c>
      <c r="F58" s="132">
        <f>(+D58-E58)/E58</f>
        <v>0.35205940710908512</v>
      </c>
      <c r="G58" s="215">
        <f>D58/C58</f>
        <v>0.22275608210376777</v>
      </c>
      <c r="H58" s="123"/>
    </row>
    <row r="59" spans="1:8" ht="15.75" x14ac:dyDescent="0.25">
      <c r="A59" s="130"/>
      <c r="B59" s="131">
        <f>DATE(2019,9,1)</f>
        <v>43709</v>
      </c>
      <c r="C59" s="204">
        <v>1422549</v>
      </c>
      <c r="D59" s="204">
        <v>323382</v>
      </c>
      <c r="E59" s="204">
        <v>347747</v>
      </c>
      <c r="F59" s="132">
        <f>(+D59-E59)/E59</f>
        <v>-7.0065306098974253E-2</v>
      </c>
      <c r="G59" s="215">
        <f>D59/C59</f>
        <v>0.22732573710993434</v>
      </c>
      <c r="H59" s="123"/>
    </row>
    <row r="60" spans="1:8" ht="15.75" x14ac:dyDescent="0.25">
      <c r="A60" s="130"/>
      <c r="B60" s="131">
        <f>DATE(2019,10,1)</f>
        <v>43739</v>
      </c>
      <c r="C60" s="204">
        <v>1396946</v>
      </c>
      <c r="D60" s="204">
        <v>301934</v>
      </c>
      <c r="E60" s="204">
        <v>240203.5</v>
      </c>
      <c r="F60" s="132">
        <f>(+D60-E60)/E60</f>
        <v>0.25699250843555571</v>
      </c>
      <c r="G60" s="215">
        <f>D60/C60</f>
        <v>0.21613863384840931</v>
      </c>
      <c r="H60" s="123"/>
    </row>
    <row r="61" spans="1:8" ht="15.75" x14ac:dyDescent="0.25">
      <c r="A61" s="130"/>
      <c r="B61" s="131">
        <f>DATE(2019,11,1)</f>
        <v>43770</v>
      </c>
      <c r="C61" s="204">
        <v>1457385</v>
      </c>
      <c r="D61" s="204">
        <v>378106</v>
      </c>
      <c r="E61" s="204">
        <v>171704.5</v>
      </c>
      <c r="F61" s="132">
        <f>(+D61-E61)/E61</f>
        <v>1.2020739118660257</v>
      </c>
      <c r="G61" s="215">
        <f>D61/C61</f>
        <v>0.25944139674828548</v>
      </c>
      <c r="H61" s="123"/>
    </row>
    <row r="62" spans="1:8" ht="15.75" customHeight="1" thickBot="1" x14ac:dyDescent="0.3">
      <c r="A62" s="130"/>
      <c r="B62" s="131"/>
      <c r="C62" s="204"/>
      <c r="D62" s="204"/>
      <c r="E62" s="204"/>
      <c r="F62" s="132"/>
      <c r="G62" s="215"/>
      <c r="H62" s="123"/>
    </row>
    <row r="63" spans="1:8" ht="17.25" thickTop="1" thickBot="1" x14ac:dyDescent="0.3">
      <c r="A63" s="141" t="s">
        <v>14</v>
      </c>
      <c r="B63" s="142"/>
      <c r="C63" s="207">
        <f>SUM(C57:C62)</f>
        <v>7351009</v>
      </c>
      <c r="D63" s="261">
        <f>SUM(D57:D62)</f>
        <v>1625448.5</v>
      </c>
      <c r="E63" s="207">
        <f>SUM(E57:E62)</f>
        <v>1425963.5</v>
      </c>
      <c r="F63" s="269">
        <f>(+D63-E63)/E63</f>
        <v>0.139894885107508</v>
      </c>
      <c r="G63" s="267">
        <f>D63/C63</f>
        <v>0.22111910079282993</v>
      </c>
      <c r="H63" s="123"/>
    </row>
    <row r="64" spans="1:8" ht="15.75" customHeight="1" thickTop="1" x14ac:dyDescent="0.25">
      <c r="A64" s="130"/>
      <c r="B64" s="139"/>
      <c r="C64" s="205"/>
      <c r="D64" s="205"/>
      <c r="E64" s="205"/>
      <c r="F64" s="140"/>
      <c r="G64" s="216"/>
      <c r="H64" s="123"/>
    </row>
    <row r="65" spans="1:8" ht="15.75" x14ac:dyDescent="0.25">
      <c r="A65" s="130" t="s">
        <v>55</v>
      </c>
      <c r="B65" s="131">
        <f>DATE(2019,7,1)</f>
        <v>43647</v>
      </c>
      <c r="C65" s="204">
        <v>11352765</v>
      </c>
      <c r="D65" s="204">
        <v>1702644.86</v>
      </c>
      <c r="E65" s="204">
        <v>2057880.1</v>
      </c>
      <c r="F65" s="132">
        <f>(+D65-E65)/E65</f>
        <v>-0.17262193263834952</v>
      </c>
      <c r="G65" s="215">
        <f>D65/C65</f>
        <v>0.14997622693678589</v>
      </c>
      <c r="H65" s="123"/>
    </row>
    <row r="66" spans="1:8" ht="15.75" x14ac:dyDescent="0.25">
      <c r="A66" s="130"/>
      <c r="B66" s="131">
        <f>DATE(2019,8,1)</f>
        <v>43678</v>
      </c>
      <c r="C66" s="204">
        <v>11116688</v>
      </c>
      <c r="D66" s="204">
        <v>2308275.88</v>
      </c>
      <c r="E66" s="204">
        <v>2105874.34</v>
      </c>
      <c r="F66" s="132">
        <f>(+D66-E66)/E66</f>
        <v>9.6112828840490105E-2</v>
      </c>
      <c r="G66" s="215">
        <f>D66/C66</f>
        <v>0.20764061022491589</v>
      </c>
      <c r="H66" s="123"/>
    </row>
    <row r="67" spans="1:8" ht="15.75" x14ac:dyDescent="0.25">
      <c r="A67" s="130"/>
      <c r="B67" s="131">
        <f>DATE(2019,9,1)</f>
        <v>43709</v>
      </c>
      <c r="C67" s="204">
        <v>10317715</v>
      </c>
      <c r="D67" s="204">
        <v>1996051.56</v>
      </c>
      <c r="E67" s="204">
        <v>2555133.64</v>
      </c>
      <c r="F67" s="132">
        <f>(+D67-E67)/E67</f>
        <v>-0.21880737322216934</v>
      </c>
      <c r="G67" s="215">
        <f>D67/C67</f>
        <v>0.19345868343911418</v>
      </c>
      <c r="H67" s="123"/>
    </row>
    <row r="68" spans="1:8" ht="15.75" x14ac:dyDescent="0.25">
      <c r="A68" s="130"/>
      <c r="B68" s="131">
        <f>DATE(2019,10,1)</f>
        <v>43739</v>
      </c>
      <c r="C68" s="204">
        <v>10237727</v>
      </c>
      <c r="D68" s="204">
        <v>2026195.69</v>
      </c>
      <c r="E68" s="204">
        <v>2662687.6</v>
      </c>
      <c r="F68" s="132">
        <f>(+D68-E68)/E68</f>
        <v>-0.23904115150421706</v>
      </c>
      <c r="G68" s="215">
        <f>D68/C68</f>
        <v>0.19791460448203005</v>
      </c>
      <c r="H68" s="123"/>
    </row>
    <row r="69" spans="1:8" ht="15.75" x14ac:dyDescent="0.25">
      <c r="A69" s="130"/>
      <c r="B69" s="131">
        <f>DATE(2019,11,1)</f>
        <v>43770</v>
      </c>
      <c r="C69" s="204">
        <v>9911538</v>
      </c>
      <c r="D69" s="204">
        <v>1903177.96</v>
      </c>
      <c r="E69" s="204">
        <v>2453062.8199999998</v>
      </c>
      <c r="F69" s="132">
        <f>(+D69-E69)/E69</f>
        <v>-0.22416256751223351</v>
      </c>
      <c r="G69" s="215">
        <f>D69/C69</f>
        <v>0.19201641158012006</v>
      </c>
      <c r="H69" s="123"/>
    </row>
    <row r="70" spans="1:8" ht="15.75" customHeight="1" thickBot="1" x14ac:dyDescent="0.3">
      <c r="A70" s="130"/>
      <c r="B70" s="131"/>
      <c r="C70" s="204"/>
      <c r="D70" s="204"/>
      <c r="E70" s="204"/>
      <c r="F70" s="132"/>
      <c r="G70" s="215"/>
      <c r="H70" s="123"/>
    </row>
    <row r="71" spans="1:8" ht="17.25" thickTop="1" thickBot="1" x14ac:dyDescent="0.3">
      <c r="A71" s="141" t="s">
        <v>14</v>
      </c>
      <c r="B71" s="142"/>
      <c r="C71" s="206">
        <f>SUM(C65:C70)</f>
        <v>52936433</v>
      </c>
      <c r="D71" s="206">
        <f>SUM(D65:D70)</f>
        <v>9936345.9499999993</v>
      </c>
      <c r="E71" s="206">
        <f>SUM(E65:E70)</f>
        <v>11834638.5</v>
      </c>
      <c r="F71" s="143">
        <f>(+D71-E71)/E71</f>
        <v>-0.16040139713604271</v>
      </c>
      <c r="G71" s="217">
        <f>D71/C71</f>
        <v>0.18770335262294682</v>
      </c>
      <c r="H71" s="123"/>
    </row>
    <row r="72" spans="1:8" ht="15.75" customHeight="1" thickTop="1" x14ac:dyDescent="0.25">
      <c r="A72" s="138"/>
      <c r="B72" s="139"/>
      <c r="C72" s="205"/>
      <c r="D72" s="205"/>
      <c r="E72" s="205"/>
      <c r="F72" s="140"/>
      <c r="G72" s="216"/>
      <c r="H72" s="123"/>
    </row>
    <row r="73" spans="1:8" ht="15.75" x14ac:dyDescent="0.25">
      <c r="A73" s="130" t="s">
        <v>18</v>
      </c>
      <c r="B73" s="131">
        <f>DATE(2019,7,1)</f>
        <v>43647</v>
      </c>
      <c r="C73" s="204">
        <v>12048647</v>
      </c>
      <c r="D73" s="204">
        <v>2126440.5</v>
      </c>
      <c r="E73" s="204">
        <v>2729067.84</v>
      </c>
      <c r="F73" s="132">
        <f>(+D73-E73)/E73</f>
        <v>-0.22081801381676167</v>
      </c>
      <c r="G73" s="215">
        <f>D73/C73</f>
        <v>0.17648790772939069</v>
      </c>
      <c r="H73" s="123"/>
    </row>
    <row r="74" spans="1:8" ht="15.75" x14ac:dyDescent="0.25">
      <c r="A74" s="130"/>
      <c r="B74" s="131">
        <f>DATE(2019,8,1)</f>
        <v>43678</v>
      </c>
      <c r="C74" s="204">
        <v>12757078</v>
      </c>
      <c r="D74" s="204">
        <v>2726871</v>
      </c>
      <c r="E74" s="204">
        <v>2970026</v>
      </c>
      <c r="F74" s="132">
        <f>(+D74-E74)/E74</f>
        <v>-8.1869653666331546E-2</v>
      </c>
      <c r="G74" s="215">
        <f>D74/C74</f>
        <v>0.21375357272253098</v>
      </c>
      <c r="H74" s="123"/>
    </row>
    <row r="75" spans="1:8" ht="15.75" x14ac:dyDescent="0.25">
      <c r="A75" s="130"/>
      <c r="B75" s="131">
        <f>DATE(2019,9,1)</f>
        <v>43709</v>
      </c>
      <c r="C75" s="204">
        <v>12239206</v>
      </c>
      <c r="D75" s="204">
        <v>2679876</v>
      </c>
      <c r="E75" s="204">
        <v>2637413.5</v>
      </c>
      <c r="F75" s="132">
        <f>(+D75-E75)/E75</f>
        <v>1.6100054087081907E-2</v>
      </c>
      <c r="G75" s="215">
        <f>D75/C75</f>
        <v>0.21895832131594156</v>
      </c>
      <c r="H75" s="123"/>
    </row>
    <row r="76" spans="1:8" ht="15.75" x14ac:dyDescent="0.25">
      <c r="A76" s="130"/>
      <c r="B76" s="131">
        <f>DATE(2019,10,1)</f>
        <v>43739</v>
      </c>
      <c r="C76" s="204">
        <v>12190070</v>
      </c>
      <c r="D76" s="204">
        <v>3088829</v>
      </c>
      <c r="E76" s="204">
        <v>1894492</v>
      </c>
      <c r="F76" s="132">
        <f>(+D76-E76)/E76</f>
        <v>0.63042599282551737</v>
      </c>
      <c r="G76" s="215">
        <f>D76/C76</f>
        <v>0.25338894690514491</v>
      </c>
      <c r="H76" s="123"/>
    </row>
    <row r="77" spans="1:8" ht="15.75" x14ac:dyDescent="0.25">
      <c r="A77" s="130"/>
      <c r="B77" s="131">
        <f>DATE(2019,11,1)</f>
        <v>43770</v>
      </c>
      <c r="C77" s="204">
        <v>12234070</v>
      </c>
      <c r="D77" s="204">
        <v>2810591.5</v>
      </c>
      <c r="E77" s="204">
        <v>2412367</v>
      </c>
      <c r="F77" s="132">
        <f>(+D77-E77)/E77</f>
        <v>0.16507625083579738</v>
      </c>
      <c r="G77" s="215">
        <f>D77/C77</f>
        <v>0.2297347898123846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SUM(C73:C78)</f>
        <v>61469071</v>
      </c>
      <c r="D79" s="206">
        <f>SUM(D73:D78)</f>
        <v>13432608</v>
      </c>
      <c r="E79" s="206">
        <f>SUM(E73:E78)</f>
        <v>12643366.34</v>
      </c>
      <c r="F79" s="143">
        <f>(+D79-E79)/E79</f>
        <v>6.2423379879697462E-2</v>
      </c>
      <c r="G79" s="217">
        <f>D79/C79</f>
        <v>0.21852628942448146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58</v>
      </c>
      <c r="B81" s="131">
        <f>DATE(2019,7,1)</f>
        <v>43647</v>
      </c>
      <c r="C81" s="204">
        <v>11570649</v>
      </c>
      <c r="D81" s="204">
        <v>1977732.9</v>
      </c>
      <c r="E81" s="204">
        <v>2887936.73</v>
      </c>
      <c r="F81" s="132">
        <f>(+D81-E81)/E81</f>
        <v>-0.31517443597180195</v>
      </c>
      <c r="G81" s="215">
        <f>D81/C81</f>
        <v>0.17092670428426271</v>
      </c>
      <c r="H81" s="123"/>
    </row>
    <row r="82" spans="1:8" ht="15.75" x14ac:dyDescent="0.25">
      <c r="A82" s="130"/>
      <c r="B82" s="131">
        <f>DATE(2019,8,1)</f>
        <v>43678</v>
      </c>
      <c r="C82" s="204">
        <v>12902308</v>
      </c>
      <c r="D82" s="204">
        <v>2649402.5</v>
      </c>
      <c r="E82" s="204">
        <v>2450226.84</v>
      </c>
      <c r="F82" s="132">
        <f>(+D82-E82)/E82</f>
        <v>8.1288661420425942E-2</v>
      </c>
      <c r="G82" s="215">
        <f>D82/C82</f>
        <v>0.20534329981891611</v>
      </c>
      <c r="H82" s="123"/>
    </row>
    <row r="83" spans="1:8" ht="15.75" x14ac:dyDescent="0.25">
      <c r="A83" s="130"/>
      <c r="B83" s="131">
        <f>DATE(2019,9,1)</f>
        <v>43709</v>
      </c>
      <c r="C83" s="204">
        <v>12612498</v>
      </c>
      <c r="D83" s="204">
        <v>2515306.23</v>
      </c>
      <c r="E83" s="204">
        <v>1932757.4</v>
      </c>
      <c r="F83" s="132">
        <f>(+D83-E83)/E83</f>
        <v>0.30140814879301464</v>
      </c>
      <c r="G83" s="215">
        <f>D83/C83</f>
        <v>0.19942966333869785</v>
      </c>
      <c r="H83" s="123"/>
    </row>
    <row r="84" spans="1:8" ht="15.75" x14ac:dyDescent="0.25">
      <c r="A84" s="130"/>
      <c r="B84" s="131">
        <f>DATE(2019,10,1)</f>
        <v>43739</v>
      </c>
      <c r="C84" s="204">
        <v>13262208</v>
      </c>
      <c r="D84" s="204">
        <v>2541006.48</v>
      </c>
      <c r="E84" s="204">
        <v>1108774.5</v>
      </c>
      <c r="F84" s="132">
        <f>(+D84-E84)/E84</f>
        <v>1.291725215542024</v>
      </c>
      <c r="G84" s="215">
        <f>D84/C84</f>
        <v>0.19159754393838491</v>
      </c>
      <c r="H84" s="123"/>
    </row>
    <row r="85" spans="1:8" ht="15.75" x14ac:dyDescent="0.25">
      <c r="A85" s="130"/>
      <c r="B85" s="131">
        <f>DATE(2019,11,1)</f>
        <v>43770</v>
      </c>
      <c r="C85" s="204">
        <v>13497353</v>
      </c>
      <c r="D85" s="204">
        <v>2692124.24</v>
      </c>
      <c r="E85" s="204">
        <v>4255264.95</v>
      </c>
      <c r="F85" s="132">
        <f>(+D85-E85)/E85</f>
        <v>-0.36734274560271502</v>
      </c>
      <c r="G85" s="215">
        <f>D85/C85</f>
        <v>0.19945571846568733</v>
      </c>
      <c r="H85" s="123"/>
    </row>
    <row r="86" spans="1:8" ht="15.75" thickBot="1" x14ac:dyDescent="0.25">
      <c r="A86" s="133"/>
      <c r="B86" s="131"/>
      <c r="C86" s="204"/>
      <c r="D86" s="204"/>
      <c r="E86" s="204"/>
      <c r="F86" s="132"/>
      <c r="G86" s="215"/>
      <c r="H86" s="123"/>
    </row>
    <row r="87" spans="1:8" ht="17.25" thickTop="1" thickBot="1" x14ac:dyDescent="0.3">
      <c r="A87" s="141" t="s">
        <v>14</v>
      </c>
      <c r="B87" s="142"/>
      <c r="C87" s="207">
        <f>SUM(C81:C86)</f>
        <v>63845016</v>
      </c>
      <c r="D87" s="207">
        <f>SUM(D81:D86)</f>
        <v>12375572.350000001</v>
      </c>
      <c r="E87" s="207">
        <f>SUM(E81:E86)</f>
        <v>12634960.420000002</v>
      </c>
      <c r="F87" s="143">
        <f>(+D87-E87)/E87</f>
        <v>-2.0529393158162365E-2</v>
      </c>
      <c r="G87" s="267">
        <f>D87/C87</f>
        <v>0.19383772023802143</v>
      </c>
      <c r="H87" s="123"/>
    </row>
    <row r="88" spans="1:8" ht="15.75" customHeight="1" thickTop="1" x14ac:dyDescent="0.25">
      <c r="A88" s="138"/>
      <c r="B88" s="139"/>
      <c r="C88" s="205"/>
      <c r="D88" s="205"/>
      <c r="E88" s="205"/>
      <c r="F88" s="140"/>
      <c r="G88" s="219"/>
      <c r="H88" s="123"/>
    </row>
    <row r="89" spans="1:8" ht="15.75" x14ac:dyDescent="0.25">
      <c r="A89" s="130" t="s">
        <v>59</v>
      </c>
      <c r="B89" s="131">
        <f>DATE(2019,7,1)</f>
        <v>43647</v>
      </c>
      <c r="C89" s="204">
        <v>679874</v>
      </c>
      <c r="D89" s="204">
        <v>135934</v>
      </c>
      <c r="E89" s="204">
        <v>154554.5</v>
      </c>
      <c r="F89" s="132">
        <f>(+D89-E89)/E89</f>
        <v>-0.12047853669741095</v>
      </c>
      <c r="G89" s="215">
        <f>D89/C89</f>
        <v>0.19993998888029252</v>
      </c>
      <c r="H89" s="123"/>
    </row>
    <row r="90" spans="1:8" ht="15.75" x14ac:dyDescent="0.25">
      <c r="A90" s="130"/>
      <c r="B90" s="131">
        <f>DATE(2019,8,1)</f>
        <v>43678</v>
      </c>
      <c r="C90" s="204">
        <v>642745</v>
      </c>
      <c r="D90" s="204">
        <v>134255.5</v>
      </c>
      <c r="E90" s="204">
        <v>228200</v>
      </c>
      <c r="F90" s="132">
        <f>(+D90-E90)/E90</f>
        <v>-0.41167616126205081</v>
      </c>
      <c r="G90" s="215">
        <f>D90/C90</f>
        <v>0.20887832655252084</v>
      </c>
      <c r="H90" s="123"/>
    </row>
    <row r="91" spans="1:8" ht="15.75" x14ac:dyDescent="0.25">
      <c r="A91" s="130"/>
      <c r="B91" s="131">
        <f>DATE(2019,9,1)</f>
        <v>43709</v>
      </c>
      <c r="C91" s="204">
        <v>552495</v>
      </c>
      <c r="D91" s="204">
        <v>147952</v>
      </c>
      <c r="E91" s="204">
        <v>133253.5</v>
      </c>
      <c r="F91" s="132">
        <f>(+D91-E91)/E91</f>
        <v>0.11030479499600386</v>
      </c>
      <c r="G91" s="215">
        <f>D91/C91</f>
        <v>0.26778884876786213</v>
      </c>
      <c r="H91" s="123"/>
    </row>
    <row r="92" spans="1:8" ht="15.75" x14ac:dyDescent="0.25">
      <c r="A92" s="130"/>
      <c r="B92" s="131">
        <f>DATE(2019,10,1)</f>
        <v>43739</v>
      </c>
      <c r="C92" s="204">
        <v>589373</v>
      </c>
      <c r="D92" s="204">
        <v>160874.5</v>
      </c>
      <c r="E92" s="204">
        <v>183569.5</v>
      </c>
      <c r="F92" s="132">
        <f>(+D92-E92)/E92</f>
        <v>-0.12363164904845304</v>
      </c>
      <c r="G92" s="215">
        <f>D92/C92</f>
        <v>0.27295872053860626</v>
      </c>
      <c r="H92" s="123"/>
    </row>
    <row r="93" spans="1:8" ht="15.75" x14ac:dyDescent="0.25">
      <c r="A93" s="130"/>
      <c r="B93" s="131">
        <f>DATE(2019,11,1)</f>
        <v>43770</v>
      </c>
      <c r="C93" s="204">
        <v>659075</v>
      </c>
      <c r="D93" s="204">
        <v>171128.5</v>
      </c>
      <c r="E93" s="204">
        <v>134566.5</v>
      </c>
      <c r="F93" s="132">
        <f>(+D93-E93)/E93</f>
        <v>0.27170209524658812</v>
      </c>
      <c r="G93" s="215">
        <f>D93/C93</f>
        <v>0.25964950878124643</v>
      </c>
      <c r="H93" s="123"/>
    </row>
    <row r="94" spans="1:8" ht="15.75" thickBot="1" x14ac:dyDescent="0.25">
      <c r="A94" s="133"/>
      <c r="B94" s="134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4" t="s">
        <v>14</v>
      </c>
      <c r="B95" s="145"/>
      <c r="C95" s="207">
        <f>SUM(C89:C94)</f>
        <v>3123562</v>
      </c>
      <c r="D95" s="207">
        <f>SUM(D89:D94)</f>
        <v>750144.5</v>
      </c>
      <c r="E95" s="207">
        <f>SUM(E89:E94)</f>
        <v>834144</v>
      </c>
      <c r="F95" s="143">
        <f>(+D95-E95)/E95</f>
        <v>-0.10070143764146239</v>
      </c>
      <c r="G95" s="217">
        <f>D95/C95</f>
        <v>0.24015675053032404</v>
      </c>
      <c r="H95" s="123"/>
    </row>
    <row r="96" spans="1:8" ht="15.75" customHeight="1" thickTop="1" x14ac:dyDescent="0.25">
      <c r="A96" s="130"/>
      <c r="B96" s="134"/>
      <c r="C96" s="204"/>
      <c r="D96" s="204"/>
      <c r="E96" s="204"/>
      <c r="F96" s="132"/>
      <c r="G96" s="218"/>
      <c r="H96" s="123"/>
    </row>
    <row r="97" spans="1:8" ht="15.75" x14ac:dyDescent="0.25">
      <c r="A97" s="130" t="s">
        <v>40</v>
      </c>
      <c r="B97" s="131">
        <f>DATE(2019,7,1)</f>
        <v>43647</v>
      </c>
      <c r="C97" s="204">
        <v>18492660</v>
      </c>
      <c r="D97" s="204">
        <v>3678875.65</v>
      </c>
      <c r="E97" s="204">
        <v>4013253.36</v>
      </c>
      <c r="F97" s="132">
        <f>(+D97-E97)/E97</f>
        <v>-8.3318365427095781E-2</v>
      </c>
      <c r="G97" s="215">
        <f>D97/C97</f>
        <v>0.19893707287107426</v>
      </c>
      <c r="H97" s="123"/>
    </row>
    <row r="98" spans="1:8" ht="15.75" x14ac:dyDescent="0.25">
      <c r="A98" s="130"/>
      <c r="B98" s="131">
        <f>DATE(2019,8,1)</f>
        <v>43678</v>
      </c>
      <c r="C98" s="204">
        <v>18036604</v>
      </c>
      <c r="D98" s="204">
        <v>3806318.41</v>
      </c>
      <c r="E98" s="204">
        <v>4154776.6</v>
      </c>
      <c r="F98" s="132">
        <f>(+D98-E98)/E98</f>
        <v>-8.3869296366018795E-2</v>
      </c>
      <c r="G98" s="215">
        <f>D98/C98</f>
        <v>0.21103298658661021</v>
      </c>
      <c r="H98" s="123"/>
    </row>
    <row r="99" spans="1:8" ht="15.75" x14ac:dyDescent="0.25">
      <c r="A99" s="130"/>
      <c r="B99" s="131">
        <f>DATE(2019,9,1)</f>
        <v>43709</v>
      </c>
      <c r="C99" s="204">
        <v>19700815</v>
      </c>
      <c r="D99" s="204">
        <v>3987675.53</v>
      </c>
      <c r="E99" s="204">
        <v>3317290.2</v>
      </c>
      <c r="F99" s="132">
        <f>(+D99-E99)/E99</f>
        <v>0.20208823756209196</v>
      </c>
      <c r="G99" s="215">
        <f>D99/C99</f>
        <v>0.20241170377976747</v>
      </c>
      <c r="H99" s="123"/>
    </row>
    <row r="100" spans="1:8" ht="15.75" x14ac:dyDescent="0.25">
      <c r="A100" s="130"/>
      <c r="B100" s="131">
        <f>DATE(2019,10,1)</f>
        <v>43739</v>
      </c>
      <c r="C100" s="204">
        <v>15446007</v>
      </c>
      <c r="D100" s="204">
        <v>3485177.78</v>
      </c>
      <c r="E100" s="204">
        <v>3010473</v>
      </c>
      <c r="F100" s="132">
        <f>(+D100-E100)/E100</f>
        <v>0.15768445025084091</v>
      </c>
      <c r="G100" s="215">
        <f>D100/C100</f>
        <v>0.22563616473823944</v>
      </c>
      <c r="H100" s="123"/>
    </row>
    <row r="101" spans="1:8" ht="15.75" x14ac:dyDescent="0.25">
      <c r="A101" s="130"/>
      <c r="B101" s="131">
        <f>DATE(2019,11,1)</f>
        <v>43770</v>
      </c>
      <c r="C101" s="204">
        <v>16313312</v>
      </c>
      <c r="D101" s="204">
        <v>3099140.29</v>
      </c>
      <c r="E101" s="204">
        <v>3636412.28</v>
      </c>
      <c r="F101" s="132">
        <f>(+D101-E101)/E101</f>
        <v>-0.14774782082740073</v>
      </c>
      <c r="G101" s="215">
        <f>D101/C101</f>
        <v>0.18997615505668008</v>
      </c>
      <c r="H101" s="123"/>
    </row>
    <row r="102" spans="1:8" ht="15.75" thickBot="1" x14ac:dyDescent="0.25">
      <c r="A102" s="133"/>
      <c r="B102" s="134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SUM(C97:C102)</f>
        <v>87989398</v>
      </c>
      <c r="D103" s="207">
        <f>SUM(D97:D102)</f>
        <v>18057187.66</v>
      </c>
      <c r="E103" s="206">
        <f>SUM(E97:E102)</f>
        <v>18132205.440000001</v>
      </c>
      <c r="F103" s="143">
        <f>(+D103-E103)/E103</f>
        <v>-4.1372672644945053E-3</v>
      </c>
      <c r="G103" s="217">
        <f>D103/C103</f>
        <v>0.2052200386687496</v>
      </c>
      <c r="H103" s="123"/>
    </row>
    <row r="104" spans="1:8" ht="15.75" customHeight="1" thickTop="1" x14ac:dyDescent="0.25">
      <c r="A104" s="130"/>
      <c r="B104" s="134"/>
      <c r="C104" s="204"/>
      <c r="D104" s="204"/>
      <c r="E104" s="204"/>
      <c r="F104" s="132"/>
      <c r="G104" s="218"/>
      <c r="H104" s="123"/>
    </row>
    <row r="105" spans="1:8" ht="15.75" x14ac:dyDescent="0.25">
      <c r="A105" s="130" t="s">
        <v>64</v>
      </c>
      <c r="B105" s="131">
        <f>DATE(2019,7,1)</f>
        <v>43647</v>
      </c>
      <c r="C105" s="204">
        <v>622244</v>
      </c>
      <c r="D105" s="204">
        <v>102948</v>
      </c>
      <c r="E105" s="204">
        <v>171143.5</v>
      </c>
      <c r="F105" s="132">
        <f>(+D105-E105)/E105</f>
        <v>-0.39846970524735092</v>
      </c>
      <c r="G105" s="215">
        <f>D105/C105</f>
        <v>0.16544635223481463</v>
      </c>
      <c r="H105" s="123"/>
    </row>
    <row r="106" spans="1:8" ht="15.75" x14ac:dyDescent="0.25">
      <c r="A106" s="130"/>
      <c r="B106" s="131">
        <f>DATE(2019,8,1)</f>
        <v>43678</v>
      </c>
      <c r="C106" s="204">
        <v>680355</v>
      </c>
      <c r="D106" s="204">
        <v>208443.5</v>
      </c>
      <c r="E106" s="204">
        <v>217353.5</v>
      </c>
      <c r="F106" s="132">
        <f>(+D106-E106)/E106</f>
        <v>-4.0993128705081816E-2</v>
      </c>
      <c r="G106" s="215">
        <f>D106/C106</f>
        <v>0.30637461325337506</v>
      </c>
      <c r="H106" s="123"/>
    </row>
    <row r="107" spans="1:8" ht="15.75" x14ac:dyDescent="0.25">
      <c r="A107" s="130"/>
      <c r="B107" s="131">
        <f>DATE(2019,9,1)</f>
        <v>43709</v>
      </c>
      <c r="C107" s="204">
        <v>591136</v>
      </c>
      <c r="D107" s="204">
        <v>206651.5</v>
      </c>
      <c r="E107" s="204">
        <v>169120</v>
      </c>
      <c r="F107" s="132">
        <f>(+D107-E107)/E107</f>
        <v>0.22192230368968779</v>
      </c>
      <c r="G107" s="215">
        <f>D107/C107</f>
        <v>0.34958368294267311</v>
      </c>
      <c r="H107" s="123"/>
    </row>
    <row r="108" spans="1:8" ht="15.75" x14ac:dyDescent="0.25">
      <c r="A108" s="130"/>
      <c r="B108" s="131">
        <f>DATE(2019,10,1)</f>
        <v>43739</v>
      </c>
      <c r="C108" s="204">
        <v>514035</v>
      </c>
      <c r="D108" s="204">
        <v>159975</v>
      </c>
      <c r="E108" s="204">
        <v>142213.5</v>
      </c>
      <c r="F108" s="132">
        <f>(+D108-E108)/E108</f>
        <v>0.12489320634117014</v>
      </c>
      <c r="G108" s="215">
        <f>D108/C108</f>
        <v>0.31121421693075374</v>
      </c>
      <c r="H108" s="123"/>
    </row>
    <row r="109" spans="1:8" ht="15.75" x14ac:dyDescent="0.25">
      <c r="A109" s="130"/>
      <c r="B109" s="131">
        <f>DATE(2019,11,1)</f>
        <v>43770</v>
      </c>
      <c r="C109" s="204">
        <v>627782</v>
      </c>
      <c r="D109" s="204">
        <v>185433.5</v>
      </c>
      <c r="E109" s="204">
        <v>170858.5</v>
      </c>
      <c r="F109" s="132">
        <f>(+D109-E109)/E109</f>
        <v>8.5304506360526403E-2</v>
      </c>
      <c r="G109" s="215">
        <f>D109/C109</f>
        <v>0.29537880984163295</v>
      </c>
      <c r="H109" s="123"/>
    </row>
    <row r="110" spans="1:8" ht="15.75" thickBot="1" x14ac:dyDescent="0.25">
      <c r="A110" s="133"/>
      <c r="B110" s="134"/>
      <c r="C110" s="204"/>
      <c r="D110" s="204"/>
      <c r="E110" s="204"/>
      <c r="F110" s="132"/>
      <c r="G110" s="215"/>
      <c r="H110" s="123"/>
    </row>
    <row r="111" spans="1:8" ht="17.25" thickTop="1" thickBot="1" x14ac:dyDescent="0.3">
      <c r="A111" s="135" t="s">
        <v>14</v>
      </c>
      <c r="B111" s="136"/>
      <c r="C111" s="201">
        <f>SUM(C105:C110)</f>
        <v>3035552</v>
      </c>
      <c r="D111" s="207">
        <f>SUM(D105:D110)</f>
        <v>863451.5</v>
      </c>
      <c r="E111" s="207">
        <f>SUM(E105:E110)</f>
        <v>870689</v>
      </c>
      <c r="F111" s="143">
        <f>(+D111-E111)/E111</f>
        <v>-8.3123824924858352E-3</v>
      </c>
      <c r="G111" s="217">
        <f>D111/C111</f>
        <v>0.28444628851688258</v>
      </c>
      <c r="H111" s="123"/>
    </row>
    <row r="112" spans="1:8" ht="16.5" thickTop="1" thickBot="1" x14ac:dyDescent="0.25">
      <c r="A112" s="146"/>
      <c r="B112" s="139"/>
      <c r="C112" s="205"/>
      <c r="D112" s="205"/>
      <c r="E112" s="205"/>
      <c r="F112" s="140"/>
      <c r="G112" s="216"/>
      <c r="H112" s="123"/>
    </row>
    <row r="113" spans="1:8" ht="17.25" thickTop="1" thickBot="1" x14ac:dyDescent="0.3">
      <c r="A113" s="147" t="s">
        <v>41</v>
      </c>
      <c r="B113" s="121"/>
      <c r="C113" s="201">
        <f>C111+C103+C79+C63+C47+C31+C15+C39+C95+C23+C71+C87+C55</f>
        <v>517798722.75</v>
      </c>
      <c r="D113" s="201">
        <f>D111+D103+D79+D63+D47+D31+D15+D39+D95+D23+D71+D87+D55</f>
        <v>105689946.34</v>
      </c>
      <c r="E113" s="201">
        <f>E111+E103+E79+E63+E47+E31+E15+E39+E95+E23+E71+E87+E55</f>
        <v>107695593.93000001</v>
      </c>
      <c r="F113" s="137">
        <f>(+D113-E113)/E113</f>
        <v>-1.8623302187308004E-2</v>
      </c>
      <c r="G113" s="212">
        <f>D113/C113</f>
        <v>0.20411395721234424</v>
      </c>
      <c r="H113" s="123"/>
    </row>
    <row r="114" spans="1:8" ht="17.25" thickTop="1" thickBot="1" x14ac:dyDescent="0.3">
      <c r="A114" s="147"/>
      <c r="B114" s="121"/>
      <c r="C114" s="201"/>
      <c r="D114" s="201"/>
      <c r="E114" s="201"/>
      <c r="F114" s="137"/>
      <c r="G114" s="212"/>
      <c r="H114" s="123"/>
    </row>
    <row r="115" spans="1:8" ht="17.25" thickTop="1" thickBot="1" x14ac:dyDescent="0.3">
      <c r="A115" s="265" t="s">
        <v>42</v>
      </c>
      <c r="B115" s="266"/>
      <c r="C115" s="206">
        <f>SUM(C13+C21+C29+C37+C45+C53+C61+C69+C77+C85+C93+C101+C109)</f>
        <v>104004985.5</v>
      </c>
      <c r="D115" s="206">
        <f>SUM(D13+D21+D29+D37+D45+D53+D61+D69+D77+D85+D93+D101+D109)</f>
        <v>20580957.490000002</v>
      </c>
      <c r="E115" s="206">
        <f>SUM(E13+E21+E29+E37+E45+E53+E61+E69+E77+E85+E93+E101+E109)</f>
        <v>23305680.740000002</v>
      </c>
      <c r="F115" s="143">
        <f>(+D115-E115)/E115</f>
        <v>-0.11691240776861341</v>
      </c>
      <c r="G115" s="217">
        <f>D115/C115</f>
        <v>0.19788433593887672</v>
      </c>
      <c r="H115" s="123"/>
    </row>
    <row r="116" spans="1:8" ht="16.5" thickTop="1" x14ac:dyDescent="0.25">
      <c r="A116" s="256"/>
      <c r="B116" s="258"/>
      <c r="C116" s="259"/>
      <c r="D116" s="259"/>
      <c r="E116" s="259"/>
      <c r="F116" s="260"/>
      <c r="G116" s="257"/>
      <c r="H116" s="257"/>
    </row>
    <row r="117" spans="1:8" ht="18.75" x14ac:dyDescent="0.3">
      <c r="A117" s="263" t="s">
        <v>43</v>
      </c>
      <c r="B117" s="117"/>
      <c r="C117" s="208"/>
      <c r="D117" s="208"/>
      <c r="E117" s="208"/>
      <c r="F117" s="148"/>
      <c r="G117" s="220"/>
    </row>
    <row r="118" spans="1:8" ht="15.75" x14ac:dyDescent="0.25">
      <c r="A118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5" max="7" man="1"/>
    <brk id="10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20"/>
  <sheetViews>
    <sheetView tabSelected="1" showOutlineSymbols="0" view="pageBreakPreview" topLeftCell="A70" zoomScale="60" zoomScaleNormal="100" workbookViewId="0">
      <selection activeCell="N22" sqref="N21:N22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>(+D10-E10)/E10</f>
        <v>7.3764105424421508E-2</v>
      </c>
      <c r="G10" s="241">
        <f>D10/C10</f>
        <v>0.10230267841024551</v>
      </c>
      <c r="H10" s="242">
        <f>1-G10</f>
        <v>0.89769732158975446</v>
      </c>
      <c r="I10" s="157"/>
    </row>
    <row r="11" spans="1:9" ht="15.75" x14ac:dyDescent="0.2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>(+D11-E11)/E11</f>
        <v>3.0791669838631727E-2</v>
      </c>
      <c r="G11" s="241">
        <f>D11/C11</f>
        <v>9.9445371492567297E-2</v>
      </c>
      <c r="H11" s="242">
        <f>1-G11</f>
        <v>0.90055462850743273</v>
      </c>
      <c r="I11" s="157"/>
    </row>
    <row r="12" spans="1:9" ht="15.75" x14ac:dyDescent="0.25">
      <c r="A12" s="164"/>
      <c r="B12" s="165">
        <f>DATE(19,9,1)</f>
        <v>7184</v>
      </c>
      <c r="C12" s="226">
        <v>113582337.68000001</v>
      </c>
      <c r="D12" s="226">
        <v>11070519.380000001</v>
      </c>
      <c r="E12" s="226">
        <v>11479851.300000001</v>
      </c>
      <c r="F12" s="166">
        <f>(+D12-E12)/E12</f>
        <v>-3.5656552450291749E-2</v>
      </c>
      <c r="G12" s="241">
        <f>D12/C12</f>
        <v>9.7466909082197364E-2</v>
      </c>
      <c r="H12" s="242">
        <f>1-G12</f>
        <v>0.90253309091780265</v>
      </c>
      <c r="I12" s="157"/>
    </row>
    <row r="13" spans="1:9" ht="15.75" x14ac:dyDescent="0.25">
      <c r="A13" s="164"/>
      <c r="B13" s="165">
        <f>DATE(19,10,1)</f>
        <v>7214</v>
      </c>
      <c r="C13" s="226">
        <v>115818968.11</v>
      </c>
      <c r="D13" s="226">
        <v>11529928.41</v>
      </c>
      <c r="E13" s="226">
        <v>11766741.380000001</v>
      </c>
      <c r="F13" s="166">
        <f>(+D13-E13)/E13</f>
        <v>-2.0125620369502901E-2</v>
      </c>
      <c r="G13" s="241">
        <f>D13/C13</f>
        <v>9.9551296287231278E-2</v>
      </c>
      <c r="H13" s="242">
        <f>1-G13</f>
        <v>0.90044870371276875</v>
      </c>
      <c r="I13" s="157"/>
    </row>
    <row r="14" spans="1:9" ht="15.75" x14ac:dyDescent="0.25">
      <c r="A14" s="164"/>
      <c r="B14" s="165">
        <f>DATE(19,11,1)</f>
        <v>7245</v>
      </c>
      <c r="C14" s="226">
        <v>121833977.98</v>
      </c>
      <c r="D14" s="226">
        <v>12272643.01</v>
      </c>
      <c r="E14" s="226">
        <v>11316404.939999999</v>
      </c>
      <c r="F14" s="166">
        <f>(+D14-E14)/E14</f>
        <v>8.4500163706584391E-2</v>
      </c>
      <c r="G14" s="241">
        <f>D14/C14</f>
        <v>0.10073251496404927</v>
      </c>
      <c r="H14" s="242">
        <f>1-G14</f>
        <v>0.89926748503595078</v>
      </c>
      <c r="I14" s="157"/>
    </row>
    <row r="15" spans="1:9" ht="15.75" thickBot="1" x14ac:dyDescent="0.25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7.25" thickTop="1" thickBot="1" x14ac:dyDescent="0.3">
      <c r="A16" s="169" t="s">
        <v>14</v>
      </c>
      <c r="B16" s="155"/>
      <c r="C16" s="223">
        <f>SUM(C10:C15)</f>
        <v>599723481.82000005</v>
      </c>
      <c r="D16" s="223">
        <f>SUM(D10:D15)</f>
        <v>59930439.949999996</v>
      </c>
      <c r="E16" s="223">
        <f>SUM(E10:E15)</f>
        <v>58390385.050000004</v>
      </c>
      <c r="F16" s="170">
        <f>(+D16-E16)/E16</f>
        <v>2.6375145474400171E-2</v>
      </c>
      <c r="G16" s="236">
        <f>D16/C16</f>
        <v>9.993012074185785E-2</v>
      </c>
      <c r="H16" s="237">
        <f>1-G16</f>
        <v>0.90006987925814219</v>
      </c>
      <c r="I16" s="157"/>
    </row>
    <row r="17" spans="1:9" ht="15.75" thickTop="1" x14ac:dyDescent="0.2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 x14ac:dyDescent="0.25">
      <c r="A18" s="19" t="s">
        <v>51</v>
      </c>
      <c r="B18" s="165">
        <f>DATE(19,7,1)</f>
        <v>7122</v>
      </c>
      <c r="C18" s="226">
        <v>61310653.93</v>
      </c>
      <c r="D18" s="226">
        <v>6237251.8300000001</v>
      </c>
      <c r="E18" s="226">
        <v>6830347.7599999998</v>
      </c>
      <c r="F18" s="166">
        <f>(+D18-E18)/E18</f>
        <v>-8.6832464588889352E-2</v>
      </c>
      <c r="G18" s="241">
        <f>D18/C18</f>
        <v>0.10173194102808357</v>
      </c>
      <c r="H18" s="242">
        <f>1-G18</f>
        <v>0.89826805897191642</v>
      </c>
      <c r="I18" s="157"/>
    </row>
    <row r="19" spans="1:9" ht="15.75" x14ac:dyDescent="0.25">
      <c r="A19" s="19"/>
      <c r="B19" s="165">
        <f>DATE(19,8,1)</f>
        <v>7153</v>
      </c>
      <c r="C19" s="226">
        <v>61567378.380000003</v>
      </c>
      <c r="D19" s="226">
        <v>6248302.3499999996</v>
      </c>
      <c r="E19" s="226">
        <v>6442436.2599999998</v>
      </c>
      <c r="F19" s="166">
        <f>(+D19-E19)/E19</f>
        <v>-3.0133617495813635E-2</v>
      </c>
      <c r="G19" s="241">
        <f>D19/C19</f>
        <v>0.10148722447518967</v>
      </c>
      <c r="H19" s="242">
        <f>1-G19</f>
        <v>0.89851277552481035</v>
      </c>
      <c r="I19" s="157"/>
    </row>
    <row r="20" spans="1:9" ht="15.75" x14ac:dyDescent="0.25">
      <c r="A20" s="19"/>
      <c r="B20" s="165">
        <f>DATE(19,9,1)</f>
        <v>7184</v>
      </c>
      <c r="C20" s="226">
        <v>56369402.539999999</v>
      </c>
      <c r="D20" s="226">
        <v>5841517.5999999996</v>
      </c>
      <c r="E20" s="226">
        <v>6263081.7199999997</v>
      </c>
      <c r="F20" s="166">
        <f>(+D20-E20)/E20</f>
        <v>-6.7309375615172418E-2</v>
      </c>
      <c r="G20" s="241">
        <f>D20/C20</f>
        <v>0.10362922679293665</v>
      </c>
      <c r="H20" s="242">
        <f>1-G20</f>
        <v>0.89637077320706338</v>
      </c>
      <c r="I20" s="157"/>
    </row>
    <row r="21" spans="1:9" ht="15.75" x14ac:dyDescent="0.25">
      <c r="A21" s="19"/>
      <c r="B21" s="165">
        <f>DATE(19,10,1)</f>
        <v>7214</v>
      </c>
      <c r="C21" s="226">
        <v>54504425.119999997</v>
      </c>
      <c r="D21" s="226">
        <v>5457854.2400000002</v>
      </c>
      <c r="E21" s="226">
        <v>5583864.3700000001</v>
      </c>
      <c r="F21" s="166">
        <f>(+D21-E21)/E21</f>
        <v>-2.2566832152479357E-2</v>
      </c>
      <c r="G21" s="241">
        <f>D21/C21</f>
        <v>0.10013598396797475</v>
      </c>
      <c r="H21" s="242">
        <f>1-G21</f>
        <v>0.89986401603202526</v>
      </c>
      <c r="I21" s="157"/>
    </row>
    <row r="22" spans="1:9" ht="15.75" x14ac:dyDescent="0.25">
      <c r="A22" s="19"/>
      <c r="B22" s="165">
        <f>DATE(19,11,1)</f>
        <v>7245</v>
      </c>
      <c r="C22" s="226">
        <v>56168674.75</v>
      </c>
      <c r="D22" s="226">
        <v>5836234.6699999999</v>
      </c>
      <c r="E22" s="226">
        <v>5280741.6900000004</v>
      </c>
      <c r="F22" s="166">
        <f>(+D22-E22)/E22</f>
        <v>0.10519222726836303</v>
      </c>
      <c r="G22" s="241">
        <f>D22/C22</f>
        <v>0.1039055077581299</v>
      </c>
      <c r="H22" s="242">
        <f>1-G22</f>
        <v>0.8960944922418701</v>
      </c>
      <c r="I22" s="157"/>
    </row>
    <row r="23" spans="1:9" ht="15.75" thickBot="1" x14ac:dyDescent="0.25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7.25" thickTop="1" thickBot="1" x14ac:dyDescent="0.3">
      <c r="A24" s="169" t="s">
        <v>14</v>
      </c>
      <c r="B24" s="155"/>
      <c r="C24" s="223">
        <f>SUM(C18:C23)</f>
        <v>289920534.72000003</v>
      </c>
      <c r="D24" s="223">
        <f>SUM(D18:D23)</f>
        <v>29621160.690000005</v>
      </c>
      <c r="E24" s="223">
        <f>SUM(E18:E23)</f>
        <v>30400471.800000001</v>
      </c>
      <c r="F24" s="170">
        <f>(+D24-E24)/E24</f>
        <v>-2.5634836035669541E-2</v>
      </c>
      <c r="G24" s="236">
        <f>D24/C24</f>
        <v>0.10216992983476518</v>
      </c>
      <c r="H24" s="237">
        <f>1-G24</f>
        <v>0.89783007016523486</v>
      </c>
      <c r="I24" s="157"/>
    </row>
    <row r="25" spans="1:9" ht="15.75" thickTop="1" x14ac:dyDescent="0.2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.75" x14ac:dyDescent="0.25">
      <c r="A26" s="19" t="s">
        <v>60</v>
      </c>
      <c r="B26" s="165">
        <f>DATE(19,7,1)</f>
        <v>7122</v>
      </c>
      <c r="C26" s="226">
        <v>27697147.809999999</v>
      </c>
      <c r="D26" s="226">
        <v>2967073.27</v>
      </c>
      <c r="E26" s="226">
        <v>2891699.85</v>
      </c>
      <c r="F26" s="166">
        <f>(+D26-E26)/E26</f>
        <v>2.6065436909020804E-2</v>
      </c>
      <c r="G26" s="241">
        <f>D26/C26</f>
        <v>0.10712558890012293</v>
      </c>
      <c r="H26" s="242">
        <f>1-G26</f>
        <v>0.89287441109987709</v>
      </c>
      <c r="I26" s="157"/>
    </row>
    <row r="27" spans="1:9" ht="15.75" x14ac:dyDescent="0.25">
      <c r="A27" s="19"/>
      <c r="B27" s="165">
        <f>DATE(19,8,1)</f>
        <v>7153</v>
      </c>
      <c r="C27" s="226">
        <v>27431300.710000001</v>
      </c>
      <c r="D27" s="226">
        <v>2916117.84</v>
      </c>
      <c r="E27" s="226">
        <v>2785511.76</v>
      </c>
      <c r="F27" s="166">
        <f>(+D27-E27)/E27</f>
        <v>4.6887642649909363E-2</v>
      </c>
      <c r="G27" s="241">
        <f>D27/C27</f>
        <v>0.10630621824421682</v>
      </c>
      <c r="H27" s="242">
        <f>1-G27</f>
        <v>0.89369378175578318</v>
      </c>
      <c r="I27" s="157"/>
    </row>
    <row r="28" spans="1:9" ht="15.75" x14ac:dyDescent="0.25">
      <c r="A28" s="19"/>
      <c r="B28" s="165">
        <f>DATE(19,9,1)</f>
        <v>7184</v>
      </c>
      <c r="C28" s="226">
        <v>27153283.5</v>
      </c>
      <c r="D28" s="226">
        <v>2810959.49</v>
      </c>
      <c r="E28" s="226">
        <v>2777720.64</v>
      </c>
      <c r="F28" s="166">
        <f>(+D28-E28)/E28</f>
        <v>1.1966232140608673E-2</v>
      </c>
      <c r="G28" s="241">
        <f>D28/C28</f>
        <v>0.10352189966270563</v>
      </c>
      <c r="H28" s="242">
        <f>1-G28</f>
        <v>0.89647810033729436</v>
      </c>
      <c r="I28" s="157"/>
    </row>
    <row r="29" spans="1:9" ht="15.75" x14ac:dyDescent="0.25">
      <c r="A29" s="19"/>
      <c r="B29" s="165">
        <f>DATE(19,10,1)</f>
        <v>7214</v>
      </c>
      <c r="C29" s="226">
        <v>25839439.73</v>
      </c>
      <c r="D29" s="226">
        <v>2793135.19</v>
      </c>
      <c r="E29" s="226">
        <v>2633608.27</v>
      </c>
      <c r="F29" s="166">
        <f>(+D29-E29)/E29</f>
        <v>6.0573518779237404E-2</v>
      </c>
      <c r="G29" s="241">
        <f>D29/C29</f>
        <v>0.10809581086841932</v>
      </c>
      <c r="H29" s="242">
        <f>1-G29</f>
        <v>0.89190418913158065</v>
      </c>
      <c r="I29" s="157"/>
    </row>
    <row r="30" spans="1:9" ht="15.75" x14ac:dyDescent="0.25">
      <c r="A30" s="19"/>
      <c r="B30" s="165">
        <f>DATE(19,11,1)</f>
        <v>7245</v>
      </c>
      <c r="C30" s="226">
        <v>26865495.899999999</v>
      </c>
      <c r="D30" s="226">
        <v>2801584.25</v>
      </c>
      <c r="E30" s="226">
        <v>2551021.5099999998</v>
      </c>
      <c r="F30" s="166">
        <f>(+D30-E30)/E30</f>
        <v>9.8220551656579419E-2</v>
      </c>
      <c r="G30" s="241">
        <f>D30/C30</f>
        <v>0.10428187368765451</v>
      </c>
      <c r="H30" s="242">
        <f>1-G30</f>
        <v>0.89571812631234549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5"/>
      <c r="C32" s="228">
        <f>SUM(C26:C31)</f>
        <v>134986667.65000001</v>
      </c>
      <c r="D32" s="228">
        <f>SUM(D26:D31)</f>
        <v>14288870.039999999</v>
      </c>
      <c r="E32" s="228">
        <f>SUM(E26:E31)</f>
        <v>13639562.029999999</v>
      </c>
      <c r="F32" s="176">
        <f>(+D32-E32)/E32</f>
        <v>4.7604755091978548E-2</v>
      </c>
      <c r="G32" s="245">
        <f>D32/C32</f>
        <v>0.10585393571644332</v>
      </c>
      <c r="H32" s="246">
        <f>1-G32</f>
        <v>0.8941460642835567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77" t="s">
        <v>65</v>
      </c>
      <c r="B34" s="165">
        <f>DATE(19,7,1)</f>
        <v>7122</v>
      </c>
      <c r="C34" s="226">
        <v>184825387.59999999</v>
      </c>
      <c r="D34" s="226">
        <v>17279710.350000001</v>
      </c>
      <c r="E34" s="226">
        <v>17539246.18</v>
      </c>
      <c r="F34" s="166">
        <f>(+D34-E34)/E34</f>
        <v>-1.4797433557660356E-2</v>
      </c>
      <c r="G34" s="241">
        <f>D34/C34</f>
        <v>9.3492082307419996E-2</v>
      </c>
      <c r="H34" s="242">
        <f>1-G34</f>
        <v>0.90650791769257999</v>
      </c>
      <c r="I34" s="157"/>
    </row>
    <row r="35" spans="1:9" ht="15.75" x14ac:dyDescent="0.25">
      <c r="A35" s="177"/>
      <c r="B35" s="165">
        <f>DATE(19,8,1)</f>
        <v>7153</v>
      </c>
      <c r="C35" s="226">
        <v>191102191.72</v>
      </c>
      <c r="D35" s="226">
        <v>17467037.460000001</v>
      </c>
      <c r="E35" s="226">
        <v>17390823.879999999</v>
      </c>
      <c r="F35" s="166">
        <f>(+D35-E35)/E35</f>
        <v>4.3824019221797754E-3</v>
      </c>
      <c r="G35" s="241">
        <f>D35/C35</f>
        <v>9.1401554858106679E-2</v>
      </c>
      <c r="H35" s="242">
        <f>1-G35</f>
        <v>0.90859844514189336</v>
      </c>
      <c r="I35" s="157"/>
    </row>
    <row r="36" spans="1:9" ht="15.75" x14ac:dyDescent="0.25">
      <c r="A36" s="177"/>
      <c r="B36" s="165">
        <f>DATE(19,9,1)</f>
        <v>7184</v>
      </c>
      <c r="C36" s="226">
        <v>174203675.16999999</v>
      </c>
      <c r="D36" s="226">
        <v>16156127.949999999</v>
      </c>
      <c r="E36" s="226">
        <v>16350217.75</v>
      </c>
      <c r="F36" s="166">
        <f>(+D36-E36)/E36</f>
        <v>-1.1870777684291131E-2</v>
      </c>
      <c r="G36" s="241">
        <f>D36/C36</f>
        <v>9.2742750313583991E-2</v>
      </c>
      <c r="H36" s="242">
        <f>1-G36</f>
        <v>0.90725724968641597</v>
      </c>
      <c r="I36" s="157"/>
    </row>
    <row r="37" spans="1:9" ht="15.75" x14ac:dyDescent="0.25">
      <c r="A37" s="177"/>
      <c r="B37" s="165">
        <f>DATE(19,10,1)</f>
        <v>7214</v>
      </c>
      <c r="C37" s="226">
        <v>179895954.49000001</v>
      </c>
      <c r="D37" s="226">
        <v>15798088.050000001</v>
      </c>
      <c r="E37" s="226">
        <v>15575678.630000001</v>
      </c>
      <c r="F37" s="166">
        <f>(+D37-E37)/E37</f>
        <v>1.4279276382322219E-2</v>
      </c>
      <c r="G37" s="241">
        <f>D37/C37</f>
        <v>8.7817917277723881E-2</v>
      </c>
      <c r="H37" s="242">
        <f>1-G37</f>
        <v>0.91218208272227608</v>
      </c>
      <c r="I37" s="157"/>
    </row>
    <row r="38" spans="1:9" ht="15.75" x14ac:dyDescent="0.25">
      <c r="A38" s="177"/>
      <c r="B38" s="165">
        <f>DATE(19,11,1)</f>
        <v>7245</v>
      </c>
      <c r="C38" s="226">
        <v>183677518.47999999</v>
      </c>
      <c r="D38" s="226">
        <v>16997575.629999999</v>
      </c>
      <c r="E38" s="226">
        <v>14866628.689999999</v>
      </c>
      <c r="F38" s="166">
        <f>(+D38-E38)/E38</f>
        <v>0.1433376042702523</v>
      </c>
      <c r="G38" s="241">
        <f>D38/C38</f>
        <v>9.2540316151161456E-2</v>
      </c>
      <c r="H38" s="242">
        <f>1-G38</f>
        <v>0.90745968384883857</v>
      </c>
      <c r="I38" s="157"/>
    </row>
    <row r="39" spans="1:9" ht="15.75" thickBot="1" x14ac:dyDescent="0.25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7.25" thickTop="1" thickBot="1" x14ac:dyDescent="0.3">
      <c r="A40" s="174" t="s">
        <v>14</v>
      </c>
      <c r="B40" s="178"/>
      <c r="C40" s="228">
        <f>SUM(C34:C39)</f>
        <v>913704727.46000004</v>
      </c>
      <c r="D40" s="228">
        <f>SUM(D34:D39)</f>
        <v>83698539.439999998</v>
      </c>
      <c r="E40" s="228">
        <f>SUM(E34:E39)</f>
        <v>81722595.13000001</v>
      </c>
      <c r="F40" s="176">
        <f>(+D40-E40)/E40</f>
        <v>2.4178677963625102E-2</v>
      </c>
      <c r="G40" s="245">
        <f>D40/C40</f>
        <v>9.1603487346150494E-2</v>
      </c>
      <c r="H40" s="246">
        <f>1-G40</f>
        <v>0.90839651265384946</v>
      </c>
      <c r="I40" s="157"/>
    </row>
    <row r="41" spans="1:9" ht="15.75" thickTop="1" x14ac:dyDescent="0.2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.75" x14ac:dyDescent="0.25">
      <c r="A42" s="164" t="s">
        <v>16</v>
      </c>
      <c r="B42" s="165">
        <f>DATE(19,7,1)</f>
        <v>7122</v>
      </c>
      <c r="C42" s="226">
        <v>115325495.95</v>
      </c>
      <c r="D42" s="226">
        <v>11411946.24</v>
      </c>
      <c r="E42" s="226">
        <v>11381105.73</v>
      </c>
      <c r="F42" s="166">
        <f>(+D42-E42)/E42</f>
        <v>2.7097990943626684E-3</v>
      </c>
      <c r="G42" s="241">
        <f>D42/C42</f>
        <v>9.8954235106413171E-2</v>
      </c>
      <c r="H42" s="242">
        <f>1-G42</f>
        <v>0.90104576489358679</v>
      </c>
      <c r="I42" s="157"/>
    </row>
    <row r="43" spans="1:9" ht="15.75" x14ac:dyDescent="0.25">
      <c r="A43" s="164"/>
      <c r="B43" s="165">
        <f>DATE(19,8,1)</f>
        <v>7153</v>
      </c>
      <c r="C43" s="226">
        <v>122607190.3</v>
      </c>
      <c r="D43" s="226">
        <v>12220877.76</v>
      </c>
      <c r="E43" s="226">
        <v>11018606.25</v>
      </c>
      <c r="F43" s="166">
        <f>(+D43-E43)/E43</f>
        <v>0.10911284809728089</v>
      </c>
      <c r="G43" s="241">
        <f>D43/C43</f>
        <v>9.967504948198784E-2</v>
      </c>
      <c r="H43" s="242">
        <f>1-G43</f>
        <v>0.9003249505180122</v>
      </c>
      <c r="I43" s="157"/>
    </row>
    <row r="44" spans="1:9" ht="15.75" x14ac:dyDescent="0.25">
      <c r="A44" s="164"/>
      <c r="B44" s="165">
        <f>DATE(19,9,1)</f>
        <v>7184</v>
      </c>
      <c r="C44" s="226">
        <v>115423599.31</v>
      </c>
      <c r="D44" s="226">
        <v>11441576.98</v>
      </c>
      <c r="E44" s="226">
        <v>11865007.26</v>
      </c>
      <c r="F44" s="166">
        <f>(+D44-E44)/E44</f>
        <v>-3.5687317396550781E-2</v>
      </c>
      <c r="G44" s="241">
        <f>D44/C44</f>
        <v>9.9126842763503489E-2</v>
      </c>
      <c r="H44" s="242">
        <f>1-G44</f>
        <v>0.90087315723649652</v>
      </c>
      <c r="I44" s="157"/>
    </row>
    <row r="45" spans="1:9" ht="15.75" x14ac:dyDescent="0.25">
      <c r="A45" s="164"/>
      <c r="B45" s="165">
        <f>DATE(19,10,1)</f>
        <v>7214</v>
      </c>
      <c r="C45" s="226">
        <v>115210524.88</v>
      </c>
      <c r="D45" s="226">
        <v>11451574.32</v>
      </c>
      <c r="E45" s="226">
        <v>11049162.109999999</v>
      </c>
      <c r="F45" s="166">
        <f>(+D45-E45)/E45</f>
        <v>3.6420156206758821E-2</v>
      </c>
      <c r="G45" s="241">
        <f>D45/C45</f>
        <v>9.9396945998880173E-2</v>
      </c>
      <c r="H45" s="242">
        <f>1-G45</f>
        <v>0.90060305400111984</v>
      </c>
      <c r="I45" s="157"/>
    </row>
    <row r="46" spans="1:9" ht="15.75" x14ac:dyDescent="0.25">
      <c r="A46" s="164"/>
      <c r="B46" s="165">
        <f>DATE(19,11,1)</f>
        <v>7245</v>
      </c>
      <c r="C46" s="226">
        <v>117396631.88</v>
      </c>
      <c r="D46" s="226">
        <v>11824386.49</v>
      </c>
      <c r="E46" s="226">
        <v>10320144.720000001</v>
      </c>
      <c r="F46" s="166">
        <f>(+D46-E46)/E46</f>
        <v>0.1457578174349477</v>
      </c>
      <c r="G46" s="241">
        <f>D46/C46</f>
        <v>0.10072168426506992</v>
      </c>
      <c r="H46" s="242">
        <f>1-G46</f>
        <v>0.89927831573493011</v>
      </c>
      <c r="I46" s="157"/>
    </row>
    <row r="47" spans="1:9" ht="15.75" thickBot="1" x14ac:dyDescent="0.25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SUM(C42:C47)</f>
        <v>585963442.31999993</v>
      </c>
      <c r="D48" s="230">
        <f>SUM(D42:D47)</f>
        <v>58350361.790000007</v>
      </c>
      <c r="E48" s="271">
        <f>SUM(E42:E47)</f>
        <v>55634026.07</v>
      </c>
      <c r="F48" s="272">
        <f>(+D48-E48)/E48</f>
        <v>4.8825079036743643E-2</v>
      </c>
      <c r="G48" s="249">
        <f>D48/C48</f>
        <v>9.9580208551874716E-2</v>
      </c>
      <c r="H48" s="270">
        <f>1-G48</f>
        <v>0.90041979144812534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66</v>
      </c>
      <c r="B50" s="165">
        <f>DATE(19,7,1)</f>
        <v>7122</v>
      </c>
      <c r="C50" s="226">
        <v>39783172.600000001</v>
      </c>
      <c r="D50" s="226">
        <v>3906046.69</v>
      </c>
      <c r="E50" s="226">
        <v>4536017.05</v>
      </c>
      <c r="F50" s="166">
        <f>(+D50-E50)/E50</f>
        <v>-0.13888183246577521</v>
      </c>
      <c r="G50" s="241">
        <f>D50/C50</f>
        <v>9.8183388471134642E-2</v>
      </c>
      <c r="H50" s="242">
        <f>1-G50</f>
        <v>0.90181661152886539</v>
      </c>
      <c r="I50" s="157"/>
    </row>
    <row r="51" spans="1:9" ht="15.75" x14ac:dyDescent="0.25">
      <c r="A51" s="164"/>
      <c r="B51" s="165">
        <f>DATE(19,8,1)</f>
        <v>7153</v>
      </c>
      <c r="C51" s="226">
        <v>43743175.450000003</v>
      </c>
      <c r="D51" s="226">
        <v>4670857.45</v>
      </c>
      <c r="E51" s="226">
        <v>4611969.17</v>
      </c>
      <c r="F51" s="166">
        <f>(+D51-E51)/E51</f>
        <v>1.2768576247876405E-2</v>
      </c>
      <c r="G51" s="241">
        <f>D51/C51</f>
        <v>0.1067791124432417</v>
      </c>
      <c r="H51" s="242">
        <f>1-G51</f>
        <v>0.89322088755675833</v>
      </c>
      <c r="I51" s="157"/>
    </row>
    <row r="52" spans="1:9" ht="15.75" x14ac:dyDescent="0.25">
      <c r="A52" s="164"/>
      <c r="B52" s="165">
        <f>DATE(19,9,1)</f>
        <v>7184</v>
      </c>
      <c r="C52" s="226">
        <v>42075238.560000002</v>
      </c>
      <c r="D52" s="226">
        <v>4421418.32</v>
      </c>
      <c r="E52" s="226">
        <v>4472303.22</v>
      </c>
      <c r="F52" s="166">
        <f>(+D52-E52)/E52</f>
        <v>-1.1377783995602929E-2</v>
      </c>
      <c r="G52" s="241">
        <f>D52/C52</f>
        <v>0.10508361856807973</v>
      </c>
      <c r="H52" s="242">
        <f>1-G52</f>
        <v>0.89491638143192032</v>
      </c>
      <c r="I52" s="157"/>
    </row>
    <row r="53" spans="1:9" ht="15.75" x14ac:dyDescent="0.25">
      <c r="A53" s="164"/>
      <c r="B53" s="165">
        <f>DATE(19,10,1)</f>
        <v>7214</v>
      </c>
      <c r="C53" s="226">
        <v>41772739.68</v>
      </c>
      <c r="D53" s="226">
        <v>4469558.96</v>
      </c>
      <c r="E53" s="226">
        <v>4257625.9400000004</v>
      </c>
      <c r="F53" s="166">
        <f>(+D53-E53)/E53</f>
        <v>4.9777275642960674E-2</v>
      </c>
      <c r="G53" s="241">
        <f>D53/C53</f>
        <v>0.10699702711000161</v>
      </c>
      <c r="H53" s="242">
        <f>1-G53</f>
        <v>0.89300297288999841</v>
      </c>
      <c r="I53" s="157"/>
    </row>
    <row r="54" spans="1:9" ht="15.75" x14ac:dyDescent="0.25">
      <c r="A54" s="164"/>
      <c r="B54" s="165">
        <f>DATE(19,11,1)</f>
        <v>7245</v>
      </c>
      <c r="C54" s="226">
        <v>42815164.240000002</v>
      </c>
      <c r="D54" s="226">
        <v>4362721.83</v>
      </c>
      <c r="E54" s="226">
        <v>4366684.07</v>
      </c>
      <c r="F54" s="166">
        <f>(+D54-E54)/E54</f>
        <v>-9.0737958974902971E-4</v>
      </c>
      <c r="G54" s="241">
        <f>D54/C54</f>
        <v>0.10189665057793085</v>
      </c>
      <c r="H54" s="242">
        <f>1-G54</f>
        <v>0.89810334942206915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SUM(C50:C55)</f>
        <v>210189490.53000003</v>
      </c>
      <c r="D56" s="230">
        <f>SUM(D50:D55)</f>
        <v>21830603.25</v>
      </c>
      <c r="E56" s="271">
        <f>SUM(E50:E55)</f>
        <v>22244599.449999999</v>
      </c>
      <c r="F56" s="272">
        <f>(+D56-E56)/E56</f>
        <v>-1.8611088094912819E-2</v>
      </c>
      <c r="G56" s="249">
        <f>D56/C56</f>
        <v>0.10386153558369347</v>
      </c>
      <c r="H56" s="270">
        <f>1-G56</f>
        <v>0.89613846441630651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17</v>
      </c>
      <c r="B58" s="165">
        <f>DATE(19,7,1)</f>
        <v>7122</v>
      </c>
      <c r="C58" s="226">
        <v>45458425.399999999</v>
      </c>
      <c r="D58" s="226">
        <v>4987956.2</v>
      </c>
      <c r="E58" s="226">
        <v>5381167.3099999996</v>
      </c>
      <c r="F58" s="166">
        <f>(+D58-E58)/E58</f>
        <v>-7.3071712390224752E-2</v>
      </c>
      <c r="G58" s="241">
        <f>D58/C58</f>
        <v>0.10972567034844986</v>
      </c>
      <c r="H58" s="242">
        <f>1-G58</f>
        <v>0.89027432965155018</v>
      </c>
      <c r="I58" s="157"/>
    </row>
    <row r="59" spans="1:9" ht="15.75" x14ac:dyDescent="0.25">
      <c r="A59" s="164"/>
      <c r="B59" s="165">
        <f>DATE(19,8,1)</f>
        <v>7153</v>
      </c>
      <c r="C59" s="226">
        <v>47408888.340000004</v>
      </c>
      <c r="D59" s="226">
        <v>5297182</v>
      </c>
      <c r="E59" s="226">
        <v>5291596.82</v>
      </c>
      <c r="F59" s="166">
        <f>(+D59-E59)/E59</f>
        <v>1.0554810182986886E-3</v>
      </c>
      <c r="G59" s="241">
        <f>D59/C59</f>
        <v>0.1117339424204689</v>
      </c>
      <c r="H59" s="242">
        <f>1-G59</f>
        <v>0.88826605757953114</v>
      </c>
      <c r="I59" s="157"/>
    </row>
    <row r="60" spans="1:9" ht="15.75" x14ac:dyDescent="0.25">
      <c r="A60" s="164"/>
      <c r="B60" s="165">
        <f>DATE(19,9,1)</f>
        <v>7184</v>
      </c>
      <c r="C60" s="226">
        <v>43078381.07</v>
      </c>
      <c r="D60" s="226">
        <v>4757922.75</v>
      </c>
      <c r="E60" s="226">
        <v>5027629.3</v>
      </c>
      <c r="F60" s="166">
        <f>(+D60-E60)/E60</f>
        <v>-5.3644875925915984E-2</v>
      </c>
      <c r="G60" s="241">
        <f>D60/C60</f>
        <v>0.11044803987105822</v>
      </c>
      <c r="H60" s="242">
        <f>1-G60</f>
        <v>0.88955196012894178</v>
      </c>
      <c r="I60" s="157"/>
    </row>
    <row r="61" spans="1:9" ht="15.75" x14ac:dyDescent="0.25">
      <c r="A61" s="164"/>
      <c r="B61" s="165">
        <f>DATE(19,10,1)</f>
        <v>7214</v>
      </c>
      <c r="C61" s="226">
        <v>45559884.780000001</v>
      </c>
      <c r="D61" s="226">
        <v>5100767.21</v>
      </c>
      <c r="E61" s="226">
        <v>5016135.3</v>
      </c>
      <c r="F61" s="166">
        <f>(+D61-E61)/E61</f>
        <v>1.6871935252623697E-2</v>
      </c>
      <c r="G61" s="241">
        <f>D61/C61</f>
        <v>0.11195742119697256</v>
      </c>
      <c r="H61" s="242">
        <f>1-G61</f>
        <v>0.88804257880302739</v>
      </c>
      <c r="I61" s="157"/>
    </row>
    <row r="62" spans="1:9" ht="15.75" x14ac:dyDescent="0.25">
      <c r="A62" s="164"/>
      <c r="B62" s="165">
        <f>DATE(19,11,1)</f>
        <v>7245</v>
      </c>
      <c r="C62" s="226">
        <v>45568371.520000003</v>
      </c>
      <c r="D62" s="226">
        <v>5049815.8600000003</v>
      </c>
      <c r="E62" s="226">
        <v>4899996.9800000004</v>
      </c>
      <c r="F62" s="166">
        <f>(+D62-E62)/E62</f>
        <v>3.0575300477021901E-2</v>
      </c>
      <c r="G62" s="241">
        <f>D62/C62</f>
        <v>0.11081844032507572</v>
      </c>
      <c r="H62" s="242">
        <f>1-G62</f>
        <v>0.88918155967492429</v>
      </c>
      <c r="I62" s="157"/>
    </row>
    <row r="63" spans="1:9" ht="15.75" thickBot="1" x14ac:dyDescent="0.25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5"/>
      <c r="C64" s="228">
        <f>SUM(C58:C63)</f>
        <v>227073951.11000001</v>
      </c>
      <c r="D64" s="230">
        <f>SUM(D58:D63)</f>
        <v>25193644.02</v>
      </c>
      <c r="E64" s="271">
        <f>SUM(E58:E63)</f>
        <v>25616525.710000001</v>
      </c>
      <c r="F64" s="272">
        <f>(+D64-E64)/E64</f>
        <v>-1.6508159411911184E-2</v>
      </c>
      <c r="G64" s="249">
        <f>D64/C64</f>
        <v>0.11094907142297268</v>
      </c>
      <c r="H64" s="270">
        <f>1-G64</f>
        <v>0.88905092857702728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67</v>
      </c>
      <c r="B66" s="165">
        <f>DATE(19,7,1)</f>
        <v>7122</v>
      </c>
      <c r="C66" s="226">
        <v>108871593.48999999</v>
      </c>
      <c r="D66" s="226">
        <v>10859844.9</v>
      </c>
      <c r="E66" s="226">
        <v>11368416.640000001</v>
      </c>
      <c r="F66" s="166">
        <f>(+D66-E66)/E66</f>
        <v>-4.4735494493628992E-2</v>
      </c>
      <c r="G66" s="241">
        <f>D66/C66</f>
        <v>9.9749113169703835E-2</v>
      </c>
      <c r="H66" s="242">
        <f>1-G66</f>
        <v>0.90025088683029619</v>
      </c>
      <c r="I66" s="157"/>
    </row>
    <row r="67" spans="1:9" ht="15.75" x14ac:dyDescent="0.25">
      <c r="A67" s="164"/>
      <c r="B67" s="165">
        <f>DATE(19,8,1)</f>
        <v>7153</v>
      </c>
      <c r="C67" s="226">
        <v>110085881.98999999</v>
      </c>
      <c r="D67" s="226">
        <v>10606265.73</v>
      </c>
      <c r="E67" s="226">
        <v>11900739.720000001</v>
      </c>
      <c r="F67" s="166">
        <f>(+D67-E67)/E67</f>
        <v>-0.10877256544183962</v>
      </c>
      <c r="G67" s="241">
        <f>D67/C67</f>
        <v>9.6345376339569633E-2</v>
      </c>
      <c r="H67" s="242">
        <f>1-G67</f>
        <v>0.90365462366043037</v>
      </c>
      <c r="I67" s="157"/>
    </row>
    <row r="68" spans="1:9" ht="15.75" x14ac:dyDescent="0.25">
      <c r="A68" s="164"/>
      <c r="B68" s="165">
        <f>DATE(19,9,1)</f>
        <v>7184</v>
      </c>
      <c r="C68" s="226">
        <v>102382579.39</v>
      </c>
      <c r="D68" s="226">
        <v>10294221.539999999</v>
      </c>
      <c r="E68" s="226">
        <v>10737435.65</v>
      </c>
      <c r="F68" s="166">
        <f>(+D68-E68)/E68</f>
        <v>-4.1277463674485558E-2</v>
      </c>
      <c r="G68" s="241">
        <f>D68/C68</f>
        <v>0.10054661253245847</v>
      </c>
      <c r="H68" s="242">
        <f>1-G68</f>
        <v>0.89945338746754155</v>
      </c>
      <c r="I68" s="157"/>
    </row>
    <row r="69" spans="1:9" ht="15.75" x14ac:dyDescent="0.25">
      <c r="A69" s="164"/>
      <c r="B69" s="165">
        <f>DATE(19,10,1)</f>
        <v>7214</v>
      </c>
      <c r="C69" s="226">
        <v>100553757.09</v>
      </c>
      <c r="D69" s="226">
        <v>9880729.3699999992</v>
      </c>
      <c r="E69" s="226">
        <v>10634805.060000001</v>
      </c>
      <c r="F69" s="166">
        <f>(+D69-E69)/E69</f>
        <v>-7.0906395156809895E-2</v>
      </c>
      <c r="G69" s="241">
        <f>D69/C69</f>
        <v>9.8263154515015438E-2</v>
      </c>
      <c r="H69" s="242">
        <f>1-G69</f>
        <v>0.90173684548498456</v>
      </c>
      <c r="I69" s="157"/>
    </row>
    <row r="70" spans="1:9" ht="15.75" x14ac:dyDescent="0.25">
      <c r="A70" s="164"/>
      <c r="B70" s="165">
        <f>DATE(19,11,1)</f>
        <v>7245</v>
      </c>
      <c r="C70" s="226">
        <v>101636027.59</v>
      </c>
      <c r="D70" s="226">
        <v>10205648.99</v>
      </c>
      <c r="E70" s="226">
        <v>10364939.92</v>
      </c>
      <c r="F70" s="166">
        <f>(+D70-E70)/E70</f>
        <v>-1.5368244411396425E-2</v>
      </c>
      <c r="G70" s="241">
        <f>D70/C70</f>
        <v>0.10041369415941377</v>
      </c>
      <c r="H70" s="242">
        <f>1-G70</f>
        <v>0.89958630584058619</v>
      </c>
      <c r="I70" s="157"/>
    </row>
    <row r="71" spans="1:9" ht="15.75" thickBot="1" x14ac:dyDescent="0.25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7.25" thickTop="1" thickBot="1" x14ac:dyDescent="0.3">
      <c r="A72" s="174" t="s">
        <v>14</v>
      </c>
      <c r="B72" s="175"/>
      <c r="C72" s="228">
        <f>SUM(C66:C71)</f>
        <v>523529839.55000007</v>
      </c>
      <c r="D72" s="230">
        <f>SUM(D66:D71)</f>
        <v>51846710.530000001</v>
      </c>
      <c r="E72" s="271">
        <f>SUM(E66:E71)</f>
        <v>55006336.990000002</v>
      </c>
      <c r="F72" s="176">
        <f>(+D72-E72)/E72</f>
        <v>-5.7441135565424253E-2</v>
      </c>
      <c r="G72" s="249">
        <f>D72/C72</f>
        <v>9.9032961663779909E-2</v>
      </c>
      <c r="H72" s="270">
        <f>1-G72</f>
        <v>0.90096703833622005</v>
      </c>
      <c r="I72" s="157"/>
    </row>
    <row r="73" spans="1:9" ht="15.75" thickTop="1" x14ac:dyDescent="0.2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.75" x14ac:dyDescent="0.25">
      <c r="A74" s="164" t="s">
        <v>18</v>
      </c>
      <c r="B74" s="165">
        <f>DATE(19,7,1)</f>
        <v>7122</v>
      </c>
      <c r="C74" s="226">
        <v>139620069.69</v>
      </c>
      <c r="D74" s="226">
        <v>13562944.529999999</v>
      </c>
      <c r="E74" s="226">
        <v>14899456.869999999</v>
      </c>
      <c r="F74" s="166">
        <f>(+D74-E74)/E74</f>
        <v>-8.9702084556589609E-2</v>
      </c>
      <c r="G74" s="241">
        <f>D74/C74</f>
        <v>9.7141797451569506E-2</v>
      </c>
      <c r="H74" s="242">
        <f>1-G74</f>
        <v>0.90285820254843052</v>
      </c>
      <c r="I74" s="157"/>
    </row>
    <row r="75" spans="1:9" ht="15.75" x14ac:dyDescent="0.25">
      <c r="A75" s="164"/>
      <c r="B75" s="165">
        <f>DATE(19,8,1)</f>
        <v>7153</v>
      </c>
      <c r="C75" s="226">
        <v>145301923.24000001</v>
      </c>
      <c r="D75" s="226">
        <v>13870661.279999999</v>
      </c>
      <c r="E75" s="226">
        <v>14829432.529999999</v>
      </c>
      <c r="F75" s="166">
        <f>(+D75-E75)/E75</f>
        <v>-6.465326627033112E-2</v>
      </c>
      <c r="G75" s="241">
        <f>D75/C75</f>
        <v>9.5460961360362501E-2</v>
      </c>
      <c r="H75" s="242">
        <f>1-G75</f>
        <v>0.90453903863963747</v>
      </c>
      <c r="I75" s="157"/>
    </row>
    <row r="76" spans="1:9" ht="15.75" x14ac:dyDescent="0.25">
      <c r="A76" s="164"/>
      <c r="B76" s="165">
        <f>DATE(19,9,1)</f>
        <v>7184</v>
      </c>
      <c r="C76" s="226">
        <v>133117656.17</v>
      </c>
      <c r="D76" s="226">
        <v>12786448.43</v>
      </c>
      <c r="E76" s="226">
        <v>13962276.199999999</v>
      </c>
      <c r="F76" s="166">
        <f>(+D76-E76)/E76</f>
        <v>-8.4214618960195012E-2</v>
      </c>
      <c r="G76" s="241">
        <f>D76/C76</f>
        <v>9.6053737707572501E-2</v>
      </c>
      <c r="H76" s="242">
        <f>1-G76</f>
        <v>0.90394626229242747</v>
      </c>
      <c r="I76" s="157"/>
    </row>
    <row r="77" spans="1:9" ht="15.75" x14ac:dyDescent="0.25">
      <c r="A77" s="164"/>
      <c r="B77" s="165">
        <f>DATE(19,10,1)</f>
        <v>7214</v>
      </c>
      <c r="C77" s="226">
        <v>141018208.87</v>
      </c>
      <c r="D77" s="226">
        <v>13251508.66</v>
      </c>
      <c r="E77" s="226">
        <v>13179828.550000001</v>
      </c>
      <c r="F77" s="166">
        <f>(+D77-E77)/E77</f>
        <v>5.4386223408042283E-3</v>
      </c>
      <c r="G77" s="241">
        <f>D77/C77</f>
        <v>9.3970195524296612E-2</v>
      </c>
      <c r="H77" s="242">
        <f>1-G77</f>
        <v>0.90602980447570336</v>
      </c>
      <c r="I77" s="157"/>
    </row>
    <row r="78" spans="1:9" ht="15.75" x14ac:dyDescent="0.25">
      <c r="A78" s="164"/>
      <c r="B78" s="165">
        <f>DATE(19,11,1)</f>
        <v>7245</v>
      </c>
      <c r="C78" s="226">
        <v>143268625.12</v>
      </c>
      <c r="D78" s="226">
        <v>13769145.800000001</v>
      </c>
      <c r="E78" s="226">
        <v>12404366.57</v>
      </c>
      <c r="F78" s="166">
        <f>(+D78-E78)/E78</f>
        <v>0.11002409694185621</v>
      </c>
      <c r="G78" s="241">
        <f>D78/C78</f>
        <v>9.610719575529629E-2</v>
      </c>
      <c r="H78" s="242">
        <f>1-G78</f>
        <v>0.90389280424470375</v>
      </c>
      <c r="I78" s="157"/>
    </row>
    <row r="79" spans="1:9" ht="15.75" customHeight="1" thickBot="1" x14ac:dyDescent="0.3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81"/>
      <c r="C80" s="228">
        <f>SUM(C74:C79)</f>
        <v>702326483.09000003</v>
      </c>
      <c r="D80" s="228">
        <f>SUM(D74:D79)</f>
        <v>67240708.699999988</v>
      </c>
      <c r="E80" s="228">
        <f>SUM(E74:E79)</f>
        <v>69275360.719999999</v>
      </c>
      <c r="F80" s="176">
        <f>(+D80-E80)/E80</f>
        <v>-2.9370500548149447E-2</v>
      </c>
      <c r="G80" s="245">
        <f>D80/C80</f>
        <v>9.5739959006192546E-2</v>
      </c>
      <c r="H80" s="246">
        <f>1-G80</f>
        <v>0.90426004099380741</v>
      </c>
      <c r="I80" s="157"/>
    </row>
    <row r="81" spans="1:9" ht="15.75" thickTop="1" x14ac:dyDescent="0.2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.75" x14ac:dyDescent="0.25">
      <c r="A82" s="164" t="s">
        <v>58</v>
      </c>
      <c r="B82" s="165">
        <f>DATE(19,7,1)</f>
        <v>7122</v>
      </c>
      <c r="C82" s="226">
        <v>172895652.09999999</v>
      </c>
      <c r="D82" s="226">
        <v>16249508.9</v>
      </c>
      <c r="E82" s="226">
        <v>16699225.800000001</v>
      </c>
      <c r="F82" s="166">
        <f>(+D82-E82)/E82</f>
        <v>-2.6930404162808574E-2</v>
      </c>
      <c r="G82" s="241">
        <f>D82/C82</f>
        <v>9.3984485454854313E-2</v>
      </c>
      <c r="H82" s="242">
        <f>1-G82</f>
        <v>0.90601551454514573</v>
      </c>
      <c r="I82" s="157"/>
    </row>
    <row r="83" spans="1:9" ht="15.75" x14ac:dyDescent="0.25">
      <c r="A83" s="164"/>
      <c r="B83" s="165">
        <f>DATE(19,8,1)</f>
        <v>7153</v>
      </c>
      <c r="C83" s="226">
        <v>180380059.75</v>
      </c>
      <c r="D83" s="226">
        <v>16871517.800000001</v>
      </c>
      <c r="E83" s="226">
        <v>16622760.619999999</v>
      </c>
      <c r="F83" s="166">
        <f>(+D83-E83)/E83</f>
        <v>1.4964853653773038E-2</v>
      </c>
      <c r="G83" s="241">
        <f>D83/C83</f>
        <v>9.3533164493809856E-2</v>
      </c>
      <c r="H83" s="242">
        <f>1-G83</f>
        <v>0.90646683550619012</v>
      </c>
      <c r="I83" s="157"/>
    </row>
    <row r="84" spans="1:9" ht="15.75" x14ac:dyDescent="0.25">
      <c r="A84" s="164"/>
      <c r="B84" s="165">
        <f>DATE(19,9,1)</f>
        <v>7184</v>
      </c>
      <c r="C84" s="226">
        <v>169452200.19999999</v>
      </c>
      <c r="D84" s="226">
        <v>15944541.300000001</v>
      </c>
      <c r="E84" s="226">
        <v>16260476.050000001</v>
      </c>
      <c r="F84" s="166">
        <f>(+D84-E84)/E84</f>
        <v>-1.9429612578901096E-2</v>
      </c>
      <c r="G84" s="241">
        <f>D84/C84</f>
        <v>9.4094625393952261E-2</v>
      </c>
      <c r="H84" s="242">
        <f>1-G84</f>
        <v>0.9059053746060477</v>
      </c>
      <c r="I84" s="157"/>
    </row>
    <row r="85" spans="1:9" ht="15.75" x14ac:dyDescent="0.25">
      <c r="A85" s="164"/>
      <c r="B85" s="165">
        <f>DATE(19,10,1)</f>
        <v>7214</v>
      </c>
      <c r="C85" s="226">
        <v>171753334.46000001</v>
      </c>
      <c r="D85" s="226">
        <v>16080736.01</v>
      </c>
      <c r="E85" s="226">
        <v>15649969.25</v>
      </c>
      <c r="F85" s="166">
        <f>(+D85-E85)/E85</f>
        <v>2.7525086670697439E-2</v>
      </c>
      <c r="G85" s="241">
        <f>D85/C85</f>
        <v>9.3626921774523544E-2</v>
      </c>
      <c r="H85" s="242">
        <f>1-G85</f>
        <v>0.90637307822547641</v>
      </c>
      <c r="I85" s="157"/>
    </row>
    <row r="86" spans="1:9" ht="15.75" x14ac:dyDescent="0.25">
      <c r="A86" s="164"/>
      <c r="B86" s="165">
        <f>DATE(19,11,1)</f>
        <v>7245</v>
      </c>
      <c r="C86" s="226">
        <v>179944712.21000001</v>
      </c>
      <c r="D86" s="226">
        <v>17058482.91</v>
      </c>
      <c r="E86" s="226">
        <v>15252914.51</v>
      </c>
      <c r="F86" s="166">
        <f>(+D86-E86)/E86</f>
        <v>0.1183753045240139</v>
      </c>
      <c r="G86" s="241">
        <f>D86/C86</f>
        <v>9.4798467265280462E-2</v>
      </c>
      <c r="H86" s="242">
        <f>1-G86</f>
        <v>0.90520153273471959</v>
      </c>
      <c r="I86" s="157"/>
    </row>
    <row r="87" spans="1:9" ht="15.75" thickBot="1" x14ac:dyDescent="0.25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7.25" thickTop="1" thickBot="1" x14ac:dyDescent="0.3">
      <c r="A88" s="174" t="s">
        <v>14</v>
      </c>
      <c r="B88" s="175"/>
      <c r="C88" s="228">
        <f>SUM(C82:C87)</f>
        <v>874425958.72000003</v>
      </c>
      <c r="D88" s="228">
        <f>SUM(D82:D87)</f>
        <v>82204786.920000002</v>
      </c>
      <c r="E88" s="228">
        <f>SUM(E82:E87)</f>
        <v>80485346.230000004</v>
      </c>
      <c r="F88" s="176">
        <f>(+D88-E88)/E88</f>
        <v>2.1363400551032176E-2</v>
      </c>
      <c r="G88" s="249">
        <f>D88/C88</f>
        <v>9.401000290560084E-2</v>
      </c>
      <c r="H88" s="270">
        <f>1-G88</f>
        <v>0.9059899970943992</v>
      </c>
      <c r="I88" s="157"/>
    </row>
    <row r="89" spans="1:9" ht="15.75" thickTop="1" x14ac:dyDescent="0.2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.75" x14ac:dyDescent="0.25">
      <c r="A90" s="164" t="s">
        <v>59</v>
      </c>
      <c r="B90" s="165">
        <f>DATE(19,7,1)</f>
        <v>7122</v>
      </c>
      <c r="C90" s="226">
        <v>23534671.399999999</v>
      </c>
      <c r="D90" s="226">
        <v>2612988.94</v>
      </c>
      <c r="E90" s="226">
        <v>2665233.29</v>
      </c>
      <c r="F90" s="166">
        <f>(+D90-E90)/E90</f>
        <v>-1.9602167733692121E-2</v>
      </c>
      <c r="G90" s="241">
        <f>D90/C90</f>
        <v>0.11102721153778251</v>
      </c>
      <c r="H90" s="242">
        <f>1-G90</f>
        <v>0.8889727884622175</v>
      </c>
      <c r="I90" s="157"/>
    </row>
    <row r="91" spans="1:9" ht="15.75" x14ac:dyDescent="0.25">
      <c r="A91" s="164"/>
      <c r="B91" s="165">
        <f>DATE(19,8,1)</f>
        <v>7153</v>
      </c>
      <c r="C91" s="226">
        <v>25945368.859999999</v>
      </c>
      <c r="D91" s="226">
        <v>2826240.12</v>
      </c>
      <c r="E91" s="226">
        <v>2551392.61</v>
      </c>
      <c r="F91" s="166">
        <f>(+D91-E91)/E91</f>
        <v>0.10772450657838985</v>
      </c>
      <c r="G91" s="241">
        <f>D91/C91</f>
        <v>0.10893042743968143</v>
      </c>
      <c r="H91" s="242">
        <f>1-G91</f>
        <v>0.8910695725603186</v>
      </c>
      <c r="I91" s="157"/>
    </row>
    <row r="92" spans="1:9" ht="15.75" x14ac:dyDescent="0.25">
      <c r="A92" s="164"/>
      <c r="B92" s="165">
        <f>DATE(19,9,1)</f>
        <v>7184</v>
      </c>
      <c r="C92" s="226">
        <v>23331556.440000001</v>
      </c>
      <c r="D92" s="226">
        <v>2549839.52</v>
      </c>
      <c r="E92" s="226">
        <v>2483855.77</v>
      </c>
      <c r="F92" s="166">
        <f>(+D92-E92)/E92</f>
        <v>2.6565048903785585E-2</v>
      </c>
      <c r="G92" s="241">
        <f>D92/C92</f>
        <v>0.10928715906961584</v>
      </c>
      <c r="H92" s="242">
        <f>1-G92</f>
        <v>0.89071284093038416</v>
      </c>
      <c r="I92" s="157"/>
    </row>
    <row r="93" spans="1:9" ht="15.75" x14ac:dyDescent="0.25">
      <c r="A93" s="164"/>
      <c r="B93" s="165">
        <f>DATE(19,10,1)</f>
        <v>7214</v>
      </c>
      <c r="C93" s="226">
        <v>23351338.109999999</v>
      </c>
      <c r="D93" s="226">
        <v>2654170.6800000002</v>
      </c>
      <c r="E93" s="226">
        <v>2351894.38</v>
      </c>
      <c r="F93" s="166">
        <f>(+D93-E93)/E93</f>
        <v>0.12852460661945214</v>
      </c>
      <c r="G93" s="241">
        <f>D93/C93</f>
        <v>0.1136624662576992</v>
      </c>
      <c r="H93" s="242">
        <f>1-G93</f>
        <v>0.88633753374230084</v>
      </c>
      <c r="I93" s="157"/>
    </row>
    <row r="94" spans="1:9" ht="15.75" x14ac:dyDescent="0.25">
      <c r="A94" s="164"/>
      <c r="B94" s="165">
        <f>DATE(19,11,1)</f>
        <v>7245</v>
      </c>
      <c r="C94" s="226">
        <v>24764224.170000002</v>
      </c>
      <c r="D94" s="226">
        <v>2750246.46</v>
      </c>
      <c r="E94" s="226">
        <v>2270138.19</v>
      </c>
      <c r="F94" s="166">
        <f>(+D94-E94)/E94</f>
        <v>0.21148856581281514</v>
      </c>
      <c r="G94" s="241">
        <f>D94/C94</f>
        <v>0.11105724294531774</v>
      </c>
      <c r="H94" s="242">
        <f>1-G94</f>
        <v>0.88894275705468229</v>
      </c>
      <c r="I94" s="157"/>
    </row>
    <row r="95" spans="1:9" ht="15.75" thickBot="1" x14ac:dyDescent="0.25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82" t="s">
        <v>14</v>
      </c>
      <c r="B96" s="183"/>
      <c r="C96" s="230">
        <f>SUM(C90:C95)</f>
        <v>120927158.98</v>
      </c>
      <c r="D96" s="230">
        <f>SUM(D90:D95)</f>
        <v>13393485.719999999</v>
      </c>
      <c r="E96" s="230">
        <f>SUM(E90:E95)</f>
        <v>12322514.24</v>
      </c>
      <c r="F96" s="176">
        <f>(+D96-E96)/E96</f>
        <v>8.6911766474046984E-2</v>
      </c>
      <c r="G96" s="249">
        <f>D96/C96</f>
        <v>0.1107566392278771</v>
      </c>
      <c r="H96" s="246">
        <f>1-G96</f>
        <v>0.88924336077212285</v>
      </c>
      <c r="I96" s="157"/>
    </row>
    <row r="97" spans="1:9" ht="15.75" thickTop="1" x14ac:dyDescent="0.2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.75" x14ac:dyDescent="0.25">
      <c r="A98" s="164" t="s">
        <v>40</v>
      </c>
      <c r="B98" s="165">
        <f>DATE(19,7,1)</f>
        <v>7122</v>
      </c>
      <c r="C98" s="226">
        <v>209413515.11000001</v>
      </c>
      <c r="D98" s="226">
        <v>19119192.239999998</v>
      </c>
      <c r="E98" s="226">
        <v>19406302.420000002</v>
      </c>
      <c r="F98" s="166">
        <f>(+D98-E98)/E98</f>
        <v>-1.4794687508533808E-2</v>
      </c>
      <c r="G98" s="241">
        <f>D98/C98</f>
        <v>9.1298750369369117E-2</v>
      </c>
      <c r="H98" s="242">
        <f>1-G98</f>
        <v>0.90870124963063093</v>
      </c>
      <c r="I98" s="157"/>
    </row>
    <row r="99" spans="1:9" ht="15.75" x14ac:dyDescent="0.25">
      <c r="A99" s="164"/>
      <c r="B99" s="165">
        <f>DATE(19,8,1)</f>
        <v>7153</v>
      </c>
      <c r="C99" s="226">
        <v>212666539.37</v>
      </c>
      <c r="D99" s="226">
        <v>19394509.940000001</v>
      </c>
      <c r="E99" s="226">
        <v>19632454.710000001</v>
      </c>
      <c r="F99" s="166">
        <f>(+D99-E99)/E99</f>
        <v>-1.2119970401806139E-2</v>
      </c>
      <c r="G99" s="241">
        <f>D99/C99</f>
        <v>9.119680979177068E-2</v>
      </c>
      <c r="H99" s="242">
        <f>1-G99</f>
        <v>0.90880319020822931</v>
      </c>
      <c r="I99" s="157"/>
    </row>
    <row r="100" spans="1:9" ht="15.75" x14ac:dyDescent="0.25">
      <c r="A100" s="164"/>
      <c r="B100" s="165">
        <f>DATE(19,9,1)</f>
        <v>7184</v>
      </c>
      <c r="C100" s="226">
        <v>194172445.72</v>
      </c>
      <c r="D100" s="226">
        <v>17543226.640000001</v>
      </c>
      <c r="E100" s="226">
        <v>18357005.34</v>
      </c>
      <c r="F100" s="166">
        <f>(+D100-E100)/E100</f>
        <v>-4.4330689288779125E-2</v>
      </c>
      <c r="G100" s="241">
        <f>D100/C100</f>
        <v>9.0348692755807564E-2</v>
      </c>
      <c r="H100" s="242">
        <f>1-G100</f>
        <v>0.90965130724419241</v>
      </c>
      <c r="I100" s="157"/>
    </row>
    <row r="101" spans="1:9" ht="15.75" x14ac:dyDescent="0.25">
      <c r="A101" s="164"/>
      <c r="B101" s="165">
        <f>DATE(19,10,1)</f>
        <v>7214</v>
      </c>
      <c r="C101" s="226">
        <v>194408213.02000001</v>
      </c>
      <c r="D101" s="226">
        <v>18312994.41</v>
      </c>
      <c r="E101" s="226">
        <v>17743741.07</v>
      </c>
      <c r="F101" s="166">
        <f>(+D101-E101)/E101</f>
        <v>3.2081923296460715E-2</v>
      </c>
      <c r="G101" s="241">
        <f>D101/C101</f>
        <v>9.4198666432451728E-2</v>
      </c>
      <c r="H101" s="242">
        <f>1-G101</f>
        <v>0.90580133356754833</v>
      </c>
      <c r="I101" s="157"/>
    </row>
    <row r="102" spans="1:9" ht="15.75" x14ac:dyDescent="0.25">
      <c r="A102" s="164"/>
      <c r="B102" s="165">
        <f>DATE(19,11,1)</f>
        <v>7245</v>
      </c>
      <c r="C102" s="226">
        <v>194099111.36000001</v>
      </c>
      <c r="D102" s="226">
        <v>17726569.68</v>
      </c>
      <c r="E102" s="226">
        <v>17751037.91</v>
      </c>
      <c r="F102" s="166">
        <f>(+D102-E102)/E102</f>
        <v>-1.3784112300394748E-3</v>
      </c>
      <c r="G102" s="241">
        <f>D102/C102</f>
        <v>9.1327412865492882E-2</v>
      </c>
      <c r="H102" s="242">
        <f>1-G102</f>
        <v>0.90867258713450716</v>
      </c>
      <c r="I102" s="157"/>
    </row>
    <row r="103" spans="1:9" ht="15.75" thickBot="1" x14ac:dyDescent="0.25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SUM(C98:C103)</f>
        <v>1004759824.58</v>
      </c>
      <c r="D104" s="228">
        <f>SUM(D98:D103)</f>
        <v>92096492.909999996</v>
      </c>
      <c r="E104" s="228">
        <f>SUM(E98:E103)</f>
        <v>92890541.449999988</v>
      </c>
      <c r="F104" s="176">
        <f>(+D104-E104)/E104</f>
        <v>-8.5482173707363152E-3</v>
      </c>
      <c r="G104" s="245">
        <f>D104/C104</f>
        <v>9.1660206406538283E-2</v>
      </c>
      <c r="H104" s="246">
        <f>1-G104</f>
        <v>0.90833979359346173</v>
      </c>
      <c r="I104" s="157"/>
    </row>
    <row r="105" spans="1:9" ht="15.75" thickTop="1" x14ac:dyDescent="0.2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.75" x14ac:dyDescent="0.25">
      <c r="A106" s="164" t="s">
        <v>64</v>
      </c>
      <c r="B106" s="165">
        <f>DATE(19,7,1)</f>
        <v>7122</v>
      </c>
      <c r="C106" s="226">
        <v>30055377.399999999</v>
      </c>
      <c r="D106" s="226">
        <v>3293709.88</v>
      </c>
      <c r="E106" s="226">
        <v>3425449</v>
      </c>
      <c r="F106" s="166">
        <f>(+D106-E106)/E106</f>
        <v>-3.8458934872479526E-2</v>
      </c>
      <c r="G106" s="241">
        <f>D106/C106</f>
        <v>0.10958803931039642</v>
      </c>
      <c r="H106" s="242">
        <f>1-G106</f>
        <v>0.8904119606896036</v>
      </c>
      <c r="I106" s="157"/>
    </row>
    <row r="107" spans="1:9" ht="15.75" x14ac:dyDescent="0.25">
      <c r="A107" s="164"/>
      <c r="B107" s="165">
        <f>DATE(19,8,1)</f>
        <v>7153</v>
      </c>
      <c r="C107" s="226">
        <v>32273780.59</v>
      </c>
      <c r="D107" s="226">
        <v>3283356.99</v>
      </c>
      <c r="E107" s="226">
        <v>3421840.59</v>
      </c>
      <c r="F107" s="166">
        <f>(+D107-E107)/E107</f>
        <v>-4.0470500117598882E-2</v>
      </c>
      <c r="G107" s="241">
        <f>D107/C107</f>
        <v>0.1017345018146819</v>
      </c>
      <c r="H107" s="242">
        <f>1-G107</f>
        <v>0.89826549818531809</v>
      </c>
      <c r="I107" s="157"/>
    </row>
    <row r="108" spans="1:9" ht="15.75" x14ac:dyDescent="0.25">
      <c r="A108" s="164"/>
      <c r="B108" s="165">
        <f>DATE(19,9,1)</f>
        <v>7184</v>
      </c>
      <c r="C108" s="226">
        <v>27948254.77</v>
      </c>
      <c r="D108" s="226">
        <v>3164787.25</v>
      </c>
      <c r="E108" s="226">
        <v>3252949</v>
      </c>
      <c r="F108" s="166">
        <f>(+D108-E108)/E108</f>
        <v>-2.7102100278854666E-2</v>
      </c>
      <c r="G108" s="241">
        <f>D108/C108</f>
        <v>0.11323738373091981</v>
      </c>
      <c r="H108" s="242">
        <f>1-G108</f>
        <v>0.88676261626908015</v>
      </c>
      <c r="I108" s="157"/>
    </row>
    <row r="109" spans="1:9" ht="15.75" x14ac:dyDescent="0.25">
      <c r="A109" s="164"/>
      <c r="B109" s="165">
        <f>DATE(19,10,1)</f>
        <v>7214</v>
      </c>
      <c r="C109" s="226">
        <v>28019367.18</v>
      </c>
      <c r="D109" s="226">
        <v>3114034.79</v>
      </c>
      <c r="E109" s="226">
        <v>3250399.43</v>
      </c>
      <c r="F109" s="166">
        <f>(+D109-E109)/E109</f>
        <v>-4.1953194657064076E-2</v>
      </c>
      <c r="G109" s="241">
        <f>D109/C109</f>
        <v>0.11113865527351285</v>
      </c>
      <c r="H109" s="242">
        <f>1-G109</f>
        <v>0.88886134472648715</v>
      </c>
      <c r="I109" s="157"/>
    </row>
    <row r="110" spans="1:9" ht="15.75" x14ac:dyDescent="0.25">
      <c r="A110" s="164"/>
      <c r="B110" s="165">
        <f>DATE(19,11,1)</f>
        <v>7245</v>
      </c>
      <c r="C110" s="226">
        <v>29444428.43</v>
      </c>
      <c r="D110" s="226">
        <v>3192066.7</v>
      </c>
      <c r="E110" s="226">
        <v>3195617.35</v>
      </c>
      <c r="F110" s="166">
        <f>(+D110-E110)/E110</f>
        <v>-1.1110998630671181E-3</v>
      </c>
      <c r="G110" s="241">
        <f>D110/C110</f>
        <v>0.10840987141552744</v>
      </c>
      <c r="H110" s="242">
        <f>1-G110</f>
        <v>0.89159012858447251</v>
      </c>
      <c r="I110" s="157"/>
    </row>
    <row r="111" spans="1:9" ht="15.75" thickBot="1" x14ac:dyDescent="0.25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7.25" thickTop="1" thickBot="1" x14ac:dyDescent="0.3">
      <c r="A112" s="169" t="s">
        <v>14</v>
      </c>
      <c r="B112" s="155"/>
      <c r="C112" s="223">
        <f>SUM(C106:C111)</f>
        <v>147741208.37</v>
      </c>
      <c r="D112" s="223">
        <f>SUM(D106:D111)</f>
        <v>16047955.609999999</v>
      </c>
      <c r="E112" s="223">
        <f>SUM(E106:E111)</f>
        <v>16546255.369999999</v>
      </c>
      <c r="F112" s="176">
        <f>(+D112-E112)/E112</f>
        <v>-3.0115560823717649E-2</v>
      </c>
      <c r="G112" s="245">
        <f>D112/C112</f>
        <v>0.10862206818973508</v>
      </c>
      <c r="H112" s="246">
        <f>1-G112</f>
        <v>0.89137793181026492</v>
      </c>
      <c r="I112" s="157"/>
    </row>
    <row r="113" spans="1:9" ht="16.5" thickTop="1" thickBot="1" x14ac:dyDescent="0.25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7.25" thickTop="1" thickBot="1" x14ac:dyDescent="0.3">
      <c r="A114" s="184" t="s">
        <v>41</v>
      </c>
      <c r="B114" s="155"/>
      <c r="C114" s="223">
        <f>C112+C104+C80+C64+C48+C32+C16+C40+C96+C24+C72+C88+C56</f>
        <v>6335272768.9000006</v>
      </c>
      <c r="D114" s="223">
        <f>D112+D104+D80+D64+D48+D32+D16+D40+D96+D24+D72+D88+D56</f>
        <v>615743759.56999993</v>
      </c>
      <c r="E114" s="223">
        <f>E112+E104+E80+E64+E48+E32+E16+E40+E96+E24+E72+E88+E56</f>
        <v>614174520.24000001</v>
      </c>
      <c r="F114" s="170">
        <f>(+D114-E114)/E114</f>
        <v>2.5550381500468538E-3</v>
      </c>
      <c r="G114" s="236">
        <f>D114/C114</f>
        <v>9.7192935810546346E-2</v>
      </c>
      <c r="H114" s="237">
        <f>1-G114</f>
        <v>0.90280706418945367</v>
      </c>
      <c r="I114" s="157"/>
    </row>
    <row r="115" spans="1:9" ht="17.25" thickTop="1" thickBot="1" x14ac:dyDescent="0.3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7.25" thickTop="1" thickBot="1" x14ac:dyDescent="0.3">
      <c r="A116" s="184" t="s">
        <v>42</v>
      </c>
      <c r="B116" s="155"/>
      <c r="C116" s="223">
        <f>SUM(C14+C22+C30+C38+C46+C54+C62+C70+C78+C86+C94+C102+C110)</f>
        <v>1267482963.6300001</v>
      </c>
      <c r="D116" s="223">
        <f>SUM(D14+D22+D30+D38+D46+D54+D62+D70+D78+D86+D94+D102+D110)</f>
        <v>123847122.27999999</v>
      </c>
      <c r="E116" s="223">
        <f>SUM(E14+E22+E30+E38+E46+E54+E62+E70+E78+E86+E94+E102+E110)</f>
        <v>114840637.05</v>
      </c>
      <c r="F116" s="170">
        <f>(+D116-E116)/E116</f>
        <v>7.8425942779111302E-2</v>
      </c>
      <c r="G116" s="236">
        <f>D116/C116</f>
        <v>9.7711074494688882E-2</v>
      </c>
      <c r="H116" s="246">
        <f>1-G116</f>
        <v>0.90228892550531115</v>
      </c>
      <c r="I116" s="157"/>
    </row>
    <row r="117" spans="1:9" ht="16.5" thickTop="1" x14ac:dyDescent="0.25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9" ht="16.5" customHeight="1" x14ac:dyDescent="0.3">
      <c r="A118" s="188" t="s">
        <v>52</v>
      </c>
      <c r="B118" s="189"/>
      <c r="C118" s="232"/>
      <c r="D118" s="232"/>
      <c r="E118" s="232"/>
      <c r="F118" s="190"/>
      <c r="G118" s="251"/>
      <c r="H118" s="251"/>
      <c r="I118" s="151"/>
    </row>
    <row r="119" spans="1:9" ht="15.75" x14ac:dyDescent="0.25">
      <c r="A119" s="191"/>
      <c r="B119" s="189"/>
      <c r="C119" s="232"/>
      <c r="D119" s="232"/>
      <c r="E119" s="232"/>
      <c r="F119" s="190"/>
      <c r="G119" s="257"/>
      <c r="H119" s="257"/>
      <c r="I119" s="151"/>
    </row>
    <row r="120" spans="1:9" ht="15.75" x14ac:dyDescent="0.25">
      <c r="A120" s="72"/>
      <c r="I120" s="151"/>
    </row>
  </sheetData>
  <phoneticPr fontId="0" type="noConversion"/>
  <printOptions horizontalCentered="1"/>
  <pageMargins left="0.75" right="0.25" top="0.31940000000000002" bottom="0.2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2019-12-09T22:44:59Z</cp:lastPrinted>
  <dcterms:created xsi:type="dcterms:W3CDTF">2003-09-09T14:41:43Z</dcterms:created>
  <dcterms:modified xsi:type="dcterms:W3CDTF">2019-12-09T22:45:11Z</dcterms:modified>
</cp:coreProperties>
</file>