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STATS'!$A$1:$M$91</definedName>
    <definedName name="_xlnm.Print_Area" localSheetId="3">'SLOT STATS'!$A$1:$I$92</definedName>
    <definedName name="_xlnm.Print_Area" localSheetId="2">'TABLE STATS'!$A$1:$H$91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<sst xmlns="http://schemas.openxmlformats.org/spreadsheetml/2006/main" count="192" uniqueCount="75">
  <si>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</si>
  <si>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</si>
  <si>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</si>
  <si>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</si>
  <si>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</si>
  <si>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</si>
  <si>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</si>
  <si>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</si>
  <si>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</si>
  <si>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</si>
  <si>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</si>
  <si>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</si>
  <si>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</si>
  <si>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</si>
  <si>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</si>
  <si>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</si>
  <si>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</si>
  <si>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</si>
  <si>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</si>
  <si>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</si>
  <si>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</si>
  <si>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</si>
  <si>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</si>
  <si>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</si>
  <si>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</si>
  <si>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</si>
  <si>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</si>
  <si>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</si>
  <si>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</si>
  <si>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</si>
  <si>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</si>
  <si>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</si>
  <si>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</si>
  <si>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</si>
  <si>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</si>
  <si>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</si>
  <si>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</si>
  <si>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</si>
  <si>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</si>
  <si>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</si>
  <si>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</si>
  <si>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</si>
  <si>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</si>
  <si>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</si>
  <si>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</si>
  <si>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</si>
  <si>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</si>
  <si>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</si>
  <si>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</si>
  <si>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</si>
  <si>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</si>
  <si>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</si>
  <si>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</si>
  <si>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</si>
  <si>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</si>
  <si>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</si>
  <si>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</si>
  <si>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</si>
  <si>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</si>
  <si>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</si>
  <si>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</si>
  <si>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</si>
  <si>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</si>
  <si>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</si>
  <si>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</si>
  <si>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</si>
  <si>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</si>
  <si>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</si>
  <si>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</si>
  <si>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SEPTEMBER 30, 2018</t>
  </si>
  <si>
    <t>(as reported on the tax remittal database dtd 10/9/18)</t>
  </si>
  <si>
    <t>FOR THE MONTH ENDED:   SEPTEMBER 30, 2018</t>
  </si>
  <si>
    <t>THRU MONTH ENDED:   SEPTEMBER 30, 2018</t>
  </si>
  <si>
    <t>(as reported on the tax remittal database as of 10/9/18)</t>
  </si>
  <si>
    <t>THRU MONTH ENDED:     SEPTEMBER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</si>
</sst>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14" fillId="0" borderId="23" xfId="55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1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>(+C9-D9)/D9</f>
        <v>-0.11384965785112203</v>
      </c>
      <c r="F9" s="21">
        <f>+C9-122888</f>
        <v>138568</v>
      </c>
      <c r="G9" s="21">
        <f>+D9-138811</f>
        <v>156236</v>
      </c>
      <c r="H9" s="23">
        <f>(+F9-G9)/G9</f>
        <v>-0.11308533244578714</v>
      </c>
      <c r="I9" s="24">
        <f>K9/C9</f>
        <v>51.156026597209475</v>
      </c>
      <c r="J9" s="24">
        <f>K9/F9</f>
        <v>96.52336823797702</v>
      </c>
      <c r="K9" s="21">
        <v>13375050.09</v>
      </c>
      <c r="L9" s="21">
        <v>14143686.63</v>
      </c>
      <c r="M9" s="25">
        <f>(+K9-L9)/L9</f>
        <v>-0.05434485082338118</v>
      </c>
      <c r="N9" s="10"/>
      <c r="R9" s="2"/>
    </row>
    <row r="10" spans="1:18" ht="15.75">
      <c r="A10" s="19"/>
      <c r="B10" s="20">
        <f>DATE(2018,8,1)</f>
        <v>43313</v>
      </c>
      <c r="C10" s="21">
        <v>266367</v>
      </c>
      <c r="D10" s="22">
        <v>268688</v>
      </c>
      <c r="E10" s="23">
        <f>(+C10-D10)/D10</f>
        <v>-0.008638271899005538</v>
      </c>
      <c r="F10" s="21">
        <f>+C10-122166</f>
        <v>144201</v>
      </c>
      <c r="G10" s="21">
        <f>+D10-125473</f>
        <v>143215</v>
      </c>
      <c r="H10" s="23">
        <f>(+F10-G10)/G10</f>
        <v>0.006884753692001536</v>
      </c>
      <c r="I10" s="24">
        <f>K10/C10</f>
        <v>52.40101754346447</v>
      </c>
      <c r="J10" s="24">
        <f>K10/F10</f>
        <v>96.79476453006568</v>
      </c>
      <c r="K10" s="21">
        <v>13957901.84</v>
      </c>
      <c r="L10" s="21">
        <v>13000027.54</v>
      </c>
      <c r="M10" s="25">
        <f>(+K10-L10)/L10</f>
        <v>0.07368248236803357</v>
      </c>
      <c r="N10" s="10"/>
      <c r="R10" s="2"/>
    </row>
    <row r="11" spans="1:18" ht="15.75">
      <c r="A11" s="19"/>
      <c r="B11" s="20">
        <f>DATE(2018,9,1)</f>
        <v>43344</v>
      </c>
      <c r="C11" s="21">
        <v>263626</v>
      </c>
      <c r="D11" s="22">
        <v>281607</v>
      </c>
      <c r="E11" s="23">
        <f>(+C11-D11)/D11</f>
        <v>-0.0638513957394525</v>
      </c>
      <c r="F11" s="21">
        <f>+C11-122145</f>
        <v>141481</v>
      </c>
      <c r="G11" s="21">
        <f>+D11-134639</f>
        <v>146968</v>
      </c>
      <c r="H11" s="23">
        <f>(+F11-G11)/G11</f>
        <v>-0.0373346578847096</v>
      </c>
      <c r="I11" s="24">
        <f>K11/C11</f>
        <v>51.34585473359988</v>
      </c>
      <c r="J11" s="24">
        <f>K11/F11</f>
        <v>95.67434708547438</v>
      </c>
      <c r="K11" s="21">
        <v>13536102.3</v>
      </c>
      <c r="L11" s="21">
        <v>13577167.09</v>
      </c>
      <c r="M11" s="25">
        <f>(+K11-L11)/L11</f>
        <v>-0.0030245477372260214</v>
      </c>
      <c r="N11" s="10"/>
      <c r="R11" s="2"/>
    </row>
    <row r="12" spans="1:18" ht="15.75" customHeight="1" thickBot="1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7.25" thickBot="1" thickTop="1">
      <c r="A13" s="26" t="s">
        <v>14</v>
      </c>
      <c r="B13" s="27"/>
      <c r="C13" s="28">
        <f>SUM(C9:C12)</f>
        <v>791449</v>
      </c>
      <c r="D13" s="28">
        <f>SUM(D9:D12)</f>
        <v>845342</v>
      </c>
      <c r="E13" s="279">
        <f>(+C13-D13)/D13</f>
        <v>-0.06375289527788754</v>
      </c>
      <c r="F13" s="28">
        <f>SUM(F9:F12)</f>
        <v>424250</v>
      </c>
      <c r="G13" s="28">
        <f>SUM(G9:G12)</f>
        <v>446419</v>
      </c>
      <c r="H13" s="30">
        <f>(+F13-G13)/G13</f>
        <v>-0.04965962470235362</v>
      </c>
      <c r="I13" s="31">
        <f>K13/C13</f>
        <v>51.63826630648343</v>
      </c>
      <c r="J13" s="31">
        <f>K13/F13</f>
        <v>96.3324790335887</v>
      </c>
      <c r="K13" s="28">
        <f>SUM(K9:K12)</f>
        <v>40869054.230000004</v>
      </c>
      <c r="L13" s="28">
        <f>SUM(L9:L12)</f>
        <v>40720881.260000005</v>
      </c>
      <c r="M13" s="32">
        <f>(+K13-L13)/L13</f>
        <v>0.0036387466433725896</v>
      </c>
      <c r="N13" s="10"/>
      <c r="R13" s="2"/>
    </row>
    <row r="14" spans="1:18" ht="15.75" customHeight="1" thickTop="1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.75">
      <c r="A15" s="19" t="s">
        <v>15</v>
      </c>
      <c r="B15" s="20">
        <f>DATE(2018,7,1)</f>
        <v>43282</v>
      </c>
      <c r="C15" s="21">
        <v>142477</v>
      </c>
      <c r="D15" s="21">
        <v>154485</v>
      </c>
      <c r="E15" s="23">
        <f>(+C15-D15)/D15</f>
        <v>-0.07772922937502023</v>
      </c>
      <c r="F15" s="21">
        <f>+C15-67443</f>
        <v>75034</v>
      </c>
      <c r="G15" s="21">
        <f>+D15-74453</f>
        <v>80032</v>
      </c>
      <c r="H15" s="23">
        <f>(+F15-G15)/G15</f>
        <v>-0.0624500199920032</v>
      </c>
      <c r="I15" s="24">
        <f>K15/C15</f>
        <v>51.76168967622844</v>
      </c>
      <c r="J15" s="24">
        <f>K15/F15</f>
        <v>98.28678012634272</v>
      </c>
      <c r="K15" s="21">
        <v>7374850.26</v>
      </c>
      <c r="L15" s="21">
        <v>7453089.46</v>
      </c>
      <c r="M15" s="25">
        <f>(+K15-L15)/L15</f>
        <v>-0.010497552782628237</v>
      </c>
      <c r="N15" s="10"/>
      <c r="R15" s="2"/>
    </row>
    <row r="16" spans="1:18" ht="15.75">
      <c r="A16" s="19"/>
      <c r="B16" s="20">
        <f>DATE(2018,8,1)</f>
        <v>43313</v>
      </c>
      <c r="C16" s="21">
        <v>137832</v>
      </c>
      <c r="D16" s="21">
        <v>146885</v>
      </c>
      <c r="E16" s="23">
        <f>(+C16-D16)/D16</f>
        <v>-0.06163325050209347</v>
      </c>
      <c r="F16" s="21">
        <f>+C16-65951</f>
        <v>71881</v>
      </c>
      <c r="G16" s="21">
        <f>+D16-69501</f>
        <v>77384</v>
      </c>
      <c r="H16" s="23">
        <f>(+F16-G16)/G16</f>
        <v>-0.07111289155380958</v>
      </c>
      <c r="I16" s="24">
        <f>K16/C16</f>
        <v>51.50183745429218</v>
      </c>
      <c r="J16" s="24">
        <f>K16/F16</f>
        <v>98.75490407757265</v>
      </c>
      <c r="K16" s="21">
        <v>7098601.26</v>
      </c>
      <c r="L16" s="21">
        <v>6887015.31</v>
      </c>
      <c r="M16" s="25">
        <f>(+K16-L16)/L16</f>
        <v>0.030722445134218845</v>
      </c>
      <c r="N16" s="10"/>
      <c r="R16" s="2"/>
    </row>
    <row r="17" spans="1:18" ht="15.75">
      <c r="A17" s="19"/>
      <c r="B17" s="20">
        <f>DATE(2018,9,1)</f>
        <v>43344</v>
      </c>
      <c r="C17" s="21">
        <v>137262</v>
      </c>
      <c r="D17" s="21">
        <v>147791</v>
      </c>
      <c r="E17" s="23">
        <f>(+C17-D17)/D17</f>
        <v>-0.07124249785169598</v>
      </c>
      <c r="F17" s="21">
        <f>+C17-65092</f>
        <v>72170</v>
      </c>
      <c r="G17" s="21">
        <f>+D17-70004</f>
        <v>77787</v>
      </c>
      <c r="H17" s="23">
        <f>(+F17-G17)/G17</f>
        <v>-0.07221000938460154</v>
      </c>
      <c r="I17" s="24">
        <f>K17/C17</f>
        <v>47.466560883565734</v>
      </c>
      <c r="J17" s="24">
        <f>K17/F17</f>
        <v>90.27788665650547</v>
      </c>
      <c r="K17" s="21">
        <v>6515355.08</v>
      </c>
      <c r="L17" s="21">
        <v>6683115.09</v>
      </c>
      <c r="M17" s="25">
        <f>(+K17-L17)/L17</f>
        <v>-0.02510206808364268</v>
      </c>
      <c r="N17" s="10"/>
      <c r="R17" s="2"/>
    </row>
    <row r="18" spans="1:18" ht="15.75" customHeight="1" thickBot="1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Bot="1" thickTop="1">
      <c r="A19" s="26" t="s">
        <v>14</v>
      </c>
      <c r="B19" s="27"/>
      <c r="C19" s="28">
        <f>SUM(C15:C18)</f>
        <v>417571</v>
      </c>
      <c r="D19" s="28">
        <f>SUM(D15:D18)</f>
        <v>449161</v>
      </c>
      <c r="E19" s="279">
        <f>(+C19-D19)/D19</f>
        <v>-0.07033112848176934</v>
      </c>
      <c r="F19" s="28">
        <f>SUM(F15:F18)</f>
        <v>219085</v>
      </c>
      <c r="G19" s="28">
        <f>SUM(G15:G18)</f>
        <v>235203</v>
      </c>
      <c r="H19" s="30">
        <f>(+F19-G19)/G19</f>
        <v>-0.0685280374825151</v>
      </c>
      <c r="I19" s="31">
        <f>K19/C19</f>
        <v>50.26404276159025</v>
      </c>
      <c r="J19" s="31">
        <f>K19/F19</f>
        <v>95.80211607367005</v>
      </c>
      <c r="K19" s="28">
        <f>SUM(K15:K18)</f>
        <v>20988806.6</v>
      </c>
      <c r="L19" s="28">
        <f>SUM(L15:L18)</f>
        <v>21023219.86</v>
      </c>
      <c r="M19" s="32">
        <f>(+K19-L19)/L19</f>
        <v>-0.0016369167153826225</v>
      </c>
      <c r="N19" s="10"/>
      <c r="R19" s="2"/>
    </row>
    <row r="20" spans="1:18" ht="15.75" customHeight="1" thickTop="1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>
      <c r="A21" s="19" t="s">
        <v>56</v>
      </c>
      <c r="B21" s="20">
        <f>DATE(2018,7,1)</f>
        <v>43282</v>
      </c>
      <c r="C21" s="21">
        <v>72910</v>
      </c>
      <c r="D21" s="21">
        <v>74865</v>
      </c>
      <c r="E21" s="23">
        <f>(+C21-D21)/D21</f>
        <v>-0.026113671274961597</v>
      </c>
      <c r="F21" s="21">
        <f>+C21-39365</f>
        <v>33545</v>
      </c>
      <c r="G21" s="21">
        <f>+D21-41129</f>
        <v>33736</v>
      </c>
      <c r="H21" s="23">
        <f>(+F21-G21)/G21</f>
        <v>-0.0056616077780412616</v>
      </c>
      <c r="I21" s="24">
        <f>K21/C21</f>
        <v>44.78074132492114</v>
      </c>
      <c r="J21" s="24">
        <f>K21/F21</f>
        <v>97.33086451035922</v>
      </c>
      <c r="K21" s="21">
        <v>3264963.85</v>
      </c>
      <c r="L21" s="21">
        <v>3281831.24</v>
      </c>
      <c r="M21" s="25">
        <f>(+K21-L21)/L21</f>
        <v>-0.005139627472130507</v>
      </c>
      <c r="N21" s="10"/>
      <c r="R21" s="2"/>
    </row>
    <row r="22" spans="1:18" ht="15.75" customHeight="1">
      <c r="A22" s="19"/>
      <c r="B22" s="20">
        <f>DATE(2018,8,1)</f>
        <v>43313</v>
      </c>
      <c r="C22" s="21">
        <v>70597</v>
      </c>
      <c r="D22" s="21">
        <v>67175</v>
      </c>
      <c r="E22" s="23">
        <f>(+C22-D22)/D22</f>
        <v>0.05094157052474879</v>
      </c>
      <c r="F22" s="21">
        <f>+C22-38383</f>
        <v>32214</v>
      </c>
      <c r="G22" s="21">
        <f>+D22-36831</f>
        <v>30344</v>
      </c>
      <c r="H22" s="23">
        <f>(+F22-G22)/G22</f>
        <v>0.06162668072765621</v>
      </c>
      <c r="I22" s="24">
        <f>K22/C22</f>
        <v>44.26041134892417</v>
      </c>
      <c r="J22" s="24">
        <f>K22/F22</f>
        <v>96.9967175762091</v>
      </c>
      <c r="K22" s="21">
        <v>3124652.26</v>
      </c>
      <c r="L22" s="21">
        <v>2914048.09</v>
      </c>
      <c r="M22" s="25">
        <f>(+K22-L22)/L22</f>
        <v>0.07227202966303824</v>
      </c>
      <c r="N22" s="10"/>
      <c r="R22" s="2"/>
    </row>
    <row r="23" spans="1:18" ht="15.75" customHeight="1">
      <c r="A23" s="19"/>
      <c r="B23" s="20">
        <f>DATE(2018,9,1)</f>
        <v>43344</v>
      </c>
      <c r="C23" s="21">
        <v>67726</v>
      </c>
      <c r="D23" s="21">
        <v>69904</v>
      </c>
      <c r="E23" s="23">
        <f>(+C23-D23)/D23</f>
        <v>-0.031157015335317007</v>
      </c>
      <c r="F23" s="21">
        <f>+C23-35971</f>
        <v>31755</v>
      </c>
      <c r="G23" s="21">
        <f>+D23-38362</f>
        <v>31542</v>
      </c>
      <c r="H23" s="23">
        <f>(+F23-G23)/G23</f>
        <v>0.0067529008940460334</v>
      </c>
      <c r="I23" s="24">
        <f>K23/C23</f>
        <v>46.168822018131884</v>
      </c>
      <c r="J23" s="24">
        <f>K23/F23</f>
        <v>98.46731664304835</v>
      </c>
      <c r="K23" s="21">
        <v>3126829.64</v>
      </c>
      <c r="L23" s="21">
        <v>3243425.56</v>
      </c>
      <c r="M23" s="25">
        <f>(+K23-L23)/L23</f>
        <v>-0.035948387852009135</v>
      </c>
      <c r="N23" s="10"/>
      <c r="R23" s="2"/>
    </row>
    <row r="24" spans="1:18" ht="15.75" customHeight="1" thickBot="1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Bot="1" thickTop="1">
      <c r="A25" s="39" t="s">
        <v>14</v>
      </c>
      <c r="B25" s="40"/>
      <c r="C25" s="41">
        <f>SUM(C21:C24)</f>
        <v>211233</v>
      </c>
      <c r="D25" s="41">
        <f>SUM(D21:D24)</f>
        <v>211944</v>
      </c>
      <c r="E25" s="280">
        <f>(+C25-D25)/D25</f>
        <v>-0.003354659721435851</v>
      </c>
      <c r="F25" s="41">
        <f>SUM(F21:F24)</f>
        <v>97514</v>
      </c>
      <c r="G25" s="41">
        <f>SUM(G21:G24)</f>
        <v>95622</v>
      </c>
      <c r="H25" s="42">
        <f>(+F25-G25)/G25</f>
        <v>0.01978624165986907</v>
      </c>
      <c r="I25" s="43">
        <f>K25/C25</f>
        <v>45.05188938281424</v>
      </c>
      <c r="J25" s="43">
        <f>K25/F25</f>
        <v>97.59055879155814</v>
      </c>
      <c r="K25" s="41">
        <f>SUM(K21:K24)</f>
        <v>9516445.75</v>
      </c>
      <c r="L25" s="41">
        <f>SUM(L21:L24)</f>
        <v>9439304.89</v>
      </c>
      <c r="M25" s="44">
        <f>(+K25-L25)/L25</f>
        <v>0.008172303034911229</v>
      </c>
      <c r="N25" s="10"/>
      <c r="R25" s="2"/>
    </row>
    <row r="26" spans="1:18" ht="15.75" customHeight="1" thickTop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>
      <c r="A27" s="177" t="s">
        <v>65</v>
      </c>
      <c r="B27" s="20">
        <f>DATE(2018,7,1)</f>
        <v>43282</v>
      </c>
      <c r="C27" s="21">
        <v>465892</v>
      </c>
      <c r="D27" s="21">
        <v>502707</v>
      </c>
      <c r="E27" s="23">
        <f>(+C27-D27)/D27</f>
        <v>-0.07323351375652219</v>
      </c>
      <c r="F27" s="21">
        <f>+C27-233751</f>
        <v>232141</v>
      </c>
      <c r="G27" s="21">
        <f>+D27-258518</f>
        <v>244189</v>
      </c>
      <c r="H27" s="23">
        <f>(+F27-G27)/G27</f>
        <v>-0.04933883180651053</v>
      </c>
      <c r="I27" s="24">
        <f>K27/C27</f>
        <v>43.31496016244108</v>
      </c>
      <c r="J27" s="24">
        <f>K27/F27</f>
        <v>86.93032863647525</v>
      </c>
      <c r="K27" s="21">
        <v>20180093.42</v>
      </c>
      <c r="L27" s="21">
        <v>21241004.79</v>
      </c>
      <c r="M27" s="25">
        <f>(+K27-L27)/L27</f>
        <v>-0.04994638344507418</v>
      </c>
      <c r="N27" s="10"/>
      <c r="R27" s="2"/>
    </row>
    <row r="28" spans="1:18" ht="15.75" customHeight="1">
      <c r="A28" s="177"/>
      <c r="B28" s="20">
        <f>DATE(2018,8,1)</f>
        <v>43313</v>
      </c>
      <c r="C28" s="21">
        <v>454572</v>
      </c>
      <c r="D28" s="21">
        <v>453491</v>
      </c>
      <c r="E28" s="23">
        <f>(+C28-D28)/D28</f>
        <v>0.0023837297763351422</v>
      </c>
      <c r="F28" s="21">
        <f>+C28-227733</f>
        <v>226839</v>
      </c>
      <c r="G28" s="21">
        <f>+D28-231314</f>
        <v>222177</v>
      </c>
      <c r="H28" s="23">
        <f>(+F28-G28)/G28</f>
        <v>0.020983270095464426</v>
      </c>
      <c r="I28" s="24">
        <f>K28/C28</f>
        <v>44.90025945284795</v>
      </c>
      <c r="J28" s="24">
        <f>K28/F28</f>
        <v>89.97747627171694</v>
      </c>
      <c r="K28" s="21">
        <v>20410400.74</v>
      </c>
      <c r="L28" s="21">
        <v>19752724.44</v>
      </c>
      <c r="M28" s="25">
        <f>(+K28-L28)/L28</f>
        <v>0.03329547283453102</v>
      </c>
      <c r="N28" s="10"/>
      <c r="R28" s="2"/>
    </row>
    <row r="29" spans="1:18" ht="15.75" customHeight="1">
      <c r="A29" s="177"/>
      <c r="B29" s="20">
        <f>DATE(2018,9,1)</f>
        <v>43344</v>
      </c>
      <c r="C29" s="21">
        <v>400695</v>
      </c>
      <c r="D29" s="21">
        <v>440378</v>
      </c>
      <c r="E29" s="23">
        <f>(+C29-D29)/D29</f>
        <v>-0.0901112226314666</v>
      </c>
      <c r="F29" s="21">
        <f>+C29-202275</f>
        <v>198420</v>
      </c>
      <c r="G29" s="21">
        <f>+D29-224768</f>
        <v>215610</v>
      </c>
      <c r="H29" s="23">
        <f>(+F29-G29)/G29</f>
        <v>-0.07972728537637401</v>
      </c>
      <c r="I29" s="24">
        <f>K29/C29</f>
        <v>48.47666679144986</v>
      </c>
      <c r="J29" s="24">
        <f>K29/F29</f>
        <v>97.89516177804657</v>
      </c>
      <c r="K29" s="21">
        <v>19424358</v>
      </c>
      <c r="L29" s="21">
        <v>19993375.76</v>
      </c>
      <c r="M29" s="25">
        <f>(+K29-L29)/L29</f>
        <v>-0.028460314397652356</v>
      </c>
      <c r="N29" s="10"/>
      <c r="R29" s="2"/>
    </row>
    <row r="30" spans="1:18" ht="15.75" thickBot="1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thickBot="1" thickTop="1">
      <c r="A31" s="39" t="s">
        <v>14</v>
      </c>
      <c r="B31" s="40"/>
      <c r="C31" s="41">
        <f>SUM(C27:C30)</f>
        <v>1321159</v>
      </c>
      <c r="D31" s="41">
        <f>SUM(D27:D30)</f>
        <v>1396576</v>
      </c>
      <c r="E31" s="280">
        <f>(+C31-D31)/D31</f>
        <v>-0.054001357606030746</v>
      </c>
      <c r="F31" s="41">
        <f>SUM(F27:F30)</f>
        <v>657400</v>
      </c>
      <c r="G31" s="41">
        <f>SUM(G27:G30)</f>
        <v>681976</v>
      </c>
      <c r="H31" s="42">
        <f>(+F31-G31)/G31</f>
        <v>-0.036036458761012115</v>
      </c>
      <c r="I31" s="43">
        <f>K31/C31</f>
        <v>45.42591176383766</v>
      </c>
      <c r="J31" s="43">
        <f>K31/F31</f>
        <v>91.29122628536659</v>
      </c>
      <c r="K31" s="41">
        <f>SUM(K27:K30)</f>
        <v>60014852.16</v>
      </c>
      <c r="L31" s="41">
        <f>SUM(L27:L30)</f>
        <v>60987104.99000001</v>
      </c>
      <c r="M31" s="44">
        <f>(+K31-L31)/L31</f>
        <v>-0.015941941008011978</v>
      </c>
      <c r="N31" s="10"/>
      <c r="R31" s="2"/>
    </row>
    <row r="32" spans="1:18" ht="15.75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>
      <c r="A33" s="19" t="s">
        <v>16</v>
      </c>
      <c r="B33" s="20">
        <f>DATE(2018,7,1)</f>
        <v>43282</v>
      </c>
      <c r="C33" s="21">
        <v>289167</v>
      </c>
      <c r="D33" s="21">
        <v>332127</v>
      </c>
      <c r="E33" s="23">
        <f>(+C33-D33)/D33</f>
        <v>-0.12934811081303235</v>
      </c>
      <c r="F33" s="21">
        <f>+C33-134357</f>
        <v>154810</v>
      </c>
      <c r="G33" s="21">
        <f>+D33-153372</f>
        <v>178755</v>
      </c>
      <c r="H33" s="23">
        <f>(+F33-G33)/G33</f>
        <v>-0.13395429498475567</v>
      </c>
      <c r="I33" s="24">
        <f>K33/C33</f>
        <v>51.510231907513656</v>
      </c>
      <c r="J33" s="24">
        <f>K33/F33</f>
        <v>96.21509740972806</v>
      </c>
      <c r="K33" s="21">
        <v>14895059.23</v>
      </c>
      <c r="L33" s="21">
        <v>16977556.68</v>
      </c>
      <c r="M33" s="25">
        <f>(+K33-L33)/L33</f>
        <v>-0.12266178751464485</v>
      </c>
      <c r="N33" s="10"/>
      <c r="R33" s="2"/>
    </row>
    <row r="34" spans="1:18" ht="15.75">
      <c r="A34" s="19"/>
      <c r="B34" s="20">
        <f>DATE(2018,8,1)</f>
        <v>43313</v>
      </c>
      <c r="C34" s="21">
        <v>292132</v>
      </c>
      <c r="D34" s="21">
        <v>318460</v>
      </c>
      <c r="E34" s="23">
        <f>(+C34-D34)/D34</f>
        <v>-0.08267286315392829</v>
      </c>
      <c r="F34" s="21">
        <f>+C34-136807</f>
        <v>155325</v>
      </c>
      <c r="G34" s="21">
        <f>+D34-146549</f>
        <v>171911</v>
      </c>
      <c r="H34" s="23">
        <f>(+F34-G34)/G34</f>
        <v>-0.09648015542926282</v>
      </c>
      <c r="I34" s="24">
        <f>K34/C34</f>
        <v>49.94121749756959</v>
      </c>
      <c r="J34" s="24">
        <f>K34/F34</f>
        <v>93.92839369064863</v>
      </c>
      <c r="K34" s="21">
        <v>14589427.75</v>
      </c>
      <c r="L34" s="21">
        <v>15578003.46</v>
      </c>
      <c r="M34" s="25">
        <f>(+K34-L34)/L34</f>
        <v>-0.06345971821988547</v>
      </c>
      <c r="N34" s="10"/>
      <c r="R34" s="2"/>
    </row>
    <row r="35" spans="1:18" ht="15.75">
      <c r="A35" s="19"/>
      <c r="B35" s="20">
        <f>DATE(2018,9,1)</f>
        <v>43344</v>
      </c>
      <c r="C35" s="21">
        <v>292955</v>
      </c>
      <c r="D35" s="21">
        <v>319116</v>
      </c>
      <c r="E35" s="23">
        <f>(+C35-D35)/D35</f>
        <v>-0.08197959362739568</v>
      </c>
      <c r="F35" s="21">
        <f>+C35-135433</f>
        <v>157522</v>
      </c>
      <c r="G35" s="21">
        <f>+D35-146330</f>
        <v>172786</v>
      </c>
      <c r="H35" s="23">
        <f>(+F35-G35)/G35</f>
        <v>-0.08834049054900281</v>
      </c>
      <c r="I35" s="24">
        <f>K35/C35</f>
        <v>51.9962153231725</v>
      </c>
      <c r="J35" s="24">
        <f>K35/F35</f>
        <v>96.70110371884562</v>
      </c>
      <c r="K35" s="21">
        <v>15232551.26</v>
      </c>
      <c r="L35" s="21">
        <v>15578279.97</v>
      </c>
      <c r="M35" s="25">
        <f>(+K35-L35)/L35</f>
        <v>-0.02219299631703826</v>
      </c>
      <c r="N35" s="10"/>
      <c r="R35" s="2"/>
    </row>
    <row r="36" spans="1:18" ht="15.75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thickBot="1" thickTop="1">
      <c r="A37" s="39" t="s">
        <v>14</v>
      </c>
      <c r="B37" s="40"/>
      <c r="C37" s="41">
        <f>SUM(C33:C36)</f>
        <v>874254</v>
      </c>
      <c r="D37" s="41">
        <f>SUM(D33:D36)</f>
        <v>969703</v>
      </c>
      <c r="E37" s="281">
        <f>(+C37-D37)/D37</f>
        <v>-0.09843116913116697</v>
      </c>
      <c r="F37" s="47">
        <f>SUM(F33:F36)</f>
        <v>467657</v>
      </c>
      <c r="G37" s="48">
        <f>SUM(G33:G36)</f>
        <v>523452</v>
      </c>
      <c r="H37" s="49">
        <f>(+F37-G37)/G37</f>
        <v>-0.10659048012043129</v>
      </c>
      <c r="I37" s="50">
        <f>K37/C37</f>
        <v>51.14879456084845</v>
      </c>
      <c r="J37" s="51">
        <f>K37/F37</f>
        <v>95.61930697070717</v>
      </c>
      <c r="K37" s="48">
        <f>SUM(K33:K36)</f>
        <v>44717038.24</v>
      </c>
      <c r="L37" s="47">
        <f>SUM(L33:L36)</f>
        <v>48133840.11</v>
      </c>
      <c r="M37" s="44">
        <f>(+K37-L37)/L37</f>
        <v>-0.07098544105750962</v>
      </c>
      <c r="N37" s="10"/>
      <c r="R37" s="2"/>
    </row>
    <row r="38" spans="1:18" ht="15.75" customHeight="1" thickTop="1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>
      <c r="A39" s="274" t="s">
        <v>66</v>
      </c>
      <c r="B39" s="20">
        <f>DATE(2018,7,1)</f>
        <v>43282</v>
      </c>
      <c r="C39" s="21">
        <v>129160</v>
      </c>
      <c r="D39" s="21">
        <v>155680</v>
      </c>
      <c r="E39" s="23">
        <f>(+C39-D39)/D39</f>
        <v>-0.17034943473792394</v>
      </c>
      <c r="F39" s="21">
        <f>+C39-62596</f>
        <v>66564</v>
      </c>
      <c r="G39" s="21">
        <f>+D39-76075</f>
        <v>79605</v>
      </c>
      <c r="H39" s="23">
        <f>(+F39-G39)/G39</f>
        <v>-0.16382136800452232</v>
      </c>
      <c r="I39" s="24">
        <f>K39/C39</f>
        <v>40.40641491173738</v>
      </c>
      <c r="J39" s="24">
        <f>K39/F39</f>
        <v>78.40413061114116</v>
      </c>
      <c r="K39" s="21">
        <v>5218892.55</v>
      </c>
      <c r="L39" s="21">
        <v>5695517.98</v>
      </c>
      <c r="M39" s="25">
        <f>(+K39-L39)/L39</f>
        <v>-0.0836842990705475</v>
      </c>
      <c r="N39" s="10"/>
      <c r="R39" s="2"/>
    </row>
    <row r="40" spans="1:18" ht="15.75">
      <c r="A40" s="274"/>
      <c r="B40" s="20">
        <f>DATE(2018,8,1)</f>
        <v>43313</v>
      </c>
      <c r="C40" s="21">
        <v>120860</v>
      </c>
      <c r="D40" s="21">
        <v>137297</v>
      </c>
      <c r="E40" s="23">
        <f>(+C40-D40)/D40</f>
        <v>-0.11971856631973021</v>
      </c>
      <c r="F40" s="21">
        <f>+C40-58336</f>
        <v>62524</v>
      </c>
      <c r="G40" s="21">
        <f>+D40-65122</f>
        <v>72175</v>
      </c>
      <c r="H40" s="23">
        <f>(+F40-G40)/G40</f>
        <v>-0.13371666089366124</v>
      </c>
      <c r="I40" s="24">
        <f>K40/C40</f>
        <v>43.54834246235313</v>
      </c>
      <c r="J40" s="24">
        <f>K40/F40</f>
        <v>84.17971770839998</v>
      </c>
      <c r="K40" s="21">
        <v>5263252.67</v>
      </c>
      <c r="L40" s="21">
        <v>5143794.97</v>
      </c>
      <c r="M40" s="25">
        <f>(+K40-L40)/L40</f>
        <v>0.023223651155753627</v>
      </c>
      <c r="N40" s="10"/>
      <c r="R40" s="2"/>
    </row>
    <row r="41" spans="1:18" ht="15.75">
      <c r="A41" s="274"/>
      <c r="B41" s="20">
        <f>DATE(2018,9,1)</f>
        <v>43344</v>
      </c>
      <c r="C41" s="21">
        <v>129571</v>
      </c>
      <c r="D41" s="21">
        <v>151497</v>
      </c>
      <c r="E41" s="23">
        <f>(+C41-D41)/D41</f>
        <v>-0.14472893852683552</v>
      </c>
      <c r="F41" s="21">
        <f>+C41-62477</f>
        <v>67094</v>
      </c>
      <c r="G41" s="21">
        <f>+D41-72439</f>
        <v>79058</v>
      </c>
      <c r="H41" s="23">
        <f>(+F41-G41)/G41</f>
        <v>-0.15133193351716462</v>
      </c>
      <c r="I41" s="24">
        <f>K41/C41</f>
        <v>39.03113134883577</v>
      </c>
      <c r="J41" s="24">
        <f>K41/F41</f>
        <v>75.37637821563776</v>
      </c>
      <c r="K41" s="21">
        <v>5057302.72</v>
      </c>
      <c r="L41" s="21">
        <v>5888747.75</v>
      </c>
      <c r="M41" s="25">
        <f>(+K41-L41)/L41</f>
        <v>-0.14119216262914305</v>
      </c>
      <c r="N41" s="10"/>
      <c r="R41" s="2"/>
    </row>
    <row r="42" spans="1:18" ht="15.75" customHeight="1" thickBot="1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Bot="1" thickTop="1">
      <c r="A43" s="39" t="s">
        <v>14</v>
      </c>
      <c r="B43" s="52"/>
      <c r="C43" s="47">
        <f>SUM(C39:C42)</f>
        <v>379591</v>
      </c>
      <c r="D43" s="48">
        <f>SUM(D39:D42)</f>
        <v>444474</v>
      </c>
      <c r="E43" s="281">
        <f>(+C43-D43)/D43</f>
        <v>-0.14597704252667199</v>
      </c>
      <c r="F43" s="48">
        <f>SUM(F39:F42)</f>
        <v>196182</v>
      </c>
      <c r="G43" s="47">
        <f>SUM(G39:G42)</f>
        <v>230838</v>
      </c>
      <c r="H43" s="46">
        <f>(+F43-G43)/G43</f>
        <v>-0.1501312608842565</v>
      </c>
      <c r="I43" s="51">
        <f>K43/C43</f>
        <v>40.937345564041294</v>
      </c>
      <c r="J43" s="50">
        <f>K43/F43</f>
        <v>79.20934611738079</v>
      </c>
      <c r="K43" s="47">
        <f>SUM(K39:K42)</f>
        <v>15539447.939999998</v>
      </c>
      <c r="L43" s="48">
        <f>SUM(L39:L42)</f>
        <v>16728060.7</v>
      </c>
      <c r="M43" s="44">
        <f>(+K43-L43)/L43</f>
        <v>-0.07105502432807419</v>
      </c>
      <c r="N43" s="10"/>
      <c r="R43" s="2"/>
    </row>
    <row r="44" spans="1:18" ht="15.75" customHeight="1" thickTop="1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>
      <c r="A45" s="19" t="s">
        <v>17</v>
      </c>
      <c r="B45" s="20">
        <f>DATE(2018,7,1)</f>
        <v>43282</v>
      </c>
      <c r="C45" s="21">
        <v>164240</v>
      </c>
      <c r="D45" s="21">
        <v>176619</v>
      </c>
      <c r="E45" s="23">
        <f>(+C45-D45)/D45</f>
        <v>-0.07008872205142141</v>
      </c>
      <c r="F45" s="21">
        <f>+C45-78084</f>
        <v>86156</v>
      </c>
      <c r="G45" s="21">
        <f>+D45-82680</f>
        <v>93939</v>
      </c>
      <c r="H45" s="23">
        <f>(+F45-G45)/G45</f>
        <v>-0.08285163776493257</v>
      </c>
      <c r="I45" s="24">
        <f>K45/C45</f>
        <v>35.1700548587433</v>
      </c>
      <c r="J45" s="24">
        <f>K45/F45</f>
        <v>67.04500916941362</v>
      </c>
      <c r="K45" s="21">
        <v>5776329.81</v>
      </c>
      <c r="L45" s="21">
        <v>6184772.92</v>
      </c>
      <c r="M45" s="25">
        <f>(+K45-L45)/L45</f>
        <v>-0.0660401142100461</v>
      </c>
      <c r="N45" s="10"/>
      <c r="R45" s="2"/>
    </row>
    <row r="46" spans="1:18" ht="15.75">
      <c r="A46" s="19"/>
      <c r="B46" s="20">
        <f>DATE(2018,8,1)</f>
        <v>43313</v>
      </c>
      <c r="C46" s="21">
        <v>161125</v>
      </c>
      <c r="D46" s="21">
        <v>166602</v>
      </c>
      <c r="E46" s="23">
        <f>(+C46-D46)/D46</f>
        <v>-0.03287475540509718</v>
      </c>
      <c r="F46" s="21">
        <f>+C46-76425</f>
        <v>84700</v>
      </c>
      <c r="G46" s="21">
        <f>+D46-77233</f>
        <v>89369</v>
      </c>
      <c r="H46" s="23">
        <f>(+F46-G46)/G46</f>
        <v>-0.05224406673455001</v>
      </c>
      <c r="I46" s="24">
        <f>K46/C46</f>
        <v>34.524392986811485</v>
      </c>
      <c r="J46" s="24">
        <f>K46/F46</f>
        <v>65.67583022432113</v>
      </c>
      <c r="K46" s="21">
        <v>5562742.82</v>
      </c>
      <c r="L46" s="21">
        <v>5912368.33</v>
      </c>
      <c r="M46" s="25">
        <f>(+K46-L46)/L46</f>
        <v>-0.05913459556062533</v>
      </c>
      <c r="N46" s="10"/>
      <c r="R46" s="2"/>
    </row>
    <row r="47" spans="1:18" ht="15.75">
      <c r="A47" s="19"/>
      <c r="B47" s="20">
        <f>DATE(2018,9,1)</f>
        <v>43344</v>
      </c>
      <c r="C47" s="21">
        <v>154193</v>
      </c>
      <c r="D47" s="21">
        <v>169194</v>
      </c>
      <c r="E47" s="23">
        <f>(+C47-D47)/D47</f>
        <v>-0.08866153646110382</v>
      </c>
      <c r="F47" s="21">
        <f>+C47-72768</f>
        <v>81425</v>
      </c>
      <c r="G47" s="21">
        <f>+D47-79368</f>
        <v>89826</v>
      </c>
      <c r="H47" s="23">
        <f>(+F47-G47)/G47</f>
        <v>-0.09352525994700867</v>
      </c>
      <c r="I47" s="24">
        <f>K47/C47</f>
        <v>34.86135103409364</v>
      </c>
      <c r="J47" s="24">
        <f>K47/F47</f>
        <v>66.01628860914953</v>
      </c>
      <c r="K47" s="21">
        <v>5375376.3</v>
      </c>
      <c r="L47" s="21">
        <v>5903665.74</v>
      </c>
      <c r="M47" s="25">
        <f>(+K47-L47)/L47</f>
        <v>-0.08948498496800064</v>
      </c>
      <c r="N47" s="10"/>
      <c r="R47" s="2"/>
    </row>
    <row r="48" spans="1:18" ht="15.75" customHeight="1" thickBot="1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SUM(C45:C48)</f>
        <v>479558</v>
      </c>
      <c r="D49" s="48">
        <f>SUM(D45:D48)</f>
        <v>512415</v>
      </c>
      <c r="E49" s="281">
        <f>(+C49-D49)/D49</f>
        <v>-0.06412185435633228</v>
      </c>
      <c r="F49" s="48">
        <f>SUM(F45:F48)</f>
        <v>252281</v>
      </c>
      <c r="G49" s="47">
        <f>SUM(G45:G48)</f>
        <v>273134</v>
      </c>
      <c r="H49" s="53">
        <f>(+F49-G49)/G49</f>
        <v>-0.07634714096377603</v>
      </c>
      <c r="I49" s="51">
        <f>K49/C49</f>
        <v>34.853863203199616</v>
      </c>
      <c r="J49" s="50">
        <f>K49/F49</f>
        <v>66.25330060527745</v>
      </c>
      <c r="K49" s="47">
        <f>SUM(K45:K48)</f>
        <v>16714448.93</v>
      </c>
      <c r="L49" s="48">
        <f>SUM(L45:L48)</f>
        <v>18000806.990000002</v>
      </c>
      <c r="M49" s="44">
        <f>(+K49-L49)/L49</f>
        <v>-0.07146113286557729</v>
      </c>
      <c r="N49" s="10"/>
      <c r="R49" s="2"/>
    </row>
    <row r="50" spans="1:18" ht="15.75" customHeight="1" thickTop="1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9" t="s">
        <v>67</v>
      </c>
      <c r="B51" s="20">
        <f>DATE(2018,7,1)</f>
        <v>43282</v>
      </c>
      <c r="C51" s="21">
        <v>388301</v>
      </c>
      <c r="D51" s="21">
        <v>366754</v>
      </c>
      <c r="E51" s="23">
        <f>(+C51-D51)/D51</f>
        <v>0.05875055214121727</v>
      </c>
      <c r="F51" s="21">
        <f>+C51-165452</f>
        <v>222849</v>
      </c>
      <c r="G51" s="21">
        <f>+D51-155073</f>
        <v>211681</v>
      </c>
      <c r="H51" s="23">
        <f>(+F51-G51)/G51</f>
        <v>0.052758632092629945</v>
      </c>
      <c r="I51" s="24">
        <f>K51/C51</f>
        <v>34.577033641427654</v>
      </c>
      <c r="J51" s="24">
        <f>K51/F51</f>
        <v>60.24840470453087</v>
      </c>
      <c r="K51" s="21">
        <v>13426296.74</v>
      </c>
      <c r="L51" s="21">
        <v>12531234.06</v>
      </c>
      <c r="M51" s="25">
        <f>(+K51-L51)/L51</f>
        <v>0.07142653913528446</v>
      </c>
      <c r="N51" s="10"/>
      <c r="R51" s="2"/>
    </row>
    <row r="52" spans="1:18" ht="15.75" customHeight="1">
      <c r="A52" s="19"/>
      <c r="B52" s="20">
        <f>DATE(2018,8,1)</f>
        <v>43313</v>
      </c>
      <c r="C52" s="21">
        <v>375009</v>
      </c>
      <c r="D52" s="21">
        <v>332593</v>
      </c>
      <c r="E52" s="23">
        <f>(+C52-D52)/D52</f>
        <v>0.1275312468993635</v>
      </c>
      <c r="F52" s="21">
        <f>+C52-161682</f>
        <v>213327</v>
      </c>
      <c r="G52" s="21">
        <f>+D52-143450</f>
        <v>189143</v>
      </c>
      <c r="H52" s="23">
        <f>(+F52-G52)/G52</f>
        <v>0.12786093061863246</v>
      </c>
      <c r="I52" s="24">
        <f>K52/C52</f>
        <v>37.35007442488047</v>
      </c>
      <c r="J52" s="24">
        <f>K52/F52</f>
        <v>65.65795262671861</v>
      </c>
      <c r="K52" s="21">
        <v>14006614.06</v>
      </c>
      <c r="L52" s="21">
        <v>12416943.71</v>
      </c>
      <c r="M52" s="25">
        <f>(+K52-L52)/L52</f>
        <v>0.12802428577651975</v>
      </c>
      <c r="N52" s="10"/>
      <c r="R52" s="2"/>
    </row>
    <row r="53" spans="1:18" ht="15.75" customHeight="1">
      <c r="A53" s="19"/>
      <c r="B53" s="20">
        <f>DATE(2018,9,1)</f>
        <v>43344</v>
      </c>
      <c r="C53" s="21">
        <v>360341</v>
      </c>
      <c r="D53" s="21">
        <v>334430</v>
      </c>
      <c r="E53" s="23">
        <f>(+C53-D53)/D53</f>
        <v>0.0774780970606704</v>
      </c>
      <c r="F53" s="21">
        <f>+C53-155599</f>
        <v>204742</v>
      </c>
      <c r="G53" s="21">
        <f>+D53-144819</f>
        <v>189611</v>
      </c>
      <c r="H53" s="23">
        <f>(+F53-G53)/G53</f>
        <v>0.07980022256092738</v>
      </c>
      <c r="I53" s="24">
        <f>K53/C53</f>
        <v>36.88886163384127</v>
      </c>
      <c r="J53" s="24">
        <f>K53/F53</f>
        <v>64.92351002725381</v>
      </c>
      <c r="K53" s="21">
        <v>13292569.29</v>
      </c>
      <c r="L53" s="21">
        <v>11826002.08</v>
      </c>
      <c r="M53" s="25">
        <f>(+K53-L53)/L53</f>
        <v>0.12401208794646171</v>
      </c>
      <c r="N53" s="10"/>
      <c r="R53" s="2"/>
    </row>
    <row r="54" spans="1:18" ht="15.75" customHeight="1" thickBot="1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Bot="1" thickTop="1">
      <c r="A55" s="39" t="s">
        <v>14</v>
      </c>
      <c r="B55" s="40"/>
      <c r="C55" s="41">
        <f>SUM(C51:C54)</f>
        <v>1123651</v>
      </c>
      <c r="D55" s="41">
        <f>SUM(D51:D54)</f>
        <v>1033777</v>
      </c>
      <c r="E55" s="280">
        <f>(+C55-D55)/D55</f>
        <v>0.08693751166837722</v>
      </c>
      <c r="F55" s="41">
        <f>SUM(F51:F54)</f>
        <v>640918</v>
      </c>
      <c r="G55" s="41">
        <f>SUM(G51:G54)</f>
        <v>590435</v>
      </c>
      <c r="H55" s="42">
        <f>(+F55-G55)/G55</f>
        <v>0.0855013676357262</v>
      </c>
      <c r="I55" s="43">
        <f>K55/C55</f>
        <v>36.243887194511466</v>
      </c>
      <c r="J55" s="43">
        <f>K55/F55</f>
        <v>63.5424189833957</v>
      </c>
      <c r="K55" s="41">
        <f>SUM(K51:K54)</f>
        <v>40725480.09</v>
      </c>
      <c r="L55" s="41">
        <f>SUM(L51:L54)</f>
        <v>36774179.85</v>
      </c>
      <c r="M55" s="44">
        <f>(+K55-L55)/L55</f>
        <v>0.10744767812952331</v>
      </c>
      <c r="N55" s="10"/>
      <c r="R55" s="2"/>
    </row>
    <row r="56" spans="1:18" ht="15.75" customHeight="1" thickTop="1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>
      <c r="A57" s="19" t="s">
        <v>18</v>
      </c>
      <c r="B57" s="20">
        <f>DATE(2018,7,1)</f>
        <v>43282</v>
      </c>
      <c r="C57" s="21">
        <v>413730</v>
      </c>
      <c r="D57" s="21">
        <v>402324</v>
      </c>
      <c r="E57" s="23">
        <f>(+C57-D57)/D57</f>
        <v>0.02835028484505026</v>
      </c>
      <c r="F57" s="21">
        <f>+C57-202461</f>
        <v>211269</v>
      </c>
      <c r="G57" s="21">
        <f>+D57-196212</f>
        <v>206112</v>
      </c>
      <c r="H57" s="23">
        <f>(+F57-G57)/G57</f>
        <v>0.025020377270610152</v>
      </c>
      <c r="I57" s="24">
        <f>K57/C57</f>
        <v>42.61081449254345</v>
      </c>
      <c r="J57" s="24">
        <f>K57/F57</f>
        <v>83.44514472071151</v>
      </c>
      <c r="K57" s="21">
        <v>17629372.28</v>
      </c>
      <c r="L57" s="21">
        <v>16341217.17</v>
      </c>
      <c r="M57" s="25">
        <f>(+K57-L57)/L57</f>
        <v>0.07882859009822468</v>
      </c>
      <c r="N57" s="10"/>
      <c r="R57" s="2"/>
    </row>
    <row r="58" spans="1:18" ht="15.75" customHeight="1">
      <c r="A58" s="19"/>
      <c r="B58" s="20">
        <f>DATE(2018,8,1)</f>
        <v>43313</v>
      </c>
      <c r="C58" s="21">
        <v>405834</v>
      </c>
      <c r="D58" s="21">
        <v>379939</v>
      </c>
      <c r="E58" s="23">
        <f>(+C58-D58)/D58</f>
        <v>0.06815567762193404</v>
      </c>
      <c r="F58" s="21">
        <f>+C58-195636</f>
        <v>210198</v>
      </c>
      <c r="G58" s="21">
        <f>+D58-185707</f>
        <v>194232</v>
      </c>
      <c r="H58" s="23">
        <f>(+F58-G58)/G58</f>
        <v>0.08220066724329668</v>
      </c>
      <c r="I58" s="24">
        <f>K58/C58</f>
        <v>43.859896460129015</v>
      </c>
      <c r="J58" s="24">
        <f>K58/F58</f>
        <v>84.68128726248584</v>
      </c>
      <c r="K58" s="21">
        <v>17799837.22</v>
      </c>
      <c r="L58" s="21">
        <v>15315276.05</v>
      </c>
      <c r="M58" s="25">
        <f>(+K58-L58)/L58</f>
        <v>0.1622276452535766</v>
      </c>
      <c r="N58" s="10"/>
      <c r="R58" s="2"/>
    </row>
    <row r="59" spans="1:18" ht="15.75" customHeight="1">
      <c r="A59" s="19"/>
      <c r="B59" s="20">
        <f>DATE(2018,9,1)</f>
        <v>43344</v>
      </c>
      <c r="C59" s="21">
        <v>386512</v>
      </c>
      <c r="D59" s="21">
        <v>383853</v>
      </c>
      <c r="E59" s="23">
        <f>(+C59-D59)/D59</f>
        <v>0.006927130958986904</v>
      </c>
      <c r="F59" s="21">
        <f>+C59-188889</f>
        <v>197623</v>
      </c>
      <c r="G59" s="21">
        <f>+D59-186182</f>
        <v>197671</v>
      </c>
      <c r="H59" s="23">
        <f>(+F59-G59)/G59</f>
        <v>-0.00024282772890307634</v>
      </c>
      <c r="I59" s="24">
        <f>K59/C59</f>
        <v>42.94863988698928</v>
      </c>
      <c r="J59" s="24">
        <f>K59/F59</f>
        <v>83.99915343861797</v>
      </c>
      <c r="K59" s="21">
        <v>16600164.7</v>
      </c>
      <c r="L59" s="21">
        <v>16031264.69</v>
      </c>
      <c r="M59" s="25">
        <f>(+K59-L59)/L59</f>
        <v>0.03548690767702618</v>
      </c>
      <c r="N59" s="10"/>
      <c r="R59" s="2"/>
    </row>
    <row r="60" spans="1:18" ht="15.75" customHeight="1" thickBot="1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thickBot="1" thickTop="1">
      <c r="A61" s="39" t="s">
        <v>14</v>
      </c>
      <c r="B61" s="40"/>
      <c r="C61" s="41">
        <f>SUM(C57:C60)</f>
        <v>1206076</v>
      </c>
      <c r="D61" s="41">
        <f>SUM(D57:D60)</f>
        <v>1166116</v>
      </c>
      <c r="E61" s="280">
        <f>(+C61-D61)/D61</f>
        <v>0.034267602879987924</v>
      </c>
      <c r="F61" s="41">
        <f>SUM(F57:F60)</f>
        <v>619090</v>
      </c>
      <c r="G61" s="41">
        <f>SUM(G57:G60)</f>
        <v>598015</v>
      </c>
      <c r="H61" s="42">
        <f>(+F61-G61)/G61</f>
        <v>0.0352415909299934</v>
      </c>
      <c r="I61" s="43">
        <f>K61/C61</f>
        <v>43.13938275863213</v>
      </c>
      <c r="J61" s="43">
        <f>K61/F61</f>
        <v>84.04169700689722</v>
      </c>
      <c r="K61" s="41">
        <f>SUM(K57:K60)</f>
        <v>52029374.2</v>
      </c>
      <c r="L61" s="41">
        <f>SUM(L57:L60)</f>
        <v>47687757.91</v>
      </c>
      <c r="M61" s="44">
        <f>(+K61-L61)/L61</f>
        <v>0.09104257529141627</v>
      </c>
      <c r="N61" s="10"/>
      <c r="R61" s="2"/>
    </row>
    <row r="62" spans="1:18" ht="15.75" customHeight="1" thickTop="1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>
      <c r="A63" s="19" t="s">
        <v>58</v>
      </c>
      <c r="B63" s="20">
        <f>DATE(2018,7,1)</f>
        <v>43282</v>
      </c>
      <c r="C63" s="21">
        <v>437213</v>
      </c>
      <c r="D63" s="21">
        <v>487621</v>
      </c>
      <c r="E63" s="23">
        <f>(+C63-D63)/D63</f>
        <v>-0.1033753673447206</v>
      </c>
      <c r="F63" s="21">
        <f>+C63-202829</f>
        <v>234384</v>
      </c>
      <c r="G63" s="21">
        <f>+D63-237847</f>
        <v>249774</v>
      </c>
      <c r="H63" s="23">
        <f>(+F63-G63)/G63</f>
        <v>-0.061615700593336376</v>
      </c>
      <c r="I63" s="24">
        <f>K63/C63</f>
        <v>44.80050348457159</v>
      </c>
      <c r="J63" s="24">
        <f>K63/F63</f>
        <v>83.56953772441805</v>
      </c>
      <c r="K63" s="21">
        <v>19587362.53</v>
      </c>
      <c r="L63" s="21">
        <v>19804673.68</v>
      </c>
      <c r="M63" s="25">
        <f>(+K63-L63)/L63</f>
        <v>-0.010972720556332768</v>
      </c>
      <c r="N63" s="10"/>
      <c r="R63" s="2"/>
    </row>
    <row r="64" spans="1:18" ht="15.75" customHeight="1">
      <c r="A64" s="19"/>
      <c r="B64" s="20">
        <f>DATE(2018,8,1)</f>
        <v>43313</v>
      </c>
      <c r="C64" s="21">
        <v>428435</v>
      </c>
      <c r="D64" s="21">
        <v>450476</v>
      </c>
      <c r="E64" s="23">
        <f>(+C64-D64)/D64</f>
        <v>-0.04892824478995551</v>
      </c>
      <c r="F64" s="21">
        <f>+C64-198491</f>
        <v>229944</v>
      </c>
      <c r="G64" s="21">
        <f>+D64-212152</f>
        <v>238324</v>
      </c>
      <c r="H64" s="23">
        <f>(+F64-G64)/G64</f>
        <v>-0.03516221614273007</v>
      </c>
      <c r="I64" s="24">
        <f>K64/C64</f>
        <v>44.51786726107811</v>
      </c>
      <c r="J64" s="24">
        <f>K64/F64</f>
        <v>82.94633676025468</v>
      </c>
      <c r="K64" s="21">
        <v>19073012.46</v>
      </c>
      <c r="L64" s="21">
        <v>18591700.17</v>
      </c>
      <c r="M64" s="25">
        <f>(+K64-L64)/L64</f>
        <v>0.025888557022700688</v>
      </c>
      <c r="N64" s="10"/>
      <c r="R64" s="2"/>
    </row>
    <row r="65" spans="1:18" ht="15.75" customHeight="1">
      <c r="A65" s="19"/>
      <c r="B65" s="20">
        <f>DATE(2018,9,1)</f>
        <v>43344</v>
      </c>
      <c r="C65" s="21">
        <v>430488</v>
      </c>
      <c r="D65" s="21">
        <v>460463</v>
      </c>
      <c r="E65" s="23">
        <f>(+C65-D65)/D65</f>
        <v>-0.06509752140780041</v>
      </c>
      <c r="F65" s="21">
        <f>+C65-198602</f>
        <v>231886</v>
      </c>
      <c r="G65" s="21">
        <f>+D65-224219</f>
        <v>236244</v>
      </c>
      <c r="H65" s="23">
        <f>(+F65-G65)/G65</f>
        <v>-0.01844702934254415</v>
      </c>
      <c r="I65" s="24">
        <f>K65/C65</f>
        <v>42.2885967785397</v>
      </c>
      <c r="J65" s="24">
        <f>K65/F65</f>
        <v>78.50725550486014</v>
      </c>
      <c r="K65" s="21">
        <v>18204733.45</v>
      </c>
      <c r="L65" s="21">
        <v>18717604.13</v>
      </c>
      <c r="M65" s="25">
        <f>(+K65-L65)/L65</f>
        <v>-0.027400444866658248</v>
      </c>
      <c r="N65" s="10"/>
      <c r="R65" s="2"/>
    </row>
    <row r="66" spans="1:18" ht="15.75" customHeight="1" thickBot="1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SUM(C63:C66)</f>
        <v>1296136</v>
      </c>
      <c r="D67" s="41">
        <f>SUM(D63:D66)</f>
        <v>1398560</v>
      </c>
      <c r="E67" s="280">
        <f>(+C67-D67)/D67</f>
        <v>-0.07323532776570187</v>
      </c>
      <c r="F67" s="41">
        <f>SUM(F63:F66)</f>
        <v>696214</v>
      </c>
      <c r="G67" s="41">
        <f>SUM(G63:G66)</f>
        <v>724342</v>
      </c>
      <c r="H67" s="42">
        <f>(+F67-G67)/G67</f>
        <v>-0.03883248520726397</v>
      </c>
      <c r="I67" s="43">
        <f>K67/C67</f>
        <v>43.87279455242351</v>
      </c>
      <c r="J67" s="43">
        <f>K67/F67</f>
        <v>81.67762848779255</v>
      </c>
      <c r="K67" s="41">
        <f>SUM(K63:K66)</f>
        <v>56865108.44</v>
      </c>
      <c r="L67" s="41">
        <f>SUM(L63:L66)</f>
        <v>57113977.980000004</v>
      </c>
      <c r="M67" s="44">
        <f>(+K67-L67)/L67</f>
        <v>-0.004357419125790098</v>
      </c>
      <c r="N67" s="10"/>
      <c r="R67" s="2"/>
    </row>
    <row r="68" spans="1:18" ht="15.75" customHeight="1" thickTop="1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>
      <c r="A69" s="19" t="s">
        <v>59</v>
      </c>
      <c r="B69" s="20">
        <f>DATE(2018,7,1)</f>
        <v>43282</v>
      </c>
      <c r="C69" s="21">
        <v>63934</v>
      </c>
      <c r="D69" s="21">
        <v>62927</v>
      </c>
      <c r="E69" s="23">
        <f>(+C69-D69)/D69</f>
        <v>0.016002669760198325</v>
      </c>
      <c r="F69" s="21">
        <f>+C69-30110</f>
        <v>33824</v>
      </c>
      <c r="G69" s="21">
        <f>+D69-30201</f>
        <v>32726</v>
      </c>
      <c r="H69" s="23">
        <f>(+F69-G69)/G69</f>
        <v>0.03355130477296339</v>
      </c>
      <c r="I69" s="24">
        <f>K69/C69</f>
        <v>44.104667156755404</v>
      </c>
      <c r="J69" s="24">
        <f>K69/F69</f>
        <v>83.36647912724693</v>
      </c>
      <c r="K69" s="21">
        <v>2819787.79</v>
      </c>
      <c r="L69" s="21">
        <v>2929610.63</v>
      </c>
      <c r="M69" s="25">
        <f>(+K69-L69)/L69</f>
        <v>-0.03748717965294926</v>
      </c>
      <c r="N69" s="10"/>
      <c r="R69" s="2"/>
    </row>
    <row r="70" spans="1:18" ht="15" customHeight="1">
      <c r="A70" s="19"/>
      <c r="B70" s="20">
        <f>DATE(2018,8,1)</f>
        <v>43313</v>
      </c>
      <c r="C70" s="21">
        <v>61004</v>
      </c>
      <c r="D70" s="21">
        <v>58528</v>
      </c>
      <c r="E70" s="23">
        <f>(+C70-D70)/D70</f>
        <v>0.04230453799890651</v>
      </c>
      <c r="F70" s="21">
        <f>+C70-29259</f>
        <v>31745</v>
      </c>
      <c r="G70" s="21">
        <f>+D70-27538</f>
        <v>30990</v>
      </c>
      <c r="H70" s="23">
        <f>(+F70-G70)/G70</f>
        <v>0.02436269764440142</v>
      </c>
      <c r="I70" s="24">
        <f>K70/C70</f>
        <v>45.56410415710445</v>
      </c>
      <c r="J70" s="24">
        <f>K70/F70</f>
        <v>87.56001291541975</v>
      </c>
      <c r="K70" s="21">
        <v>2779592.61</v>
      </c>
      <c r="L70" s="21">
        <v>2672799.76</v>
      </c>
      <c r="M70" s="25">
        <f>(+K70-L70)/L70</f>
        <v>0.03995542486879006</v>
      </c>
      <c r="N70" s="10"/>
      <c r="R70" s="2"/>
    </row>
    <row r="71" spans="1:18" ht="15" customHeight="1">
      <c r="A71" s="19"/>
      <c r="B71" s="20">
        <f>DATE(2018,9,1)</f>
        <v>43344</v>
      </c>
      <c r="C71" s="21">
        <v>57391</v>
      </c>
      <c r="D71" s="21">
        <v>59418</v>
      </c>
      <c r="E71" s="23">
        <f>(+C71-D71)/D71</f>
        <v>-0.03411424147564711</v>
      </c>
      <c r="F71" s="21">
        <f>+C71-27760</f>
        <v>29631</v>
      </c>
      <c r="G71" s="21">
        <f>+D71-28421</f>
        <v>30997</v>
      </c>
      <c r="H71" s="23">
        <f>(+F71-G71)/G71</f>
        <v>-0.04406878084975965</v>
      </c>
      <c r="I71" s="24">
        <f>K71/C71</f>
        <v>45.601388196755586</v>
      </c>
      <c r="J71" s="24">
        <f>K71/F71</f>
        <v>88.32335290742803</v>
      </c>
      <c r="K71" s="21">
        <v>2617109.27</v>
      </c>
      <c r="L71" s="21">
        <v>2764418.67</v>
      </c>
      <c r="M71" s="25">
        <f>(+K71-L71)/L71</f>
        <v>-0.05328765920973899</v>
      </c>
      <c r="N71" s="10"/>
      <c r="R71" s="2"/>
    </row>
    <row r="72" spans="1:18" ht="15.75" thickBot="1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thickBot="1" thickTop="1">
      <c r="A73" s="62" t="s">
        <v>14</v>
      </c>
      <c r="B73" s="52"/>
      <c r="C73" s="48">
        <f>SUM(C69:C72)</f>
        <v>182329</v>
      </c>
      <c r="D73" s="48">
        <f>SUM(D69:D72)</f>
        <v>180873</v>
      </c>
      <c r="E73" s="280">
        <f>(+C73-D73)/D73</f>
        <v>0.008049847130306901</v>
      </c>
      <c r="F73" s="48">
        <f>SUM(F69:F72)</f>
        <v>95200</v>
      </c>
      <c r="G73" s="48">
        <f>SUM(G69:G72)</f>
        <v>94713</v>
      </c>
      <c r="H73" s="42">
        <f>(+F73-G73)/G73</f>
        <v>0.005141849587701794</v>
      </c>
      <c r="I73" s="50">
        <f>K73/C73</f>
        <v>45.06408563640452</v>
      </c>
      <c r="J73" s="50">
        <f>K73/F73</f>
        <v>86.30766460084034</v>
      </c>
      <c r="K73" s="48">
        <f>SUM(K69:K72)</f>
        <v>8216489.67</v>
      </c>
      <c r="L73" s="48">
        <f>SUM(L69:L72)</f>
        <v>8366829.06</v>
      </c>
      <c r="M73" s="44">
        <f>(+K73-L73)/L73</f>
        <v>-0.017968502633660795</v>
      </c>
      <c r="N73" s="10"/>
      <c r="R73" s="2"/>
    </row>
    <row r="74" spans="1:18" ht="15.75" customHeight="1" thickTop="1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>
      <c r="A75" s="19" t="s">
        <v>19</v>
      </c>
      <c r="B75" s="20">
        <f>DATE(2018,7,1)</f>
        <v>43282</v>
      </c>
      <c r="C75" s="21">
        <v>470354</v>
      </c>
      <c r="D75" s="21">
        <v>504566</v>
      </c>
      <c r="E75" s="23">
        <f>(+C75-D75)/D75</f>
        <v>-0.06780480650697827</v>
      </c>
      <c r="F75" s="21">
        <f>+C75-224841</f>
        <v>245513</v>
      </c>
      <c r="G75" s="21">
        <f>+D75-244721</f>
        <v>259845</v>
      </c>
      <c r="H75" s="23">
        <f>(+F75-G75)/G75</f>
        <v>-0.05515595835979142</v>
      </c>
      <c r="I75" s="24">
        <f>K75/C75</f>
        <v>49.79133967182165</v>
      </c>
      <c r="J75" s="24">
        <f>K75/F75</f>
        <v>95.39028800918892</v>
      </c>
      <c r="K75" s="21">
        <v>23419555.78</v>
      </c>
      <c r="L75" s="21">
        <v>23735238.92</v>
      </c>
      <c r="M75" s="25">
        <f>(+K75-L75)/L75</f>
        <v>-0.013300188005859795</v>
      </c>
      <c r="N75" s="10"/>
      <c r="R75" s="2"/>
    </row>
    <row r="76" spans="1:18" ht="15.75">
      <c r="A76" s="19"/>
      <c r="B76" s="20">
        <f>DATE(2018,8,1)</f>
        <v>43313</v>
      </c>
      <c r="C76" s="21">
        <v>474935</v>
      </c>
      <c r="D76" s="21">
        <v>457218</v>
      </c>
      <c r="E76" s="23">
        <f>(+C76-D76)/D76</f>
        <v>0.03874956803975346</v>
      </c>
      <c r="F76" s="21">
        <f>+C76-232414</f>
        <v>242521</v>
      </c>
      <c r="G76" s="21">
        <f>+D76-220228</f>
        <v>236990</v>
      </c>
      <c r="H76" s="23">
        <f>(+F76-G76)/G76</f>
        <v>0.023338537491033377</v>
      </c>
      <c r="I76" s="24">
        <f>K76/C76</f>
        <v>50.253279522460964</v>
      </c>
      <c r="J76" s="24">
        <f>K76/F76</f>
        <v>98.41226660784014</v>
      </c>
      <c r="K76" s="21">
        <v>23867041.31</v>
      </c>
      <c r="L76" s="21">
        <v>21406025.88</v>
      </c>
      <c r="M76" s="25">
        <f>(+K76-L76)/L76</f>
        <v>0.11496834787532266</v>
      </c>
      <c r="N76" s="10"/>
      <c r="R76" s="2"/>
    </row>
    <row r="77" spans="1:18" ht="15.75">
      <c r="A77" s="19"/>
      <c r="B77" s="20">
        <f>DATE(2018,9,1)</f>
        <v>43344</v>
      </c>
      <c r="C77" s="21">
        <v>439040</v>
      </c>
      <c r="D77" s="21">
        <v>469781</v>
      </c>
      <c r="E77" s="23">
        <f>(+C77-D77)/D77</f>
        <v>-0.06543687377735583</v>
      </c>
      <c r="F77" s="21">
        <f>+C77-213778</f>
        <v>225262</v>
      </c>
      <c r="G77" s="21">
        <f>+D77-233419</f>
        <v>236362</v>
      </c>
      <c r="H77" s="23">
        <f>(+F77-G77)/G77</f>
        <v>-0.046961863582132495</v>
      </c>
      <c r="I77" s="24">
        <f>K77/C77</f>
        <v>49.36747344205539</v>
      </c>
      <c r="J77" s="24">
        <f>K77/F77</f>
        <v>96.21816169615825</v>
      </c>
      <c r="K77" s="21">
        <v>21674295.54</v>
      </c>
      <c r="L77" s="21">
        <v>22005324.36</v>
      </c>
      <c r="M77" s="25">
        <f>(+K77-L77)/L77</f>
        <v>-0.015043123863319427</v>
      </c>
      <c r="N77" s="10"/>
      <c r="R77" s="2"/>
    </row>
    <row r="78" spans="1:18" ht="15.75" thickBot="1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SUM(C75:C78)</f>
        <v>1384329</v>
      </c>
      <c r="D79" s="41">
        <f>SUM(D75:D78)</f>
        <v>1431565</v>
      </c>
      <c r="E79" s="280">
        <f>(+C79-D79)/D79</f>
        <v>-0.03299605676305302</v>
      </c>
      <c r="F79" s="41">
        <f>SUM(F75:F78)</f>
        <v>713296</v>
      </c>
      <c r="G79" s="41">
        <f>SUM(G75:G78)</f>
        <v>733197</v>
      </c>
      <c r="H79" s="42">
        <f>(+F79-G79)/G79</f>
        <v>-0.027142773361047576</v>
      </c>
      <c r="I79" s="43">
        <f>K79/C79</f>
        <v>49.81539260537054</v>
      </c>
      <c r="J79" s="43">
        <f>K79/F79</f>
        <v>96.67920839314954</v>
      </c>
      <c r="K79" s="41">
        <f>SUM(K75:K78)</f>
        <v>68960892.63</v>
      </c>
      <c r="L79" s="41">
        <f>SUM(L75:L78)</f>
        <v>67146589.16</v>
      </c>
      <c r="M79" s="44">
        <f>(+K79-L79)/L79</f>
        <v>0.027020039181391516</v>
      </c>
      <c r="N79" s="10"/>
      <c r="R79" s="2"/>
    </row>
    <row r="80" spans="1:18" ht="15.75" customHeight="1" thickTop="1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>
      <c r="A81" s="19" t="s">
        <v>63</v>
      </c>
      <c r="B81" s="20">
        <f>DATE(2018,7,1)</f>
        <v>43282</v>
      </c>
      <c r="C81" s="21">
        <v>83462</v>
      </c>
      <c r="D81" s="21">
        <v>79906</v>
      </c>
      <c r="E81" s="23">
        <f>(+C81-D81)/D81</f>
        <v>0.044502290190974396</v>
      </c>
      <c r="F81" s="21">
        <f>+C81-37670</f>
        <v>45792</v>
      </c>
      <c r="G81" s="21">
        <f>+D81-36860</f>
        <v>43046</v>
      </c>
      <c r="H81" s="23">
        <f>(+F81-G81)/G81</f>
        <v>0.06379222227384658</v>
      </c>
      <c r="I81" s="24">
        <f>K81/C81</f>
        <v>43.09257506410103</v>
      </c>
      <c r="J81" s="24">
        <f>K81/F81</f>
        <v>78.5419396401118</v>
      </c>
      <c r="K81" s="21">
        <v>3596592.5</v>
      </c>
      <c r="L81" s="21">
        <v>3314806.15</v>
      </c>
      <c r="M81" s="25">
        <f>(+K81-L81)/L81</f>
        <v>0.08500839483479301</v>
      </c>
      <c r="N81" s="10"/>
      <c r="R81" s="2"/>
    </row>
    <row r="82" spans="1:18" ht="15.75">
      <c r="A82" s="19"/>
      <c r="B82" s="20">
        <f>DATE(2018,8,1)</f>
        <v>43313</v>
      </c>
      <c r="C82" s="21">
        <v>82775</v>
      </c>
      <c r="D82" s="21">
        <v>79783</v>
      </c>
      <c r="E82" s="23">
        <f>(+C82-D82)/D82</f>
        <v>0.03750172342478974</v>
      </c>
      <c r="F82" s="21">
        <f>+C82-37255</f>
        <v>45520</v>
      </c>
      <c r="G82" s="21">
        <f>+D82-35821</f>
        <v>43962</v>
      </c>
      <c r="H82" s="23">
        <f>(+F82-G82)/G82</f>
        <v>0.03543969792093171</v>
      </c>
      <c r="I82" s="24">
        <f>K82/C82</f>
        <v>43.96489386892178</v>
      </c>
      <c r="J82" s="24">
        <f>K82/F82</f>
        <v>79.94714608963093</v>
      </c>
      <c r="K82" s="21">
        <v>3639194.09</v>
      </c>
      <c r="L82" s="21">
        <v>3234719.93</v>
      </c>
      <c r="M82" s="25">
        <f>(+K82-L82)/L82</f>
        <v>0.12504147770221322</v>
      </c>
      <c r="N82" s="10"/>
      <c r="R82" s="2"/>
    </row>
    <row r="83" spans="1:18" ht="15.75">
      <c r="A83" s="19"/>
      <c r="B83" s="20">
        <f>DATE(2018,9,1)</f>
        <v>43344</v>
      </c>
      <c r="C83" s="21">
        <v>77092</v>
      </c>
      <c r="D83" s="21">
        <v>84353</v>
      </c>
      <c r="E83" s="23">
        <f>(+C83-D83)/D83</f>
        <v>-0.08607874053086434</v>
      </c>
      <c r="F83" s="21">
        <f>+C83-35421</f>
        <v>41671</v>
      </c>
      <c r="G83" s="21">
        <f>+D83-38205</f>
        <v>46148</v>
      </c>
      <c r="H83" s="23">
        <f>(+F83-G83)/G83</f>
        <v>-0.09701395510097946</v>
      </c>
      <c r="I83" s="24">
        <f>K83/C83</f>
        <v>44.389417838426816</v>
      </c>
      <c r="J83" s="24">
        <f>K83/F83</f>
        <v>82.12111540399799</v>
      </c>
      <c r="K83" s="21">
        <v>3422069</v>
      </c>
      <c r="L83" s="21">
        <v>3468398</v>
      </c>
      <c r="M83" s="25">
        <f>(+K83-L83)/L83</f>
        <v>-0.0133574635898187</v>
      </c>
      <c r="N83" s="10"/>
      <c r="R83" s="2"/>
    </row>
    <row r="84" spans="1:18" ht="15.75" thickBot="1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thickBot="1" thickTop="1">
      <c r="A85" s="26" t="s">
        <v>14</v>
      </c>
      <c r="B85" s="27"/>
      <c r="C85" s="28">
        <f>SUM(C81:C84)</f>
        <v>243329</v>
      </c>
      <c r="D85" s="28">
        <f>SUM(D81:D84)</f>
        <v>244042</v>
      </c>
      <c r="E85" s="280">
        <f>(+C85-D85)/D85</f>
        <v>-0.002921628244318601</v>
      </c>
      <c r="F85" s="28">
        <f>SUM(F81:F84)</f>
        <v>132983</v>
      </c>
      <c r="G85" s="28">
        <f>SUM(G81:G84)</f>
        <v>133156</v>
      </c>
      <c r="H85" s="42">
        <f>(+F85-G85)/G85</f>
        <v>-0.0012992279732043617</v>
      </c>
      <c r="I85" s="43">
        <f>K85/C85</f>
        <v>43.80018653756848</v>
      </c>
      <c r="J85" s="43">
        <f>K85/F85</f>
        <v>80.14449658978967</v>
      </c>
      <c r="K85" s="28">
        <f>SUM(K81:K84)</f>
        <v>10657855.59</v>
      </c>
      <c r="L85" s="28">
        <f>SUM(L81:L84)</f>
        <v>10017924.08</v>
      </c>
      <c r="M85" s="44">
        <f>(+K85-L85)/L85</f>
        <v>0.06387865438884417</v>
      </c>
      <c r="N85" s="10"/>
      <c r="R85" s="2"/>
    </row>
    <row r="86" spans="1:18" ht="16.5" thickBot="1" thickTop="1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7.25" thickBot="1" thickTop="1">
      <c r="A87" s="64" t="s">
        <v>20</v>
      </c>
      <c r="B87" s="65"/>
      <c r="C87" s="28">
        <f>C85+C79+C37+C49+C55+C25+C13+C61+C67+C31+C73+C19+C43</f>
        <v>9910665</v>
      </c>
      <c r="D87" s="28">
        <f>D85+D79+D37+D49+D55+D25+D13+D61+D67+D31+D73+D19+D43</f>
        <v>10284548</v>
      </c>
      <c r="E87" s="279">
        <f>(+C87-D87)/D87</f>
        <v>-0.03635385823470317</v>
      </c>
      <c r="F87" s="28">
        <f>F85+F79+F37+F49+F55+F25+F13+F61+F67+F31+F73+F19+F43</f>
        <v>5212070</v>
      </c>
      <c r="G87" s="28">
        <f>G85+G79+G37+G49+G55+G25+G13+G61+G67+G31+G73+G19+G43</f>
        <v>5360502</v>
      </c>
      <c r="H87" s="30">
        <f>(+F87-G87)/G87</f>
        <v>-0.027689943964203354</v>
      </c>
      <c r="I87" s="31">
        <f>K87/C87</f>
        <v>44.98338854859891</v>
      </c>
      <c r="J87" s="31">
        <f>K87/F87</f>
        <v>85.53517018574195</v>
      </c>
      <c r="K87" s="28">
        <f>K85+K79+K37+K49+K55+K25+K13+K61+K67+K31+K73+K19+K43</f>
        <v>445815294.47</v>
      </c>
      <c r="L87" s="28">
        <f>L85+L79+L37+L49+L55+L25+L13+L61+L67+L31+L73+L19+L43</f>
        <v>442140476.84000003</v>
      </c>
      <c r="M87" s="32">
        <f>(+K87-L87)/L87</f>
        <v>0.008311425491427746</v>
      </c>
      <c r="N87" s="10"/>
      <c r="R87" s="2"/>
    </row>
    <row r="88" spans="1:18" ht="17.25" thickBot="1" thickTop="1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7.25" thickBot="1" thickTop="1">
      <c r="A89" s="64" t="s">
        <v>21</v>
      </c>
      <c r="B89" s="65"/>
      <c r="C89" s="28">
        <f>+C11+C17+C23+C29+C35+C41+C47+C53+C59+C65+C71+C77+C83</f>
        <v>3196892</v>
      </c>
      <c r="D89" s="28">
        <f>+D11+D17+D23+D29+D35+D41+D47+D53+D59+D65+D71+D77+D83</f>
        <v>3371785</v>
      </c>
      <c r="E89" s="279">
        <f>(+C89-D89)/D89</f>
        <v>-0.051869558705552106</v>
      </c>
      <c r="F89" s="28">
        <f>+F11+F17+F23+F29+F35+F41+F47+F53+F59+F65+F71+F77+F83</f>
        <v>1680682</v>
      </c>
      <c r="G89" s="28">
        <f>+G11+G17+G23+G29+G35+G41+G47+G53+G59+G65+G71+G77+G83</f>
        <v>1750610</v>
      </c>
      <c r="H89" s="30">
        <f>(+F89-G89)/G89</f>
        <v>-0.039944933480329715</v>
      </c>
      <c r="I89" s="31">
        <f>K89/C89</f>
        <v>45.06840285815098</v>
      </c>
      <c r="J89" s="31">
        <f>K89/F89</f>
        <v>85.72639949139695</v>
      </c>
      <c r="K89" s="28">
        <f>+K11+K17+K23+K29+K35+K41+K47+K53+K59+K65+K71+K77+K83</f>
        <v>144078816.55</v>
      </c>
      <c r="L89" s="28">
        <f>+L11+L17+L23+L29+L35+L41+L47+L53+L59+L65+L71+L77+L83</f>
        <v>145680788.89</v>
      </c>
      <c r="M89" s="44">
        <f>(+K89-L89)/L89</f>
        <v>-0.01099645569059613</v>
      </c>
      <c r="N89" s="10"/>
      <c r="R89" s="2"/>
    </row>
    <row r="90" spans="1:18" ht="15.75" thickTop="1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8.75">
      <c r="A91" s="264" t="s">
        <v>22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8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.7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ht="15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ht="15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.7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.7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.7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.7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.7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DATE(2018,7,1)</f>
        <v>43282</v>
      </c>
      <c r="B10" s="89">
        <f>'MONTHLY STATS'!$C$9*2</f>
        <v>522912</v>
      </c>
      <c r="C10" s="89">
        <f>'MONTHLY STATS'!$C$15*2</f>
        <v>284954</v>
      </c>
      <c r="D10" s="89">
        <f>'MONTHLY STATS'!$C$21*2</f>
        <v>145820</v>
      </c>
      <c r="E10" s="89">
        <f>'MONTHLY STATS'!$C$27*2</f>
        <v>931784</v>
      </c>
      <c r="F10" s="89">
        <f>'MONTHLY STATS'!$C$33*2</f>
        <v>578334</v>
      </c>
      <c r="G10" s="89">
        <f>'MONTHLY STATS'!$C$39*2</f>
        <v>258320</v>
      </c>
      <c r="H10" s="89">
        <f>'MONTHLY STATS'!$C$45*2</f>
        <v>328480</v>
      </c>
      <c r="I10" s="89">
        <f>'MONTHLY STATS'!$C$51*2</f>
        <v>776602</v>
      </c>
      <c r="J10" s="89">
        <f>'MONTHLY STATS'!$C$57*2</f>
        <v>827460</v>
      </c>
      <c r="K10" s="89">
        <f>'MONTHLY STATS'!$C$63*2</f>
        <v>874426</v>
      </c>
      <c r="L10" s="89">
        <f>'MONTHLY STATS'!$C$69*2</f>
        <v>127868</v>
      </c>
      <c r="M10" s="89">
        <f>'MONTHLY STATS'!$C$75*2</f>
        <v>940708</v>
      </c>
      <c r="N10" s="89">
        <f>'MONTHLY STATS'!$C$81*2</f>
        <v>166924</v>
      </c>
      <c r="O10" s="90">
        <f>SUM(B10:N10)</f>
        <v>6764592</v>
      </c>
      <c r="P10" s="83"/>
    </row>
    <row r="11" spans="1:16" ht="15.75">
      <c r="A11" s="88">
        <f>DATE(2018,8,1)</f>
        <v>43313</v>
      </c>
      <c r="B11" s="89">
        <f>'MONTHLY STATS'!$C$10*2</f>
        <v>532734</v>
      </c>
      <c r="C11" s="89">
        <f>'MONTHLY STATS'!$C$16*2</f>
        <v>275664</v>
      </c>
      <c r="D11" s="89">
        <f>'MONTHLY STATS'!$C$22*2</f>
        <v>141194</v>
      </c>
      <c r="E11" s="89">
        <f>'MONTHLY STATS'!$C$28*2</f>
        <v>909144</v>
      </c>
      <c r="F11" s="89">
        <f>'MONTHLY STATS'!$C$34*2</f>
        <v>584264</v>
      </c>
      <c r="G11" s="89">
        <f>'MONTHLY STATS'!$C$40*2</f>
        <v>241720</v>
      </c>
      <c r="H11" s="89">
        <f>'MONTHLY STATS'!$C$46*2</f>
        <v>322250</v>
      </c>
      <c r="I11" s="89">
        <f>'MONTHLY STATS'!$C$52*2</f>
        <v>750018</v>
      </c>
      <c r="J11" s="89">
        <f>'MONTHLY STATS'!$C$58*2</f>
        <v>811668</v>
      </c>
      <c r="K11" s="89">
        <f>'MONTHLY STATS'!$C$64*2</f>
        <v>856870</v>
      </c>
      <c r="L11" s="89">
        <f>'MONTHLY STATS'!$C$70*2</f>
        <v>122008</v>
      </c>
      <c r="M11" s="89">
        <f>'MONTHLY STATS'!$C$76*2</f>
        <v>949870</v>
      </c>
      <c r="N11" s="89">
        <f>'MONTHLY STATS'!$C$82*2</f>
        <v>165550</v>
      </c>
      <c r="O11" s="90">
        <f>SUM(B11:N11)</f>
        <v>6662954</v>
      </c>
      <c r="P11" s="83"/>
    </row>
    <row r="12" spans="1:16" ht="15.75">
      <c r="A12" s="88">
        <f>DATE(2018,9,1)</f>
        <v>43344</v>
      </c>
      <c r="B12" s="89">
        <f>'MONTHLY STATS'!$C$11*2</f>
        <v>527252</v>
      </c>
      <c r="C12" s="89">
        <f>'MONTHLY STATS'!$C$17*2</f>
        <v>274524</v>
      </c>
      <c r="D12" s="89">
        <f>'MONTHLY STATS'!$C$23*2</f>
        <v>135452</v>
      </c>
      <c r="E12" s="89">
        <f>'MONTHLY STATS'!$C$29*2</f>
        <v>801390</v>
      </c>
      <c r="F12" s="89">
        <f>'MONTHLY STATS'!$C$35*2</f>
        <v>585910</v>
      </c>
      <c r="G12" s="89">
        <f>'MONTHLY STATS'!$C$41*2</f>
        <v>259142</v>
      </c>
      <c r="H12" s="89">
        <f>'MONTHLY STATS'!$C$47*2</f>
        <v>308386</v>
      </c>
      <c r="I12" s="89">
        <f>'MONTHLY STATS'!$C$53*2</f>
        <v>720682</v>
      </c>
      <c r="J12" s="89">
        <f>'MONTHLY STATS'!$C$59*2</f>
        <v>773024</v>
      </c>
      <c r="K12" s="89">
        <f>'MONTHLY STATS'!$C$65*2</f>
        <v>860976</v>
      </c>
      <c r="L12" s="89">
        <f>'MONTHLY STATS'!$C$71*2</f>
        <v>114782</v>
      </c>
      <c r="M12" s="89">
        <f>'MONTHLY STATS'!$C$77*2</f>
        <v>878080</v>
      </c>
      <c r="N12" s="89">
        <f>'MONTHLY STATS'!$C$83*2</f>
        <v>154184</v>
      </c>
      <c r="O12" s="90">
        <f>SUM(B12:N12)</f>
        <v>6393784</v>
      </c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1582898</v>
      </c>
      <c r="C23" s="90">
        <f t="shared" si="0"/>
        <v>835142</v>
      </c>
      <c r="D23" s="90">
        <f t="shared" si="0"/>
        <v>422466</v>
      </c>
      <c r="E23" s="90">
        <f t="shared" si="0"/>
        <v>2642318</v>
      </c>
      <c r="F23" s="90">
        <f t="shared" si="0"/>
        <v>1748508</v>
      </c>
      <c r="G23" s="90">
        <f>SUM(G10:G21)</f>
        <v>759182</v>
      </c>
      <c r="H23" s="90">
        <f t="shared" si="0"/>
        <v>959116</v>
      </c>
      <c r="I23" s="90">
        <f>SUM(I10:I21)</f>
        <v>2247302</v>
      </c>
      <c r="J23" s="90">
        <f t="shared" si="0"/>
        <v>2412152</v>
      </c>
      <c r="K23" s="90">
        <f>SUM(K10:K21)</f>
        <v>2592272</v>
      </c>
      <c r="L23" s="90">
        <f t="shared" si="0"/>
        <v>364658</v>
      </c>
      <c r="M23" s="90">
        <f t="shared" si="0"/>
        <v>2768658</v>
      </c>
      <c r="N23" s="90">
        <f t="shared" si="0"/>
        <v>486658</v>
      </c>
      <c r="O23" s="90">
        <f t="shared" si="0"/>
        <v>19821330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DATE(2018,7,1)</f>
        <v>43282</v>
      </c>
      <c r="B31" s="89">
        <f>'MONTHLY STATS'!$K$9*0.21</f>
        <v>2808760.5189</v>
      </c>
      <c r="C31" s="89">
        <f>'MONTHLY STATS'!$K$15*0.21</f>
        <v>1548718.5546</v>
      </c>
      <c r="D31" s="89">
        <f>'MONTHLY STATS'!$K$21*0.21</f>
        <v>685642.4085</v>
      </c>
      <c r="E31" s="89">
        <f>'MONTHLY STATS'!$K$27*0.21</f>
        <v>4237819.6182</v>
      </c>
      <c r="F31" s="89">
        <f>'MONTHLY STATS'!$K$33*0.21</f>
        <v>3127962.4383</v>
      </c>
      <c r="G31" s="89">
        <f>'MONTHLY STATS'!$K$39*0.21</f>
        <v>1095967.4355</v>
      </c>
      <c r="H31" s="89">
        <f>'MONTHLY STATS'!$K$45*0.21</f>
        <v>1213029.2600999998</v>
      </c>
      <c r="I31" s="89">
        <f>'MONTHLY STATS'!$K$51*0.21</f>
        <v>2819522.3153999997</v>
      </c>
      <c r="J31" s="89">
        <f>'MONTHLY STATS'!$K$57*0.21</f>
        <v>3702168.1788000003</v>
      </c>
      <c r="K31" s="89">
        <f>'MONTHLY STATS'!$K$63*0.21</f>
        <v>4113346.1313</v>
      </c>
      <c r="L31" s="89">
        <f>'MONTHLY STATS'!$K$69*0.21</f>
        <v>592155.4359</v>
      </c>
      <c r="M31" s="89">
        <f>'MONTHLY STATS'!$K$75*0.21</f>
        <v>4918106.7138</v>
      </c>
      <c r="N31" s="89">
        <f>'MONTHLY STATS'!$K$81*0.21</f>
        <v>755284.4249999999</v>
      </c>
      <c r="O31" s="90">
        <f>SUM(B31:N31)</f>
        <v>31618483.4343</v>
      </c>
      <c r="P31" s="83"/>
    </row>
    <row r="32" spans="1:16" ht="15.75">
      <c r="A32" s="88">
        <f>DATE(2018,8,1)</f>
        <v>43313</v>
      </c>
      <c r="B32" s="89">
        <f>'MONTHLY STATS'!$K$10*0.21</f>
        <v>2931159.3863999997</v>
      </c>
      <c r="C32" s="89">
        <f>'MONTHLY STATS'!$K$16*0.21</f>
        <v>1490706.2645999999</v>
      </c>
      <c r="D32" s="89">
        <f>'MONTHLY STATS'!$K$22*0.21</f>
        <v>656176.9746</v>
      </c>
      <c r="E32" s="89">
        <f>'MONTHLY STATS'!$K$28*0.21</f>
        <v>4286184.1554</v>
      </c>
      <c r="F32" s="89">
        <f>'MONTHLY STATS'!$K$34*0.21</f>
        <v>3063779.8274999997</v>
      </c>
      <c r="G32" s="89">
        <f>'MONTHLY STATS'!$K$40*0.21</f>
        <v>1105283.0607</v>
      </c>
      <c r="H32" s="89">
        <f>'MONTHLY STATS'!$K$46*0.21</f>
        <v>1168175.9922</v>
      </c>
      <c r="I32" s="89">
        <f>'MONTHLY STATS'!$K$52*0.21</f>
        <v>2941388.9526</v>
      </c>
      <c r="J32" s="89">
        <f>'MONTHLY STATS'!$K$58*0.21</f>
        <v>3737965.8162</v>
      </c>
      <c r="K32" s="89">
        <f>'MONTHLY STATS'!$K$64*0.21</f>
        <v>4005332.6166</v>
      </c>
      <c r="L32" s="89">
        <f>'MONTHLY STATS'!$K$70*0.21</f>
        <v>583714.4480999999</v>
      </c>
      <c r="M32" s="89">
        <f>'MONTHLY STATS'!$K$76*0.21</f>
        <v>5012078.6751</v>
      </c>
      <c r="N32" s="89">
        <f>'MONTHLY STATS'!$K$82*0.21</f>
        <v>764230.7588999999</v>
      </c>
      <c r="O32" s="90">
        <f>SUM(B32:N32)</f>
        <v>31746176.9289</v>
      </c>
      <c r="P32" s="83"/>
    </row>
    <row r="33" spans="1:16" ht="15.75">
      <c r="A33" s="88">
        <f>DATE(2018,9,1)</f>
        <v>43344</v>
      </c>
      <c r="B33" s="89">
        <f>'MONTHLY STATS'!$K$11*0.21</f>
        <v>2842581.483</v>
      </c>
      <c r="C33" s="289">
        <v>1380883.09</v>
      </c>
      <c r="D33" s="89">
        <f>'MONTHLY STATS'!$K$23*0.21</f>
        <v>656634.2244</v>
      </c>
      <c r="E33" s="89">
        <f>'MONTHLY STATS'!$K$29*0.21</f>
        <v>4079115.1799999997</v>
      </c>
      <c r="F33" s="89">
        <f>'MONTHLY STATS'!$K$35*0.21</f>
        <v>3198835.7646</v>
      </c>
      <c r="G33" s="89">
        <f>'MONTHLY STATS'!$K$41*0.21</f>
        <v>1062033.5712</v>
      </c>
      <c r="H33" s="89">
        <f>'MONTHLY STATS'!$K$47*0.21</f>
        <v>1128829.0229999998</v>
      </c>
      <c r="I33" s="89">
        <f>'MONTHLY STATS'!$K$53*0.21</f>
        <v>2791439.5508999997</v>
      </c>
      <c r="J33" s="89">
        <f>'MONTHLY STATS'!$K$59*0.21</f>
        <v>3486034.587</v>
      </c>
      <c r="K33" s="89">
        <f>'MONTHLY STATS'!$K$65*0.21</f>
        <v>3822994.0245</v>
      </c>
      <c r="L33" s="89">
        <f>'MONTHLY STATS'!$K$71*0.21</f>
        <v>549592.9467</v>
      </c>
      <c r="M33" s="89">
        <f>'MONTHLY STATS'!$K$77*0.21</f>
        <v>4551602.063399999</v>
      </c>
      <c r="N33" s="89">
        <f>'MONTHLY STATS'!$K$83*0.21</f>
        <v>718634.49</v>
      </c>
      <c r="O33" s="90">
        <f>SUM(B33:N33)</f>
        <v>30269209.9987</v>
      </c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8582501.3883</v>
      </c>
      <c r="C44" s="90">
        <f t="shared" si="1"/>
        <v>4420307.9092</v>
      </c>
      <c r="D44" s="90">
        <f t="shared" si="1"/>
        <v>1998453.6075</v>
      </c>
      <c r="E44" s="90">
        <f t="shared" si="1"/>
        <v>12603118.9536</v>
      </c>
      <c r="F44" s="90">
        <f t="shared" si="1"/>
        <v>9390578.030399999</v>
      </c>
      <c r="G44" s="90">
        <f t="shared" si="1"/>
        <v>3263284.0674</v>
      </c>
      <c r="H44" s="90">
        <f t="shared" si="1"/>
        <v>3510034.2753</v>
      </c>
      <c r="I44" s="90">
        <f>SUM(I31:I42)</f>
        <v>8552350.818899998</v>
      </c>
      <c r="J44" s="90">
        <f t="shared" si="1"/>
        <v>10926168.582</v>
      </c>
      <c r="K44" s="90">
        <f>SUM(K31:K42)</f>
        <v>11941672.7724</v>
      </c>
      <c r="L44" s="90">
        <f t="shared" si="1"/>
        <v>1725462.8307</v>
      </c>
      <c r="M44" s="90">
        <f t="shared" si="1"/>
        <v>14481787.452300001</v>
      </c>
      <c r="N44" s="90">
        <f t="shared" si="1"/>
        <v>2238149.6739</v>
      </c>
      <c r="O44" s="90">
        <f t="shared" si="1"/>
        <v>93633870.3619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>(+D9-E9)/E9</f>
        <v>0.04706771859555059</v>
      </c>
      <c r="G9" s="215">
        <f>D9/C9</f>
        <v>0.17770472157927492</v>
      </c>
      <c r="H9" s="123"/>
    </row>
    <row r="10" spans="1:8" ht="15.7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>(+D10-E10)/E10</f>
        <v>0.07760179630727687</v>
      </c>
      <c r="G10" s="215">
        <f>D10/C10</f>
        <v>0.15893507234459484</v>
      </c>
      <c r="H10" s="123"/>
    </row>
    <row r="11" spans="1:8" ht="15.7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>(+D11-E11)/E11</f>
        <v>0.1656708747955294</v>
      </c>
      <c r="G11" s="215">
        <f>D11/C11</f>
        <v>0.20715740187015314</v>
      </c>
      <c r="H11" s="123"/>
    </row>
    <row r="12" spans="1:8" ht="15.75" thickBot="1">
      <c r="A12" s="133"/>
      <c r="B12" s="134"/>
      <c r="C12" s="204"/>
      <c r="D12" s="204"/>
      <c r="E12" s="204"/>
      <c r="F12" s="132"/>
      <c r="G12" s="215"/>
      <c r="H12" s="123"/>
    </row>
    <row r="13" spans="1:8" ht="17.25" thickBot="1" thickTop="1">
      <c r="A13" s="135" t="s">
        <v>14</v>
      </c>
      <c r="B13" s="136"/>
      <c r="C13" s="201">
        <f>SUM(C9:C12)</f>
        <v>30768900</v>
      </c>
      <c r="D13" s="201">
        <f>SUM(D9:D12)</f>
        <v>5561815.5</v>
      </c>
      <c r="E13" s="201">
        <f>SUM(E9:E12)</f>
        <v>5066546.48</v>
      </c>
      <c r="F13" s="137">
        <f>(+D13-E13)/E13</f>
        <v>0.09775278327260101</v>
      </c>
      <c r="G13" s="212">
        <f>D13/C13</f>
        <v>0.1807609469301795</v>
      </c>
      <c r="H13" s="123"/>
    </row>
    <row r="14" spans="1:8" ht="15.75" customHeight="1" thickTop="1">
      <c r="A14" s="138"/>
      <c r="B14" s="139"/>
      <c r="C14" s="205"/>
      <c r="D14" s="205"/>
      <c r="E14" s="205"/>
      <c r="F14" s="140"/>
      <c r="G14" s="216"/>
      <c r="H14" s="123"/>
    </row>
    <row r="15" spans="1:8" ht="15.75">
      <c r="A15" s="19" t="s">
        <v>15</v>
      </c>
      <c r="B15" s="131">
        <f>DATE(2018,7,1)</f>
        <v>43282</v>
      </c>
      <c r="C15" s="204">
        <v>2618283</v>
      </c>
      <c r="D15" s="204">
        <v>544502.5</v>
      </c>
      <c r="E15" s="204">
        <v>642088</v>
      </c>
      <c r="F15" s="132">
        <f>(+D15-E15)/E15</f>
        <v>-0.15198150409289693</v>
      </c>
      <c r="G15" s="215">
        <f>D15/C15</f>
        <v>0.2079616680091495</v>
      </c>
      <c r="H15" s="123"/>
    </row>
    <row r="16" spans="1:8" ht="15.75">
      <c r="A16" s="19"/>
      <c r="B16" s="131">
        <f>DATE(2018,8,1)</f>
        <v>43313</v>
      </c>
      <c r="C16" s="204">
        <v>2865412</v>
      </c>
      <c r="D16" s="204">
        <v>656165</v>
      </c>
      <c r="E16" s="204">
        <v>490413</v>
      </c>
      <c r="F16" s="132">
        <f>(+D16-E16)/E16</f>
        <v>0.3379845150923813</v>
      </c>
      <c r="G16" s="215">
        <f>D16/C16</f>
        <v>0.22899499269215037</v>
      </c>
      <c r="H16" s="123"/>
    </row>
    <row r="17" spans="1:8" ht="15.75">
      <c r="A17" s="19"/>
      <c r="B17" s="131">
        <f>DATE(2018,9,1)</f>
        <v>43344</v>
      </c>
      <c r="C17" s="204">
        <v>2858660</v>
      </c>
      <c r="D17" s="204">
        <v>251895.5</v>
      </c>
      <c r="E17" s="204">
        <v>534707</v>
      </c>
      <c r="F17" s="132">
        <f>(+D17-E17)/E17</f>
        <v>-0.5289092905086337</v>
      </c>
      <c r="G17" s="215">
        <f>D17/C17</f>
        <v>0.08811663506677954</v>
      </c>
      <c r="H17" s="123"/>
    </row>
    <row r="18" spans="1:8" ht="15.75" thickBot="1">
      <c r="A18" s="133"/>
      <c r="B18" s="131"/>
      <c r="C18" s="204"/>
      <c r="D18" s="204"/>
      <c r="E18" s="204"/>
      <c r="F18" s="132"/>
      <c r="G18" s="215"/>
      <c r="H18" s="123"/>
    </row>
    <row r="19" spans="1:8" ht="17.25" thickBot="1" thickTop="1">
      <c r="A19" s="135" t="s">
        <v>14</v>
      </c>
      <c r="B19" s="136"/>
      <c r="C19" s="201">
        <f>SUM(C15:C18)</f>
        <v>8342355</v>
      </c>
      <c r="D19" s="201">
        <f>SUM(D15:D18)</f>
        <v>1452563</v>
      </c>
      <c r="E19" s="201">
        <f>SUM(E15:E18)</f>
        <v>1667208</v>
      </c>
      <c r="F19" s="137">
        <f>(+D19-E19)/E19</f>
        <v>-0.12874518356437828</v>
      </c>
      <c r="G19" s="212">
        <f>D19/C19</f>
        <v>0.17411905870704375</v>
      </c>
      <c r="H19" s="123"/>
    </row>
    <row r="20" spans="1:8" ht="15.75" customHeight="1" thickTop="1">
      <c r="A20" s="255"/>
      <c r="B20" s="139"/>
      <c r="C20" s="205"/>
      <c r="D20" s="205"/>
      <c r="E20" s="205"/>
      <c r="F20" s="140"/>
      <c r="G20" s="219"/>
      <c r="H20" s="123"/>
    </row>
    <row r="21" spans="1:8" ht="15.75">
      <c r="A21" s="19" t="s">
        <v>56</v>
      </c>
      <c r="B21" s="131">
        <f>DATE(2018,7,1)</f>
        <v>43282</v>
      </c>
      <c r="C21" s="204">
        <v>1379575</v>
      </c>
      <c r="D21" s="204">
        <v>373264</v>
      </c>
      <c r="E21" s="204">
        <v>330815.5</v>
      </c>
      <c r="F21" s="132">
        <f>(+D21-E21)/E21</f>
        <v>0.12831472527738272</v>
      </c>
      <c r="G21" s="215">
        <f>D21/C21</f>
        <v>0.27056448543935635</v>
      </c>
      <c r="H21" s="123"/>
    </row>
    <row r="22" spans="1:8" ht="15.75">
      <c r="A22" s="19"/>
      <c r="B22" s="131">
        <f>DATE(2018,8,1)</f>
        <v>43313</v>
      </c>
      <c r="C22" s="204">
        <v>1464999</v>
      </c>
      <c r="D22" s="204">
        <v>339140.5</v>
      </c>
      <c r="E22" s="204">
        <v>326287.5</v>
      </c>
      <c r="F22" s="132">
        <f>(+D22-E22)/E22</f>
        <v>0.03939164080757001</v>
      </c>
      <c r="G22" s="215">
        <f>D22/C22</f>
        <v>0.23149537986032756</v>
      </c>
      <c r="H22" s="123"/>
    </row>
    <row r="23" spans="1:8" ht="15.75">
      <c r="A23" s="19"/>
      <c r="B23" s="131">
        <f>DATE(2018,9,1)</f>
        <v>43344</v>
      </c>
      <c r="C23" s="204">
        <v>1388620</v>
      </c>
      <c r="D23" s="204">
        <v>349109</v>
      </c>
      <c r="E23" s="204">
        <v>453438</v>
      </c>
      <c r="F23" s="132">
        <f>(+D23-E23)/E23</f>
        <v>-0.2300843775775299</v>
      </c>
      <c r="G23" s="215">
        <f>D23/C23</f>
        <v>0.2514071524247094</v>
      </c>
      <c r="H23" s="123"/>
    </row>
    <row r="24" spans="1:8" ht="15.75" thickBot="1">
      <c r="A24" s="133"/>
      <c r="B24" s="131"/>
      <c r="C24" s="204"/>
      <c r="D24" s="204"/>
      <c r="E24" s="204"/>
      <c r="F24" s="132"/>
      <c r="G24" s="215"/>
      <c r="H24" s="123"/>
    </row>
    <row r="25" spans="1:8" ht="17.25" thickBot="1" thickTop="1">
      <c r="A25" s="141" t="s">
        <v>14</v>
      </c>
      <c r="B25" s="142"/>
      <c r="C25" s="206">
        <f>SUM(C21:C24)</f>
        <v>4233194</v>
      </c>
      <c r="D25" s="206">
        <f>SUM(D21:D24)</f>
        <v>1061513.5</v>
      </c>
      <c r="E25" s="206">
        <f>SUM(E21:E24)</f>
        <v>1110541</v>
      </c>
      <c r="F25" s="143">
        <f>(+D25-E25)/E25</f>
        <v>-0.04414740203198261</v>
      </c>
      <c r="G25" s="217">
        <f>D25/C25</f>
        <v>0.25075947381575237</v>
      </c>
      <c r="H25" s="123"/>
    </row>
    <row r="26" spans="1:8" ht="15.75" thickTop="1">
      <c r="A26" s="133"/>
      <c r="B26" s="134"/>
      <c r="C26" s="204"/>
      <c r="D26" s="204"/>
      <c r="E26" s="204"/>
      <c r="F26" s="132"/>
      <c r="G26" s="218"/>
      <c r="H26" s="123"/>
    </row>
    <row r="27" spans="1:8" ht="15.75">
      <c r="A27" s="177" t="s">
        <v>65</v>
      </c>
      <c r="B27" s="131">
        <f>DATE(2018,7,1)</f>
        <v>43282</v>
      </c>
      <c r="C27" s="204">
        <v>14770922.01</v>
      </c>
      <c r="D27" s="204">
        <v>2640847.24</v>
      </c>
      <c r="E27" s="204">
        <v>3444933.46</v>
      </c>
      <c r="F27" s="132">
        <f>(+D27-E27)/E27</f>
        <v>-0.23341124852960143</v>
      </c>
      <c r="G27" s="215">
        <f>D27/C27</f>
        <v>0.17878689212576787</v>
      </c>
      <c r="H27" s="123"/>
    </row>
    <row r="28" spans="1:8" ht="15.75">
      <c r="A28" s="177"/>
      <c r="B28" s="131">
        <f>DATE(2018,8,1)</f>
        <v>43313</v>
      </c>
      <c r="C28" s="204">
        <v>14974767</v>
      </c>
      <c r="D28" s="204">
        <v>3019576.86</v>
      </c>
      <c r="E28" s="204">
        <v>2738890.99</v>
      </c>
      <c r="F28" s="132">
        <f>(+D28-E28)/E28</f>
        <v>0.10248157777173877</v>
      </c>
      <c r="G28" s="215">
        <f>D28/C28</f>
        <v>0.20164433009208088</v>
      </c>
      <c r="H28" s="123"/>
    </row>
    <row r="29" spans="1:8" ht="15.75">
      <c r="A29" s="177"/>
      <c r="B29" s="131">
        <f>DATE(2018,9,1)</f>
        <v>43344</v>
      </c>
      <c r="C29" s="204">
        <v>13265110.25</v>
      </c>
      <c r="D29" s="204">
        <v>3074140.25</v>
      </c>
      <c r="E29" s="204">
        <v>3077099.69</v>
      </c>
      <c r="F29" s="132">
        <f>(+D29-E29)/E29</f>
        <v>-0.0009617627955368402</v>
      </c>
      <c r="G29" s="215">
        <f>D29/C29</f>
        <v>0.2317463022970352</v>
      </c>
      <c r="H29" s="123"/>
    </row>
    <row r="30" spans="1:8" ht="15.75" customHeight="1" thickBot="1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Bot="1" thickTop="1">
      <c r="A31" s="141" t="s">
        <v>14</v>
      </c>
      <c r="B31" s="142"/>
      <c r="C31" s="206">
        <f>SUM(C27:C30)</f>
        <v>43010799.26</v>
      </c>
      <c r="D31" s="206">
        <f>SUM(D27:D30)</f>
        <v>8734564.35</v>
      </c>
      <c r="E31" s="206">
        <f>SUM(E27:E30)</f>
        <v>9260924.14</v>
      </c>
      <c r="F31" s="143">
        <f>(+D31-E31)/E31</f>
        <v>-0.05683663768786696</v>
      </c>
      <c r="G31" s="217">
        <f>D31/C31</f>
        <v>0.20307840124522253</v>
      </c>
      <c r="H31" s="123"/>
    </row>
    <row r="32" spans="1:8" ht="15.75" customHeight="1" thickTop="1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>
      <c r="A33" s="130" t="s">
        <v>39</v>
      </c>
      <c r="B33" s="131">
        <f>DATE(2018,7,1)</f>
        <v>43282</v>
      </c>
      <c r="C33" s="204">
        <v>16232884.5</v>
      </c>
      <c r="D33" s="204">
        <v>3513953.5</v>
      </c>
      <c r="E33" s="204">
        <v>4591352</v>
      </c>
      <c r="F33" s="132">
        <f>(+D33-E33)/E33</f>
        <v>-0.23465822267602224</v>
      </c>
      <c r="G33" s="215">
        <f>D33/C33</f>
        <v>0.21647129319499564</v>
      </c>
      <c r="H33" s="123"/>
    </row>
    <row r="34" spans="1:8" ht="15" customHeight="1">
      <c r="A34" s="130"/>
      <c r="B34" s="131">
        <f>DATE(2018,8,1)</f>
        <v>43313</v>
      </c>
      <c r="C34" s="204">
        <v>16145647</v>
      </c>
      <c r="D34" s="204">
        <v>3570821.5</v>
      </c>
      <c r="E34" s="204">
        <v>3842200.5</v>
      </c>
      <c r="F34" s="132">
        <f>(+D34-E34)/E34</f>
        <v>-0.07063113962949097</v>
      </c>
      <c r="G34" s="215">
        <f>D34/C34</f>
        <v>0.22116310978432763</v>
      </c>
      <c r="H34" s="123"/>
    </row>
    <row r="35" spans="1:8" ht="15" customHeight="1">
      <c r="A35" s="130"/>
      <c r="B35" s="131">
        <f>DATE(2018,9,1)</f>
        <v>43344</v>
      </c>
      <c r="C35" s="204">
        <v>16222388</v>
      </c>
      <c r="D35" s="204">
        <v>3367544</v>
      </c>
      <c r="E35" s="204">
        <v>3686124</v>
      </c>
      <c r="F35" s="132">
        <f>(+D35-E35)/E35</f>
        <v>-0.08642682666128432</v>
      </c>
      <c r="G35" s="215">
        <f>D35/C35</f>
        <v>0.2075862074067024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Bot="1" thickTop="1">
      <c r="A37" s="141" t="s">
        <v>14</v>
      </c>
      <c r="B37" s="142"/>
      <c r="C37" s="207">
        <f>SUM(C33:C36)</f>
        <v>48600919.5</v>
      </c>
      <c r="D37" s="261">
        <f>SUM(D33:D36)</f>
        <v>10452319</v>
      </c>
      <c r="E37" s="206">
        <f>SUM(E33:E36)</f>
        <v>12119676.5</v>
      </c>
      <c r="F37" s="268">
        <f>(+D37-E37)/E37</f>
        <v>-0.13757442288166685</v>
      </c>
      <c r="G37" s="267">
        <f>D37/C37</f>
        <v>0.21506422321906893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.75">
      <c r="A39" s="130" t="s">
        <v>66</v>
      </c>
      <c r="B39" s="131">
        <f>DATE(2018,7,1)</f>
        <v>43282</v>
      </c>
      <c r="C39" s="204">
        <v>2606833</v>
      </c>
      <c r="D39" s="204">
        <v>682875.5</v>
      </c>
      <c r="E39" s="204">
        <v>703792.5</v>
      </c>
      <c r="F39" s="132">
        <f>(+D39-E39)/E39</f>
        <v>-0.029720407648561188</v>
      </c>
      <c r="G39" s="215">
        <f>D39/C39</f>
        <v>0.26195598260417907</v>
      </c>
      <c r="H39" s="123"/>
    </row>
    <row r="40" spans="1:8" ht="15.75">
      <c r="A40" s="130"/>
      <c r="B40" s="131">
        <f>DATE(2018,8,1)</f>
        <v>43313</v>
      </c>
      <c r="C40" s="204">
        <v>2586664</v>
      </c>
      <c r="D40" s="204">
        <v>651283.5</v>
      </c>
      <c r="E40" s="204">
        <v>551376.5</v>
      </c>
      <c r="F40" s="132">
        <f>(+D40-E40)/E40</f>
        <v>0.1811956077199518</v>
      </c>
      <c r="G40" s="215">
        <f>D40/C40</f>
        <v>0.2517851178197091</v>
      </c>
      <c r="H40" s="123"/>
    </row>
    <row r="41" spans="1:8" ht="15.75">
      <c r="A41" s="130"/>
      <c r="B41" s="131">
        <f>DATE(2018,9,1)</f>
        <v>43344</v>
      </c>
      <c r="C41" s="204">
        <v>2355213</v>
      </c>
      <c r="D41" s="204">
        <v>584999.5</v>
      </c>
      <c r="E41" s="204">
        <v>737458.5</v>
      </c>
      <c r="F41" s="132">
        <f>(+D41-E41)/E41</f>
        <v>-0.20673570105978845</v>
      </c>
      <c r="G41" s="215">
        <f>D41/C41</f>
        <v>0.2483849656060832</v>
      </c>
      <c r="H41" s="123"/>
    </row>
    <row r="42" spans="1:8" ht="15.75" customHeight="1" thickBot="1">
      <c r="A42" s="130"/>
      <c r="B42" s="131"/>
      <c r="C42" s="204"/>
      <c r="D42" s="204"/>
      <c r="E42" s="204"/>
      <c r="F42" s="132"/>
      <c r="G42" s="215"/>
      <c r="H42" s="123"/>
    </row>
    <row r="43" spans="1:8" ht="17.25" thickBot="1" thickTop="1">
      <c r="A43" s="141" t="s">
        <v>14</v>
      </c>
      <c r="B43" s="142"/>
      <c r="C43" s="207">
        <f>SUM(C39:C42)</f>
        <v>7548710</v>
      </c>
      <c r="D43" s="261">
        <f>SUM(D39:D42)</f>
        <v>1919158.5</v>
      </c>
      <c r="E43" s="207">
        <f>SUM(E39:E42)</f>
        <v>1992627.5</v>
      </c>
      <c r="F43" s="268">
        <f>(+D43-E43)/E43</f>
        <v>-0.036870413561992894</v>
      </c>
      <c r="G43" s="267">
        <f>D43/C43</f>
        <v>0.2542366179121996</v>
      </c>
      <c r="H43" s="123"/>
    </row>
    <row r="44" spans="1:8" ht="15.75" customHeight="1" thickTop="1">
      <c r="A44" s="130"/>
      <c r="B44" s="134"/>
      <c r="C44" s="204"/>
      <c r="D44" s="204"/>
      <c r="E44" s="204"/>
      <c r="F44" s="132"/>
      <c r="G44" s="218"/>
      <c r="H44" s="123"/>
    </row>
    <row r="45" spans="1:8" ht="15.75">
      <c r="A45" s="130" t="s">
        <v>17</v>
      </c>
      <c r="B45" s="131">
        <f>DATE(2018,7,1)</f>
        <v>43282</v>
      </c>
      <c r="C45" s="204">
        <v>1436883</v>
      </c>
      <c r="D45" s="204">
        <v>395162.5</v>
      </c>
      <c r="E45" s="204">
        <v>362602</v>
      </c>
      <c r="F45" s="132">
        <f>(+D45-E45)/E45</f>
        <v>0.08979680200329838</v>
      </c>
      <c r="G45" s="215">
        <f>D45/C45</f>
        <v>0.2750136928337241</v>
      </c>
      <c r="H45" s="123"/>
    </row>
    <row r="46" spans="1:8" ht="15.75">
      <c r="A46" s="130"/>
      <c r="B46" s="131">
        <f>DATE(2018,8,1)</f>
        <v>43313</v>
      </c>
      <c r="C46" s="204">
        <v>1346022</v>
      </c>
      <c r="D46" s="204">
        <v>271146</v>
      </c>
      <c r="E46" s="204">
        <v>327445</v>
      </c>
      <c r="F46" s="132">
        <f>(+D46-E46)/E46</f>
        <v>-0.17193421796026814</v>
      </c>
      <c r="G46" s="215">
        <f>D46/C46</f>
        <v>0.20144247270846985</v>
      </c>
      <c r="H46" s="123"/>
    </row>
    <row r="47" spans="1:8" ht="15.75">
      <c r="A47" s="130"/>
      <c r="B47" s="131">
        <f>DATE(2018,9,1)</f>
        <v>43344</v>
      </c>
      <c r="C47" s="204">
        <v>1317459</v>
      </c>
      <c r="D47" s="204">
        <v>347747</v>
      </c>
      <c r="E47" s="204">
        <v>332251.5</v>
      </c>
      <c r="F47" s="132">
        <f>(+D47-E47)/E47</f>
        <v>0.04663786318496681</v>
      </c>
      <c r="G47" s="215">
        <f>D47/C47</f>
        <v>0.2639528061214808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7">
        <f>SUM(C45:C48)</f>
        <v>4100364</v>
      </c>
      <c r="D49" s="261">
        <f>SUM(D45:D48)</f>
        <v>1014055.5</v>
      </c>
      <c r="E49" s="207">
        <f>SUM(E45:E48)</f>
        <v>1022298.5</v>
      </c>
      <c r="F49" s="269">
        <f>(+D49-E49)/E49</f>
        <v>-0.008063202675148208</v>
      </c>
      <c r="G49" s="267">
        <f>D49/C49</f>
        <v>0.24730865357319495</v>
      </c>
      <c r="H49" s="123"/>
    </row>
    <row r="50" spans="1:8" ht="15.75" customHeight="1" thickTop="1">
      <c r="A50" s="130"/>
      <c r="B50" s="139"/>
      <c r="C50" s="205"/>
      <c r="D50" s="205"/>
      <c r="E50" s="205"/>
      <c r="F50" s="140"/>
      <c r="G50" s="216"/>
      <c r="H50" s="123"/>
    </row>
    <row r="51" spans="1:8" ht="15.75">
      <c r="A51" s="130" t="s">
        <v>55</v>
      </c>
      <c r="B51" s="131">
        <f>DATE(2018,7,1)</f>
        <v>43282</v>
      </c>
      <c r="C51" s="204">
        <v>13110915</v>
      </c>
      <c r="D51" s="204">
        <v>2057880.1</v>
      </c>
      <c r="E51" s="204">
        <v>2413267.38</v>
      </c>
      <c r="F51" s="132">
        <f>(+D51-E51)/E51</f>
        <v>-0.1472639471884793</v>
      </c>
      <c r="G51" s="215">
        <f>D51/C51</f>
        <v>0.1569593045184108</v>
      </c>
      <c r="H51" s="123"/>
    </row>
    <row r="52" spans="1:8" ht="15.75">
      <c r="A52" s="130"/>
      <c r="B52" s="131">
        <f>DATE(2018,8,1)</f>
        <v>43313</v>
      </c>
      <c r="C52" s="204">
        <v>13239234</v>
      </c>
      <c r="D52" s="204">
        <v>2105874.34</v>
      </c>
      <c r="E52" s="204">
        <v>2335423.3</v>
      </c>
      <c r="F52" s="132">
        <f>(+D52-E52)/E52</f>
        <v>-0.09829008728310623</v>
      </c>
      <c r="G52" s="215">
        <f>D52/C52</f>
        <v>0.15906315576867966</v>
      </c>
      <c r="H52" s="123"/>
    </row>
    <row r="53" spans="1:8" ht="15.75">
      <c r="A53" s="130"/>
      <c r="B53" s="131">
        <f>DATE(2018,9,1)</f>
        <v>43344</v>
      </c>
      <c r="C53" s="204">
        <v>12390658</v>
      </c>
      <c r="D53" s="204">
        <v>2555133.64</v>
      </c>
      <c r="E53" s="204">
        <v>2183188.72</v>
      </c>
      <c r="F53" s="132">
        <f>(+D53-E53)/E53</f>
        <v>0.17036773623491416</v>
      </c>
      <c r="G53" s="215">
        <f>D53/C53</f>
        <v>0.20621452387758585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6">
        <f>SUM(C51:C54)</f>
        <v>38740807</v>
      </c>
      <c r="D55" s="206">
        <f>SUM(D51:D54)</f>
        <v>6718888.08</v>
      </c>
      <c r="E55" s="206">
        <f>SUM(E51:E54)</f>
        <v>6931879.4</v>
      </c>
      <c r="F55" s="143">
        <f>(+D55-E55)/E55</f>
        <v>-0.030726345296774822</v>
      </c>
      <c r="G55" s="217">
        <f>D55/C55</f>
        <v>0.17343180486663584</v>
      </c>
      <c r="H55" s="123"/>
    </row>
    <row r="56" spans="1:8" ht="15.75" customHeight="1" thickTop="1">
      <c r="A56" s="138"/>
      <c r="B56" s="139"/>
      <c r="C56" s="205"/>
      <c r="D56" s="205"/>
      <c r="E56" s="205"/>
      <c r="F56" s="140"/>
      <c r="G56" s="216"/>
      <c r="H56" s="123"/>
    </row>
    <row r="57" spans="1:8" ht="15.75">
      <c r="A57" s="130" t="s">
        <v>18</v>
      </c>
      <c r="B57" s="131">
        <f>DATE(2018,7,1)</f>
        <v>43282</v>
      </c>
      <c r="C57" s="204">
        <v>13620105.34</v>
      </c>
      <c r="D57" s="204">
        <v>2729067.84</v>
      </c>
      <c r="E57" s="204">
        <v>2350317.5</v>
      </c>
      <c r="F57" s="132">
        <f>(+D57-E57)/E57</f>
        <v>0.16114858524433395</v>
      </c>
      <c r="G57" s="215">
        <f>D57/C57</f>
        <v>0.20037053839702534</v>
      </c>
      <c r="H57" s="123"/>
    </row>
    <row r="58" spans="1:8" ht="15.75">
      <c r="A58" s="130"/>
      <c r="B58" s="131">
        <f>DATE(2018,8,1)</f>
        <v>43313</v>
      </c>
      <c r="C58" s="204">
        <v>12049552</v>
      </c>
      <c r="D58" s="204">
        <v>2970026</v>
      </c>
      <c r="E58" s="204">
        <v>1942234.5</v>
      </c>
      <c r="F58" s="132">
        <f>(+D58-E58)/E58</f>
        <v>0.5291799213740668</v>
      </c>
      <c r="G58" s="215">
        <f>D58/C58</f>
        <v>0.2464843506215003</v>
      </c>
      <c r="H58" s="123"/>
    </row>
    <row r="59" spans="1:8" ht="15.75">
      <c r="A59" s="130"/>
      <c r="B59" s="131">
        <f>DATE(2018,9,1)</f>
        <v>43344</v>
      </c>
      <c r="C59" s="204">
        <v>11797906</v>
      </c>
      <c r="D59" s="204">
        <v>2637488.5</v>
      </c>
      <c r="E59" s="204">
        <v>2639234.26</v>
      </c>
      <c r="F59" s="132">
        <f>(+D59-E59)/E59</f>
        <v>-0.0006614645870805635</v>
      </c>
      <c r="G59" s="215">
        <f>D59/C59</f>
        <v>0.22355564623078028</v>
      </c>
      <c r="H59" s="123"/>
    </row>
    <row r="60" spans="1:8" ht="15.75" customHeight="1" thickBot="1">
      <c r="A60" s="130"/>
      <c r="B60" s="131"/>
      <c r="C60" s="204"/>
      <c r="D60" s="204"/>
      <c r="E60" s="204"/>
      <c r="F60" s="132"/>
      <c r="G60" s="215"/>
      <c r="H60" s="123"/>
    </row>
    <row r="61" spans="1:8" ht="17.25" thickBot="1" thickTop="1">
      <c r="A61" s="141" t="s">
        <v>14</v>
      </c>
      <c r="B61" s="142"/>
      <c r="C61" s="206">
        <f>SUM(C57:C60)</f>
        <v>37467563.34</v>
      </c>
      <c r="D61" s="206">
        <f>SUM(D57:D60)</f>
        <v>8336582.34</v>
      </c>
      <c r="E61" s="206">
        <f>SUM(E57:E60)</f>
        <v>6931786.26</v>
      </c>
      <c r="F61" s="143">
        <f>(+D61-E61)/E61</f>
        <v>0.20266003989569062</v>
      </c>
      <c r="G61" s="217">
        <f>D61/C61</f>
        <v>0.22250132105868614</v>
      </c>
      <c r="H61" s="123"/>
    </row>
    <row r="62" spans="1:8" ht="15.75" customHeight="1" thickTop="1">
      <c r="A62" s="138"/>
      <c r="B62" s="139"/>
      <c r="C62" s="205"/>
      <c r="D62" s="205"/>
      <c r="E62" s="205"/>
      <c r="F62" s="140"/>
      <c r="G62" s="216"/>
      <c r="H62" s="123"/>
    </row>
    <row r="63" spans="1:8" ht="15.75">
      <c r="A63" s="130" t="s">
        <v>58</v>
      </c>
      <c r="B63" s="131">
        <f>DATE(2018,7,1)</f>
        <v>43282</v>
      </c>
      <c r="C63" s="204">
        <v>12908844</v>
      </c>
      <c r="D63" s="204">
        <v>2888136.73</v>
      </c>
      <c r="E63" s="204">
        <v>2354816.66</v>
      </c>
      <c r="F63" s="132">
        <f>(+D63-E63)/E63</f>
        <v>0.22648050655459512</v>
      </c>
      <c r="G63" s="215">
        <f>D63/C63</f>
        <v>0.22373318091069966</v>
      </c>
      <c r="H63" s="123"/>
    </row>
    <row r="64" spans="1:8" ht="15.75">
      <c r="A64" s="130"/>
      <c r="B64" s="131">
        <f>DATE(2018,8,1)</f>
        <v>43313</v>
      </c>
      <c r="C64" s="204">
        <v>11947559</v>
      </c>
      <c r="D64" s="204">
        <v>2450251.84</v>
      </c>
      <c r="E64" s="204">
        <v>1981472</v>
      </c>
      <c r="F64" s="132">
        <f>(+D64-E64)/E64</f>
        <v>0.23658161205406883</v>
      </c>
      <c r="G64" s="215">
        <f>D64/C64</f>
        <v>0.20508388700989047</v>
      </c>
      <c r="H64" s="123"/>
    </row>
    <row r="65" spans="1:8" ht="15.75">
      <c r="A65" s="130"/>
      <c r="B65" s="131">
        <f>DATE(2018,9,1)</f>
        <v>43344</v>
      </c>
      <c r="C65" s="204">
        <v>12029316</v>
      </c>
      <c r="D65" s="204">
        <v>1944257.4</v>
      </c>
      <c r="E65" s="204">
        <v>2416134</v>
      </c>
      <c r="F65" s="132">
        <f>(+D65-E65)/E65</f>
        <v>-0.19530233008599693</v>
      </c>
      <c r="G65" s="215">
        <f>D65/C65</f>
        <v>0.16162659622542128</v>
      </c>
      <c r="H65" s="123"/>
    </row>
    <row r="66" spans="1:8" ht="15.75" thickBot="1">
      <c r="A66" s="133"/>
      <c r="B66" s="131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7">
        <f>SUM(C63:C66)</f>
        <v>36885719</v>
      </c>
      <c r="D67" s="207">
        <f>SUM(D63:D66)</f>
        <v>7282645.970000001</v>
      </c>
      <c r="E67" s="207">
        <f>SUM(E63:E66)</f>
        <v>6752422.66</v>
      </c>
      <c r="F67" s="143">
        <f>(+D67-E67)/E67</f>
        <v>0.07852341843779082</v>
      </c>
      <c r="G67" s="267">
        <f>D67/C67</f>
        <v>0.1974380916907164</v>
      </c>
      <c r="H67" s="123"/>
    </row>
    <row r="68" spans="1:8" ht="15.75" customHeight="1" thickTop="1">
      <c r="A68" s="138"/>
      <c r="B68" s="139"/>
      <c r="C68" s="205"/>
      <c r="D68" s="205"/>
      <c r="E68" s="205"/>
      <c r="F68" s="140"/>
      <c r="G68" s="219"/>
      <c r="H68" s="123"/>
    </row>
    <row r="69" spans="1:8" ht="15.75">
      <c r="A69" s="130" t="s">
        <v>59</v>
      </c>
      <c r="B69" s="131">
        <f>DATE(2018,7,1)</f>
        <v>43282</v>
      </c>
      <c r="C69" s="204">
        <v>623996.5</v>
      </c>
      <c r="D69" s="204">
        <v>154554.5</v>
      </c>
      <c r="E69" s="204">
        <v>185261.5</v>
      </c>
      <c r="F69" s="132">
        <f>(+D69-E69)/E69</f>
        <v>-0.16574949463326163</v>
      </c>
      <c r="G69" s="215">
        <f>D69/C69</f>
        <v>0.24768488284790058</v>
      </c>
      <c r="H69" s="123"/>
    </row>
    <row r="70" spans="1:8" ht="15.75">
      <c r="A70" s="130"/>
      <c r="B70" s="131">
        <f>DATE(2018,8,1)</f>
        <v>43313</v>
      </c>
      <c r="C70" s="204">
        <v>653768</v>
      </c>
      <c r="D70" s="204">
        <v>228200</v>
      </c>
      <c r="E70" s="204">
        <v>131840.5</v>
      </c>
      <c r="F70" s="132">
        <f>(+D70-E70)/E70</f>
        <v>0.7308793580121434</v>
      </c>
      <c r="G70" s="215">
        <f>D70/C70</f>
        <v>0.34905348686384163</v>
      </c>
      <c r="H70" s="123"/>
    </row>
    <row r="71" spans="1:8" ht="15.75">
      <c r="A71" s="130"/>
      <c r="B71" s="131">
        <f>DATE(2018,9,1)</f>
        <v>43344</v>
      </c>
      <c r="C71" s="204">
        <v>648238</v>
      </c>
      <c r="D71" s="204">
        <v>133253.5</v>
      </c>
      <c r="E71" s="204">
        <v>130165.5</v>
      </c>
      <c r="F71" s="132">
        <f>(+D71-E71)/E71</f>
        <v>0.023723644129972996</v>
      </c>
      <c r="G71" s="215">
        <f>D71/C71</f>
        <v>0.20556261743372034</v>
      </c>
      <c r="H71" s="123"/>
    </row>
    <row r="72" spans="1:8" ht="15.75" thickBot="1">
      <c r="A72" s="133"/>
      <c r="B72" s="134"/>
      <c r="C72" s="204"/>
      <c r="D72" s="204"/>
      <c r="E72" s="204"/>
      <c r="F72" s="132"/>
      <c r="G72" s="215"/>
      <c r="H72" s="123"/>
    </row>
    <row r="73" spans="1:8" ht="17.25" thickBot="1" thickTop="1">
      <c r="A73" s="144" t="s">
        <v>14</v>
      </c>
      <c r="B73" s="145"/>
      <c r="C73" s="207">
        <f>SUM(C69:C72)</f>
        <v>1926002.5</v>
      </c>
      <c r="D73" s="207">
        <f>SUM(D69:D72)</f>
        <v>516008</v>
      </c>
      <c r="E73" s="207">
        <f>SUM(E69:E72)</f>
        <v>447267.5</v>
      </c>
      <c r="F73" s="143">
        <f>(+D73-E73)/E73</f>
        <v>0.15368990592877865</v>
      </c>
      <c r="G73" s="217">
        <f>D73/C73</f>
        <v>0.2679165785091141</v>
      </c>
      <c r="H73" s="123"/>
    </row>
    <row r="74" spans="1:8" ht="15.75" customHeight="1" thickTop="1">
      <c r="A74" s="130"/>
      <c r="B74" s="134"/>
      <c r="C74" s="204"/>
      <c r="D74" s="204"/>
      <c r="E74" s="204"/>
      <c r="F74" s="132"/>
      <c r="G74" s="218"/>
      <c r="H74" s="123"/>
    </row>
    <row r="75" spans="1:8" ht="15.75">
      <c r="A75" s="130" t="s">
        <v>40</v>
      </c>
      <c r="B75" s="131">
        <f>DATE(2018,7,1)</f>
        <v>43282</v>
      </c>
      <c r="C75" s="204">
        <v>18395528</v>
      </c>
      <c r="D75" s="204">
        <v>4013253.36</v>
      </c>
      <c r="E75" s="204">
        <v>3485005.33</v>
      </c>
      <c r="F75" s="132">
        <f>(+D75-E75)/E75</f>
        <v>0.15157739514848886</v>
      </c>
      <c r="G75" s="215">
        <f>D75/C75</f>
        <v>0.21816461914004315</v>
      </c>
      <c r="H75" s="123"/>
    </row>
    <row r="76" spans="1:8" ht="15.75">
      <c r="A76" s="130"/>
      <c r="B76" s="131">
        <f>DATE(2018,8,1)</f>
        <v>43313</v>
      </c>
      <c r="C76" s="204">
        <v>18678539</v>
      </c>
      <c r="D76" s="204">
        <v>4234586.6</v>
      </c>
      <c r="E76" s="204">
        <v>2756152.9</v>
      </c>
      <c r="F76" s="132">
        <f>(+D76-E76)/E76</f>
        <v>0.5364120764127418</v>
      </c>
      <c r="G76" s="215">
        <f>D76/C76</f>
        <v>0.22670866281351018</v>
      </c>
      <c r="H76" s="123"/>
    </row>
    <row r="77" spans="1:8" ht="15.75">
      <c r="A77" s="130"/>
      <c r="B77" s="131">
        <f>DATE(2018,9,1)</f>
        <v>43344</v>
      </c>
      <c r="C77" s="204">
        <v>15238679</v>
      </c>
      <c r="D77" s="204">
        <v>3317290.2</v>
      </c>
      <c r="E77" s="204">
        <v>3555670.84</v>
      </c>
      <c r="F77" s="132">
        <f>(+D77-E77)/E77</f>
        <v>-0.06704238123459136</v>
      </c>
      <c r="G77" s="215">
        <f>D77/C77</f>
        <v>0.2176888298519839</v>
      </c>
      <c r="H77" s="123"/>
    </row>
    <row r="78" spans="1:8" ht="15.75" thickBot="1">
      <c r="A78" s="133"/>
      <c r="B78" s="134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6">
        <f>SUM(C75:C78)</f>
        <v>52312746</v>
      </c>
      <c r="D79" s="207">
        <f>SUM(D75:D78)</f>
        <v>11565130.16</v>
      </c>
      <c r="E79" s="206">
        <f>SUM(E75:E78)</f>
        <v>9796829.07</v>
      </c>
      <c r="F79" s="143">
        <f>(+D79-E79)/E79</f>
        <v>0.18049728921115082</v>
      </c>
      <c r="G79" s="217">
        <f>D79/C79</f>
        <v>0.2210767173262134</v>
      </c>
      <c r="H79" s="123"/>
    </row>
    <row r="80" spans="1:8" ht="15.75" customHeight="1" thickTop="1">
      <c r="A80" s="130"/>
      <c r="B80" s="134"/>
      <c r="C80" s="204"/>
      <c r="D80" s="204"/>
      <c r="E80" s="204"/>
      <c r="F80" s="132"/>
      <c r="G80" s="218"/>
      <c r="H80" s="123"/>
    </row>
    <row r="81" spans="1:8" ht="15.75">
      <c r="A81" s="130" t="s">
        <v>64</v>
      </c>
      <c r="B81" s="131">
        <f>DATE(2018,7,1)</f>
        <v>43282</v>
      </c>
      <c r="C81" s="204">
        <v>835189</v>
      </c>
      <c r="D81" s="204">
        <v>171143.5</v>
      </c>
      <c r="E81" s="204">
        <v>283672</v>
      </c>
      <c r="F81" s="132">
        <f>(+D81-E81)/E81</f>
        <v>-0.3966852562113991</v>
      </c>
      <c r="G81" s="215">
        <f>D81/C81</f>
        <v>0.20491589328882445</v>
      </c>
      <c r="H81" s="123"/>
    </row>
    <row r="82" spans="1:8" ht="15.75">
      <c r="A82" s="130"/>
      <c r="B82" s="131">
        <f>DATE(2018,8,1)</f>
        <v>43313</v>
      </c>
      <c r="C82" s="204">
        <v>795370</v>
      </c>
      <c r="D82" s="204">
        <v>217353.5</v>
      </c>
      <c r="E82" s="204">
        <v>213515</v>
      </c>
      <c r="F82" s="132">
        <f>(+D82-E82)/E82</f>
        <v>0.017977659649204975</v>
      </c>
      <c r="G82" s="215">
        <f>D82/C82</f>
        <v>0.27327344506330387</v>
      </c>
      <c r="H82" s="123"/>
    </row>
    <row r="83" spans="1:8" ht="15.75">
      <c r="A83" s="130"/>
      <c r="B83" s="131">
        <f>DATE(2018,9,1)</f>
        <v>43344</v>
      </c>
      <c r="C83" s="204">
        <v>769718</v>
      </c>
      <c r="D83" s="204">
        <v>169120</v>
      </c>
      <c r="E83" s="204">
        <v>213772.5</v>
      </c>
      <c r="F83" s="132">
        <f>(+D83-E83)/E83</f>
        <v>-0.20887859757452432</v>
      </c>
      <c r="G83" s="215">
        <f>D83/C83</f>
        <v>0.2197168313590172</v>
      </c>
      <c r="H83" s="123"/>
    </row>
    <row r="84" spans="1:8" ht="15.75" thickBot="1">
      <c r="A84" s="133"/>
      <c r="B84" s="134"/>
      <c r="C84" s="204"/>
      <c r="D84" s="204"/>
      <c r="E84" s="204"/>
      <c r="F84" s="132"/>
      <c r="G84" s="215"/>
      <c r="H84" s="123"/>
    </row>
    <row r="85" spans="1:8" ht="17.25" thickBot="1" thickTop="1">
      <c r="A85" s="135" t="s">
        <v>14</v>
      </c>
      <c r="B85" s="136"/>
      <c r="C85" s="201">
        <f>SUM(C81:C84)</f>
        <v>2400277</v>
      </c>
      <c r="D85" s="207">
        <f>SUM(D81:D84)</f>
        <v>557617</v>
      </c>
      <c r="E85" s="207">
        <f>SUM(E81:E84)</f>
        <v>710959.5</v>
      </c>
      <c r="F85" s="143">
        <f>(+D85-E85)/E85</f>
        <v>-0.21568387510118367</v>
      </c>
      <c r="G85" s="217">
        <f>D85/C85</f>
        <v>0.2323136038048942</v>
      </c>
      <c r="H85" s="123"/>
    </row>
    <row r="86" spans="1:8" ht="16.5" thickBot="1" thickTop="1">
      <c r="A86" s="146"/>
      <c r="B86" s="139"/>
      <c r="C86" s="205"/>
      <c r="D86" s="205"/>
      <c r="E86" s="205"/>
      <c r="F86" s="140"/>
      <c r="G86" s="216"/>
      <c r="H86" s="123"/>
    </row>
    <row r="87" spans="1:8" ht="17.25" thickBot="1" thickTop="1">
      <c r="A87" s="147" t="s">
        <v>41</v>
      </c>
      <c r="B87" s="121"/>
      <c r="C87" s="201">
        <f>C85+C79+C61+C49+C37+C25+C13+C31+C73+C19+C55+C67+C43</f>
        <v>316338356.6</v>
      </c>
      <c r="D87" s="201">
        <f>D85+D79+D61+D49+D37+D25+D13+D31+D73+D19+D55+D67+D43</f>
        <v>65172860.9</v>
      </c>
      <c r="E87" s="201">
        <f>E85+E79+E61+E49+E37+E25+E13+E31+E73+E19+E55+E67+E43</f>
        <v>63810966.510000005</v>
      </c>
      <c r="F87" s="137">
        <f>(+D87-E87)/E87</f>
        <v>0.0213426384912469</v>
      </c>
      <c r="G87" s="212">
        <f>D87/C87</f>
        <v>0.2060226322235373</v>
      </c>
      <c r="H87" s="123"/>
    </row>
    <row r="88" spans="1:8" ht="17.25" thickBot="1" thickTop="1">
      <c r="A88" s="147"/>
      <c r="B88" s="121"/>
      <c r="C88" s="201"/>
      <c r="D88" s="201"/>
      <c r="E88" s="201"/>
      <c r="F88" s="137"/>
      <c r="G88" s="212"/>
      <c r="H88" s="123"/>
    </row>
    <row r="89" spans="1:8" ht="17.25" thickBot="1" thickTop="1">
      <c r="A89" s="265" t="s">
        <v>42</v>
      </c>
      <c r="B89" s="266"/>
      <c r="C89" s="206">
        <f>+C11+C17+C23+C29+C35+C41+C47+C53+C59+C65+C71+C77+C83</f>
        <v>100207997.25</v>
      </c>
      <c r="D89" s="206">
        <f>+D11+D17+D23+D29+D35+D41+D47+D53+D59+D65+D71+D77+D83</f>
        <v>20788229.49</v>
      </c>
      <c r="E89" s="206">
        <f>+E11+E17+E23+E29+E35+E41+E47+E53+E59+E65+E71+E77+E83</f>
        <v>21723251.01</v>
      </c>
      <c r="F89" s="143">
        <f>(+D89-E89)/E89</f>
        <v>-0.04304243041566747</v>
      </c>
      <c r="G89" s="217">
        <f>D89/C89</f>
        <v>0.2074508029347927</v>
      </c>
      <c r="H89" s="123"/>
    </row>
    <row r="90" spans="1:8" ht="16.5" thickTop="1">
      <c r="A90" s="256"/>
      <c r="B90" s="258"/>
      <c r="C90" s="259"/>
      <c r="D90" s="259"/>
      <c r="E90" s="259"/>
      <c r="F90" s="260"/>
      <c r="G90" s="257"/>
      <c r="H90" s="257"/>
    </row>
    <row r="91" spans="1:7" ht="18.75">
      <c r="A91" s="263" t="s">
        <v>43</v>
      </c>
      <c r="B91" s="117"/>
      <c r="C91" s="208"/>
      <c r="D91" s="208"/>
      <c r="E91" s="208"/>
      <c r="F91" s="148"/>
      <c r="G91" s="220"/>
    </row>
    <row r="92" ht="15.75">
      <c r="A92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DATE(18,7,1)</f>
        <v>6757</v>
      </c>
      <c r="C10" s="226">
        <v>116623713.71</v>
      </c>
      <c r="D10" s="226">
        <v>11548721.09</v>
      </c>
      <c r="E10" s="226">
        <v>12399454.65</v>
      </c>
      <c r="F10" s="166">
        <f>(+D10-E10)/E10</f>
        <v>-0.06861056264276917</v>
      </c>
      <c r="G10" s="241">
        <f>D10/C10</f>
        <v>0.0990254959528848</v>
      </c>
      <c r="H10" s="242">
        <f>1-G10</f>
        <v>0.9009745040471152</v>
      </c>
      <c r="I10" s="157"/>
    </row>
    <row r="11" spans="1:9" ht="15.7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11441719.54</v>
      </c>
      <c r="F11" s="166">
        <f>(+D11-E11)/E11</f>
        <v>0.07314869037595732</v>
      </c>
      <c r="G11" s="241">
        <f>D11/C11</f>
        <v>0.10426412288851994</v>
      </c>
      <c r="H11" s="242">
        <f>1-G11</f>
        <v>0.8957358771114801</v>
      </c>
      <c r="I11" s="157"/>
    </row>
    <row r="12" spans="1:9" ht="15.75">
      <c r="A12" s="164"/>
      <c r="B12" s="165">
        <f>DATE(18,9,1)</f>
        <v>6819</v>
      </c>
      <c r="C12" s="226">
        <v>114244738.3</v>
      </c>
      <c r="D12" s="226">
        <v>11479851.3</v>
      </c>
      <c r="E12" s="226">
        <v>11813160.59</v>
      </c>
      <c r="F12" s="166">
        <f>(+D12-E12)/E12</f>
        <v>-0.028215081599936086</v>
      </c>
      <c r="G12" s="241">
        <f>D12/C12</f>
        <v>0.10048472665633477</v>
      </c>
      <c r="H12" s="242">
        <f>1-G12</f>
        <v>0.8995152733436652</v>
      </c>
      <c r="I12" s="157"/>
    </row>
    <row r="13" spans="1:9" ht="15.75" thickBot="1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7.25" thickBot="1" thickTop="1">
      <c r="A14" s="169" t="s">
        <v>14</v>
      </c>
      <c r="B14" s="155"/>
      <c r="C14" s="223">
        <f>SUM(C10:C13)</f>
        <v>348633470.31</v>
      </c>
      <c r="D14" s="223">
        <f>SUM(D10:D13)</f>
        <v>35307238.730000004</v>
      </c>
      <c r="E14" s="223">
        <f>SUM(E10:E13)</f>
        <v>35654334.78</v>
      </c>
      <c r="F14" s="170">
        <f>(+D14-E14)/E14</f>
        <v>-0.009735030877499294</v>
      </c>
      <c r="G14" s="236">
        <f>D14/C14</f>
        <v>0.10127323317123081</v>
      </c>
      <c r="H14" s="237">
        <f>1-G14</f>
        <v>0.8987267668287692</v>
      </c>
      <c r="I14" s="157"/>
    </row>
    <row r="15" spans="1:9" ht="15.75" thickTop="1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.75">
      <c r="A16" s="19" t="s">
        <v>51</v>
      </c>
      <c r="B16" s="165">
        <f>DATE(18,7,1)</f>
        <v>6757</v>
      </c>
      <c r="C16" s="226">
        <v>65541726.2</v>
      </c>
      <c r="D16" s="226">
        <v>6830347.76</v>
      </c>
      <c r="E16" s="226">
        <v>6811001.46</v>
      </c>
      <c r="F16" s="166">
        <f>(+D16-E16)/E16</f>
        <v>0.0028404486643583563</v>
      </c>
      <c r="G16" s="241">
        <f>D16/C16</f>
        <v>0.10421373003141927</v>
      </c>
      <c r="H16" s="242">
        <f>1-G16</f>
        <v>0.8957862699685807</v>
      </c>
      <c r="I16" s="157"/>
    </row>
    <row r="17" spans="1:9" ht="15.75">
      <c r="A17" s="19"/>
      <c r="B17" s="165">
        <f>DATE(18,8,1)</f>
        <v>6788</v>
      </c>
      <c r="C17" s="226">
        <v>63796111.6</v>
      </c>
      <c r="D17" s="226">
        <v>6442436.26</v>
      </c>
      <c r="E17" s="226">
        <v>6396602.31</v>
      </c>
      <c r="F17" s="166">
        <f>(+D17-E17)/E17</f>
        <v>0.00716535869806172</v>
      </c>
      <c r="G17" s="241">
        <f>D17/C17</f>
        <v>0.100984779454803</v>
      </c>
      <c r="H17" s="242">
        <f>1-G17</f>
        <v>0.899015220545197</v>
      </c>
      <c r="I17" s="157"/>
    </row>
    <row r="18" spans="1:9" ht="15.75">
      <c r="A18" s="19"/>
      <c r="B18" s="165">
        <f>DATE(18,9,1)</f>
        <v>6819</v>
      </c>
      <c r="C18" s="226">
        <v>63301750.79</v>
      </c>
      <c r="D18" s="226">
        <v>6263459.58</v>
      </c>
      <c r="E18" s="226">
        <v>6148408.09</v>
      </c>
      <c r="F18" s="166">
        <f>(+D18-E18)/E18</f>
        <v>0.01871240300186389</v>
      </c>
      <c r="G18" s="241">
        <f>D18/C18</f>
        <v>0.09894607182001451</v>
      </c>
      <c r="H18" s="242">
        <f>1-G18</f>
        <v>0.9010539281799855</v>
      </c>
      <c r="I18" s="157"/>
    </row>
    <row r="19" spans="1:9" ht="15.75" thickBot="1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Bot="1" thickTop="1">
      <c r="A20" s="169" t="s">
        <v>14</v>
      </c>
      <c r="B20" s="155"/>
      <c r="C20" s="223">
        <f>SUM(C16:C19)</f>
        <v>192639588.59</v>
      </c>
      <c r="D20" s="223">
        <f>SUM(D16:D19)</f>
        <v>19536243.6</v>
      </c>
      <c r="E20" s="223">
        <f>SUM(E16:E19)</f>
        <v>19356011.86</v>
      </c>
      <c r="F20" s="170">
        <f>(+D20-E20)/E20</f>
        <v>0.009311408843081898</v>
      </c>
      <c r="G20" s="236">
        <f>D20/C20</f>
        <v>0.10141344125053917</v>
      </c>
      <c r="H20" s="237">
        <f>1-G20</f>
        <v>0.8985865587494608</v>
      </c>
      <c r="I20" s="157"/>
    </row>
    <row r="21" spans="1:9" ht="15.75" thickTop="1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>
      <c r="A22" s="19" t="s">
        <v>60</v>
      </c>
      <c r="B22" s="165">
        <f>DATE(18,7,1)</f>
        <v>6757</v>
      </c>
      <c r="C22" s="226">
        <v>27451989.68</v>
      </c>
      <c r="D22" s="226">
        <v>2891699.85</v>
      </c>
      <c r="E22" s="226">
        <v>2951015.74</v>
      </c>
      <c r="F22" s="166">
        <f>(+D22-E22)/E22</f>
        <v>-0.020100160495924745</v>
      </c>
      <c r="G22" s="241">
        <f>D22/C22</f>
        <v>0.10533662163317556</v>
      </c>
      <c r="H22" s="242">
        <f>1-G22</f>
        <v>0.8946633783668244</v>
      </c>
      <c r="I22" s="157"/>
    </row>
    <row r="23" spans="1:9" ht="15.75">
      <c r="A23" s="19"/>
      <c r="B23" s="165">
        <f>DATE(18,8,1)</f>
        <v>6788</v>
      </c>
      <c r="C23" s="226">
        <v>25957318.24</v>
      </c>
      <c r="D23" s="226">
        <v>2785511.76</v>
      </c>
      <c r="E23" s="226">
        <v>2587760.59</v>
      </c>
      <c r="F23" s="166">
        <f>(+D23-E23)/E23</f>
        <v>0.07641787681757684</v>
      </c>
      <c r="G23" s="241">
        <f>D23/C23</f>
        <v>0.10731123046862179</v>
      </c>
      <c r="H23" s="242">
        <f>1-G23</f>
        <v>0.8926887695313782</v>
      </c>
      <c r="I23" s="157"/>
    </row>
    <row r="24" spans="1:9" ht="15.75">
      <c r="A24" s="19"/>
      <c r="B24" s="165">
        <f>DATE(18,9,1)</f>
        <v>6819</v>
      </c>
      <c r="C24" s="226">
        <v>26244468.76</v>
      </c>
      <c r="D24" s="226">
        <v>2777720.64</v>
      </c>
      <c r="E24" s="226">
        <v>2789987.56</v>
      </c>
      <c r="F24" s="166">
        <f>(+D24-E24)/E24</f>
        <v>-0.004396765123927623</v>
      </c>
      <c r="G24" s="241">
        <f>D24/C24</f>
        <v>0.10584023115124393</v>
      </c>
      <c r="H24" s="242">
        <f>1-G24</f>
        <v>0.894159768848756</v>
      </c>
      <c r="I24" s="157"/>
    </row>
    <row r="25" spans="1:9" ht="15.75" thickBot="1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Bot="1" thickTop="1">
      <c r="A26" s="174" t="s">
        <v>14</v>
      </c>
      <c r="B26" s="175"/>
      <c r="C26" s="228">
        <f>SUM(C22:C25)</f>
        <v>79653776.68</v>
      </c>
      <c r="D26" s="228">
        <f>SUM(D22:D25)</f>
        <v>8454932.25</v>
      </c>
      <c r="E26" s="228">
        <f>SUM(E22:E25)</f>
        <v>8328763.890000001</v>
      </c>
      <c r="F26" s="176">
        <f>(+D26-E26)/E26</f>
        <v>0.015148509630760993</v>
      </c>
      <c r="G26" s="245">
        <f>D26/C26</f>
        <v>0.10614603101578886</v>
      </c>
      <c r="H26" s="246">
        <f>1-G26</f>
        <v>0.8938539689842111</v>
      </c>
      <c r="I26" s="157"/>
    </row>
    <row r="27" spans="1:9" ht="15.75" thickTop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.75">
      <c r="A28" s="177" t="s">
        <v>65</v>
      </c>
      <c r="B28" s="165">
        <f>DATE(18,7,1)</f>
        <v>6757</v>
      </c>
      <c r="C28" s="226">
        <v>184818671</v>
      </c>
      <c r="D28" s="226">
        <v>17539246.18</v>
      </c>
      <c r="E28" s="226">
        <v>17796071.33</v>
      </c>
      <c r="F28" s="166">
        <f>(+D28-E28)/E28</f>
        <v>-0.014431564430012797</v>
      </c>
      <c r="G28" s="241">
        <f>D28/C28</f>
        <v>0.0948997527419727</v>
      </c>
      <c r="H28" s="242">
        <f>1-G28</f>
        <v>0.9051002472580273</v>
      </c>
      <c r="I28" s="157"/>
    </row>
    <row r="29" spans="1:9" ht="15.75">
      <c r="A29" s="177"/>
      <c r="B29" s="165">
        <f>DATE(18,8,1)</f>
        <v>6788</v>
      </c>
      <c r="C29" s="226">
        <v>185402170.61</v>
      </c>
      <c r="D29" s="226">
        <v>17390823.88</v>
      </c>
      <c r="E29" s="226">
        <v>17013833.45</v>
      </c>
      <c r="F29" s="166">
        <f>(+D29-E29)/E29</f>
        <v>0.02215787706561802</v>
      </c>
      <c r="G29" s="241">
        <f>D29/C29</f>
        <v>0.09380054086088457</v>
      </c>
      <c r="H29" s="242">
        <f>1-G29</f>
        <v>0.9061994591391154</v>
      </c>
      <c r="I29" s="157"/>
    </row>
    <row r="30" spans="1:9" ht="15.75">
      <c r="A30" s="177"/>
      <c r="B30" s="165">
        <f>DATE(18,9,1)</f>
        <v>6819</v>
      </c>
      <c r="C30" s="226">
        <v>169616120.73</v>
      </c>
      <c r="D30" s="226">
        <v>16350217.75</v>
      </c>
      <c r="E30" s="226">
        <v>16916276.07</v>
      </c>
      <c r="F30" s="166">
        <f>(+D30-E30)/E30</f>
        <v>-0.03346234819398997</v>
      </c>
      <c r="G30" s="241">
        <f>D30/C30</f>
        <v>0.09639542326302089</v>
      </c>
      <c r="H30" s="242">
        <f>1-G30</f>
        <v>0.9036045767369791</v>
      </c>
      <c r="I30" s="157"/>
    </row>
    <row r="31" spans="1:9" ht="15.75" thickBot="1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8"/>
      <c r="C32" s="228">
        <f>SUM(C28:C31)</f>
        <v>539836962.34</v>
      </c>
      <c r="D32" s="228">
        <f>SUM(D28:D31)</f>
        <v>51280287.81</v>
      </c>
      <c r="E32" s="228">
        <f>SUM(E28:E31)</f>
        <v>51726180.85</v>
      </c>
      <c r="F32" s="176">
        <f>(+D32-E32)/E32</f>
        <v>-0.0086202583038759</v>
      </c>
      <c r="G32" s="245">
        <f>D32/C32</f>
        <v>0.09499217613354652</v>
      </c>
      <c r="H32" s="246">
        <f>1-G32</f>
        <v>0.9050078238664535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64" t="s">
        <v>16</v>
      </c>
      <c r="B34" s="165">
        <f>DATE(18,7,1)</f>
        <v>6757</v>
      </c>
      <c r="C34" s="226">
        <v>111478358.27</v>
      </c>
      <c r="D34" s="226">
        <v>11381105.73</v>
      </c>
      <c r="E34" s="226">
        <v>12386204.68</v>
      </c>
      <c r="F34" s="166">
        <f>(+D34-E34)/E34</f>
        <v>-0.08114664467178814</v>
      </c>
      <c r="G34" s="241">
        <f>D34/C34</f>
        <v>0.10209251290223545</v>
      </c>
      <c r="H34" s="242">
        <f>1-G34</f>
        <v>0.8979074870977646</v>
      </c>
      <c r="I34" s="157"/>
    </row>
    <row r="35" spans="1:9" ht="15.75">
      <c r="A35" s="164"/>
      <c r="B35" s="165">
        <f>DATE(18,8,1)</f>
        <v>6788</v>
      </c>
      <c r="C35" s="226">
        <v>118354764.09</v>
      </c>
      <c r="D35" s="226">
        <v>11018606.25</v>
      </c>
      <c r="E35" s="226">
        <v>11735802.96</v>
      </c>
      <c r="F35" s="166">
        <f>(+D35-E35)/E35</f>
        <v>-0.0611118568064303</v>
      </c>
      <c r="G35" s="241">
        <f>D35/C35</f>
        <v>0.09309812186031792</v>
      </c>
      <c r="H35" s="242">
        <f>1-G35</f>
        <v>0.906901878139682</v>
      </c>
      <c r="I35" s="157"/>
    </row>
    <row r="36" spans="1:9" ht="15.75">
      <c r="A36" s="164"/>
      <c r="B36" s="165">
        <f>DATE(18,9,1)</f>
        <v>6819</v>
      </c>
      <c r="C36" s="226">
        <v>117946300.34</v>
      </c>
      <c r="D36" s="226">
        <v>11865007.26</v>
      </c>
      <c r="E36" s="226">
        <v>11892155.97</v>
      </c>
      <c r="F36" s="166">
        <f>(+D36-E36)/E36</f>
        <v>-0.002282909008970969</v>
      </c>
      <c r="G36" s="241">
        <f>D36/C36</f>
        <v>0.10059668871170291</v>
      </c>
      <c r="H36" s="242">
        <f>1-G36</f>
        <v>0.8994033112882971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SUM(C34:C37)</f>
        <v>347779422.70000005</v>
      </c>
      <c r="D38" s="230">
        <f>SUM(D34:D37)</f>
        <v>34264719.24</v>
      </c>
      <c r="E38" s="271">
        <f>SUM(E34:E37)</f>
        <v>36014163.61</v>
      </c>
      <c r="F38" s="272">
        <f>(+D38-E38)/E38</f>
        <v>-0.04857656529094658</v>
      </c>
      <c r="G38" s="249">
        <f>D38/C38</f>
        <v>0.09852428580732128</v>
      </c>
      <c r="H38" s="270">
        <f>1-G38</f>
        <v>0.9014757141926787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64" t="s">
        <v>66</v>
      </c>
      <c r="B40" s="165">
        <f>DATE(18,7,1)</f>
        <v>6757</v>
      </c>
      <c r="C40" s="226">
        <v>43839500.54</v>
      </c>
      <c r="D40" s="226">
        <v>4536017.05</v>
      </c>
      <c r="E40" s="226">
        <v>4991725.48</v>
      </c>
      <c r="F40" s="166">
        <f>(+D40-E40)/E40</f>
        <v>-0.0912927667648904</v>
      </c>
      <c r="G40" s="241">
        <f>D40/C40</f>
        <v>0.10346872099651891</v>
      </c>
      <c r="H40" s="242">
        <f>1-G40</f>
        <v>0.8965312790034811</v>
      </c>
      <c r="I40" s="157"/>
    </row>
    <row r="41" spans="1:9" ht="15.75">
      <c r="A41" s="164"/>
      <c r="B41" s="165">
        <f>DATE(18,8,1)</f>
        <v>6788</v>
      </c>
      <c r="C41" s="226">
        <v>43029880.97</v>
      </c>
      <c r="D41" s="226">
        <v>4611969.17</v>
      </c>
      <c r="E41" s="226">
        <v>4592418.47</v>
      </c>
      <c r="F41" s="166">
        <f>(+D41-E41)/E41</f>
        <v>0.004257168663464632</v>
      </c>
      <c r="G41" s="241">
        <f>D41/C41</f>
        <v>0.1071806164933484</v>
      </c>
      <c r="H41" s="242">
        <f>1-G41</f>
        <v>0.8928193835066516</v>
      </c>
      <c r="I41" s="157"/>
    </row>
    <row r="42" spans="1:9" ht="15.75">
      <c r="A42" s="164"/>
      <c r="B42" s="165">
        <f>DATE(18,9,1)</f>
        <v>6819</v>
      </c>
      <c r="C42" s="226">
        <v>42955268.14</v>
      </c>
      <c r="D42" s="226">
        <v>4472303.22</v>
      </c>
      <c r="E42" s="226">
        <v>5151289.25</v>
      </c>
      <c r="F42" s="166">
        <f>(+D42-E42)/E42</f>
        <v>-0.13180895054572994</v>
      </c>
      <c r="G42" s="241">
        <f>D42/C42</f>
        <v>0.104115360319108</v>
      </c>
      <c r="H42" s="242">
        <f>1-G42</f>
        <v>0.895884639680892</v>
      </c>
      <c r="I42" s="157"/>
    </row>
    <row r="43" spans="1:9" ht="15.75" thickBot="1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75"/>
      <c r="C44" s="228">
        <f>SUM(C40:C43)</f>
        <v>129824649.64999999</v>
      </c>
      <c r="D44" s="230">
        <f>SUM(D40:D43)</f>
        <v>13620289.439999998</v>
      </c>
      <c r="E44" s="271">
        <f>SUM(E40:E43)</f>
        <v>14735433.2</v>
      </c>
      <c r="F44" s="272">
        <f>(+D44-E44)/E44</f>
        <v>-0.07567770454145872</v>
      </c>
      <c r="G44" s="249">
        <f>D44/C44</f>
        <v>0.10491296896790815</v>
      </c>
      <c r="H44" s="270">
        <f>1-G44</f>
        <v>0.8950870310320919</v>
      </c>
      <c r="I44" s="157"/>
    </row>
    <row r="45" spans="1:9" ht="15.7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>
      <c r="A46" s="164" t="s">
        <v>17</v>
      </c>
      <c r="B46" s="165">
        <f>DATE(18,7,1)</f>
        <v>6757</v>
      </c>
      <c r="C46" s="226">
        <v>49505917.04</v>
      </c>
      <c r="D46" s="226">
        <v>5381167.31</v>
      </c>
      <c r="E46" s="226">
        <v>5822170.92</v>
      </c>
      <c r="F46" s="166">
        <f>(+D46-E46)/E46</f>
        <v>-0.07574556227559193</v>
      </c>
      <c r="G46" s="241">
        <f>D46/C46</f>
        <v>0.10869745743023206</v>
      </c>
      <c r="H46" s="242">
        <f>1-G46</f>
        <v>0.8913025425697679</v>
      </c>
      <c r="I46" s="157"/>
    </row>
    <row r="47" spans="1:9" ht="15.75">
      <c r="A47" s="164"/>
      <c r="B47" s="165">
        <f>DATE(18,8,1)</f>
        <v>6788</v>
      </c>
      <c r="C47" s="226">
        <v>49219766.57</v>
      </c>
      <c r="D47" s="226">
        <v>5291596.82</v>
      </c>
      <c r="E47" s="226">
        <v>5584923.33</v>
      </c>
      <c r="F47" s="166">
        <f>(+D47-E47)/E47</f>
        <v>-0.05252113460973864</v>
      </c>
      <c r="G47" s="241">
        <f>D47/C47</f>
        <v>0.10750958789035152</v>
      </c>
      <c r="H47" s="242">
        <f>1-G47</f>
        <v>0.8924904121096485</v>
      </c>
      <c r="I47" s="157"/>
    </row>
    <row r="48" spans="1:9" ht="15.75">
      <c r="A48" s="164"/>
      <c r="B48" s="165">
        <f>DATE(18,9,1)</f>
        <v>6819</v>
      </c>
      <c r="C48" s="226">
        <v>46813151.35</v>
      </c>
      <c r="D48" s="226">
        <v>5027629.3</v>
      </c>
      <c r="E48" s="226">
        <v>5571414.24</v>
      </c>
      <c r="F48" s="166">
        <f>(+D48-E48)/E48</f>
        <v>-0.09760267619231995</v>
      </c>
      <c r="G48" s="241">
        <f>D48/C48</f>
        <v>0.10739779645276967</v>
      </c>
      <c r="H48" s="242">
        <f>1-G48</f>
        <v>0.8926022035472303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SUM(C46:C49)</f>
        <v>145538834.96</v>
      </c>
      <c r="D50" s="230">
        <f>SUM(D46:D49)</f>
        <v>15700393.43</v>
      </c>
      <c r="E50" s="271">
        <f>SUM(E46:E49)</f>
        <v>16978508.490000002</v>
      </c>
      <c r="F50" s="272">
        <f>(+D50-E50)/E50</f>
        <v>-0.07527840627183396</v>
      </c>
      <c r="G50" s="249">
        <f>D50/C50</f>
        <v>0.1078776907504798</v>
      </c>
      <c r="H50" s="270">
        <f>1-G50</f>
        <v>0.8921223092495202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64" t="s">
        <v>67</v>
      </c>
      <c r="B52" s="165">
        <f>DATE(18,7,1)</f>
        <v>6757</v>
      </c>
      <c r="C52" s="226">
        <v>116042592.23</v>
      </c>
      <c r="D52" s="226">
        <v>11368416.64</v>
      </c>
      <c r="E52" s="226">
        <v>10117966.68</v>
      </c>
      <c r="F52" s="166">
        <f>(+D52-E52)/E52</f>
        <v>0.12358708024525743</v>
      </c>
      <c r="G52" s="241">
        <f>D52/C52</f>
        <v>0.09796762052219109</v>
      </c>
      <c r="H52" s="242">
        <f>1-G52</f>
        <v>0.9020323794778089</v>
      </c>
      <c r="I52" s="157"/>
    </row>
    <row r="53" spans="1:9" ht="15.75">
      <c r="A53" s="164"/>
      <c r="B53" s="165">
        <f>DATE(18,8,1)</f>
        <v>6788</v>
      </c>
      <c r="C53" s="226">
        <v>116465353.84</v>
      </c>
      <c r="D53" s="226">
        <v>11900739.72</v>
      </c>
      <c r="E53" s="226">
        <v>10081520.41</v>
      </c>
      <c r="F53" s="166">
        <f>(+D53-E53)/E53</f>
        <v>0.18045088796284056</v>
      </c>
      <c r="G53" s="241">
        <f>D53/C53</f>
        <v>0.10218266057345454</v>
      </c>
      <c r="H53" s="242">
        <f>1-G53</f>
        <v>0.8978173394265454</v>
      </c>
      <c r="I53" s="157"/>
    </row>
    <row r="54" spans="1:9" ht="15.75">
      <c r="A54" s="164"/>
      <c r="B54" s="165">
        <f>DATE(18,9,1)</f>
        <v>6819</v>
      </c>
      <c r="C54" s="226">
        <v>111448034.52</v>
      </c>
      <c r="D54" s="226">
        <v>10737435.65</v>
      </c>
      <c r="E54" s="226">
        <v>9642813.36</v>
      </c>
      <c r="F54" s="166">
        <f>(+D54-E54)/E54</f>
        <v>0.11351690104681245</v>
      </c>
      <c r="G54" s="241">
        <f>D54/C54</f>
        <v>0.09634477356415923</v>
      </c>
      <c r="H54" s="242">
        <f>1-G54</f>
        <v>0.9036552264358407</v>
      </c>
      <c r="I54" s="157"/>
    </row>
    <row r="55" spans="1:9" ht="15.7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SUM(C52:C55)</f>
        <v>343955980.59</v>
      </c>
      <c r="D56" s="230">
        <f>SUM(D52:D55)</f>
        <v>34006592.01</v>
      </c>
      <c r="E56" s="271">
        <f>SUM(E52:E55)</f>
        <v>29842300.45</v>
      </c>
      <c r="F56" s="176">
        <f>(+D56-E56)/E56</f>
        <v>0.139543248918667</v>
      </c>
      <c r="G56" s="249">
        <f>D56/C56</f>
        <v>0.09886902373864026</v>
      </c>
      <c r="H56" s="270">
        <f>1-G56</f>
        <v>0.9011309762613597</v>
      </c>
      <c r="I56" s="157"/>
    </row>
    <row r="57" spans="1:9" ht="15.75" thickTop="1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.75">
      <c r="A58" s="164" t="s">
        <v>18</v>
      </c>
      <c r="B58" s="165">
        <f>DATE(18,7,1)</f>
        <v>6757</v>
      </c>
      <c r="C58" s="226">
        <v>150620962.91</v>
      </c>
      <c r="D58" s="226">
        <v>14900304.44</v>
      </c>
      <c r="E58" s="226">
        <v>13990899.67</v>
      </c>
      <c r="F58" s="166">
        <f>(+D58-E58)/E58</f>
        <v>0.06499973493127048</v>
      </c>
      <c r="G58" s="241">
        <f>D58/C58</f>
        <v>0.09892583443981383</v>
      </c>
      <c r="H58" s="242">
        <f>1-G58</f>
        <v>0.9010741655601862</v>
      </c>
      <c r="I58" s="157"/>
    </row>
    <row r="59" spans="1:9" ht="15.75">
      <c r="A59" s="164"/>
      <c r="B59" s="165">
        <f>DATE(18,8,1)</f>
        <v>6788</v>
      </c>
      <c r="C59" s="226">
        <v>151491190.93</v>
      </c>
      <c r="D59" s="226">
        <v>14829811.22</v>
      </c>
      <c r="E59" s="226">
        <v>13373041.55</v>
      </c>
      <c r="F59" s="166">
        <f>(+D59-E59)/E59</f>
        <v>0.10893330919172982</v>
      </c>
      <c r="G59" s="241">
        <f>D59/C59</f>
        <v>0.09789223471648893</v>
      </c>
      <c r="H59" s="242">
        <f>1-G59</f>
        <v>0.9021077652835111</v>
      </c>
      <c r="I59" s="157"/>
    </row>
    <row r="60" spans="1:9" ht="15.75">
      <c r="A60" s="164"/>
      <c r="B60" s="165">
        <f>DATE(18,9,1)</f>
        <v>6819</v>
      </c>
      <c r="C60" s="226">
        <v>146030772.52</v>
      </c>
      <c r="D60" s="226">
        <v>13962676.2</v>
      </c>
      <c r="E60" s="226">
        <v>13392030.43</v>
      </c>
      <c r="F60" s="166">
        <f>(+D60-E60)/E60</f>
        <v>0.04261084777119936</v>
      </c>
      <c r="G60" s="241">
        <f>D60/C60</f>
        <v>0.09561461573510273</v>
      </c>
      <c r="H60" s="242">
        <f>1-G60</f>
        <v>0.9043853842648972</v>
      </c>
      <c r="I60" s="157"/>
    </row>
    <row r="61" spans="1:9" ht="15.75" customHeight="1" thickBot="1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7.25" thickBot="1" thickTop="1">
      <c r="A62" s="174" t="s">
        <v>14</v>
      </c>
      <c r="B62" s="181"/>
      <c r="C62" s="228">
        <f>SUM(C58:C61)</f>
        <v>448142926.36</v>
      </c>
      <c r="D62" s="228">
        <f>SUM(D58:D61)</f>
        <v>43692791.86</v>
      </c>
      <c r="E62" s="228">
        <f>SUM(E58:E61)</f>
        <v>40755971.65</v>
      </c>
      <c r="F62" s="176">
        <f>(+D62-E62)/E62</f>
        <v>0.07205864787669714</v>
      </c>
      <c r="G62" s="245">
        <f>D62/C62</f>
        <v>0.09749744844773231</v>
      </c>
      <c r="H62" s="246">
        <f>1-G62</f>
        <v>0.9025025515522677</v>
      </c>
      <c r="I62" s="157"/>
    </row>
    <row r="63" spans="1:9" ht="15.75" thickTop="1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.75">
      <c r="A64" s="164" t="s">
        <v>58</v>
      </c>
      <c r="B64" s="165">
        <f>DATE(18,7,1)</f>
        <v>6757</v>
      </c>
      <c r="C64" s="226">
        <v>178050719.09</v>
      </c>
      <c r="D64" s="226">
        <v>16699225.8</v>
      </c>
      <c r="E64" s="226">
        <v>17449857.02</v>
      </c>
      <c r="F64" s="166">
        <f>(+D64-E64)/E64</f>
        <v>-0.0430164682231877</v>
      </c>
      <c r="G64" s="241">
        <f>D64/C64</f>
        <v>0.09378915112136658</v>
      </c>
      <c r="H64" s="242">
        <f>1-G64</f>
        <v>0.9062108488786335</v>
      </c>
      <c r="I64" s="157"/>
    </row>
    <row r="65" spans="1:9" ht="15.75">
      <c r="A65" s="164"/>
      <c r="B65" s="165">
        <f>DATE(18,8,1)</f>
        <v>6788</v>
      </c>
      <c r="C65" s="226">
        <v>177417877.38</v>
      </c>
      <c r="D65" s="226">
        <v>16622760.62</v>
      </c>
      <c r="E65" s="226">
        <v>16610228.17</v>
      </c>
      <c r="F65" s="166">
        <f>(+D65-E65)/E65</f>
        <v>0.0007545019774402807</v>
      </c>
      <c r="G65" s="241">
        <f>D65/C65</f>
        <v>0.09369270372002463</v>
      </c>
      <c r="H65" s="242">
        <f>1-G65</f>
        <v>0.9063072962799754</v>
      </c>
      <c r="I65" s="157"/>
    </row>
    <row r="66" spans="1:9" ht="15.75">
      <c r="A66" s="164"/>
      <c r="B66" s="165">
        <f>DATE(18,9,1)</f>
        <v>6819</v>
      </c>
      <c r="C66" s="226">
        <v>176309993.38</v>
      </c>
      <c r="D66" s="226">
        <v>16260476.05</v>
      </c>
      <c r="E66" s="226">
        <v>16301470.13</v>
      </c>
      <c r="F66" s="166">
        <f>(+D66-E66)/E66</f>
        <v>-0.002514747422967555</v>
      </c>
      <c r="G66" s="241">
        <f>D66/C66</f>
        <v>0.09222662730724447</v>
      </c>
      <c r="H66" s="242">
        <f>1-G66</f>
        <v>0.9077733726927555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SUM(C64:C67)</f>
        <v>531778589.85</v>
      </c>
      <c r="D68" s="228">
        <f>SUM(D64:D67)</f>
        <v>49582462.47</v>
      </c>
      <c r="E68" s="228">
        <f>SUM(E64:E67)</f>
        <v>50361555.32</v>
      </c>
      <c r="F68" s="176">
        <f>(+D68-E68)/E68</f>
        <v>-0.015469991842976335</v>
      </c>
      <c r="G68" s="249">
        <f>D68/C68</f>
        <v>0.09323892201825168</v>
      </c>
      <c r="H68" s="270">
        <f>1-G68</f>
        <v>0.9067610779817483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59</v>
      </c>
      <c r="B70" s="165">
        <f>DATE(18,7,1)</f>
        <v>6757</v>
      </c>
      <c r="C70" s="226">
        <v>24024603.44</v>
      </c>
      <c r="D70" s="226">
        <v>2665233.29</v>
      </c>
      <c r="E70" s="226">
        <v>2744349.13</v>
      </c>
      <c r="F70" s="166">
        <f>(+D70-E70)/E70</f>
        <v>-0.028828635225431342</v>
      </c>
      <c r="G70" s="241">
        <f>D70/C70</f>
        <v>0.11093766008068602</v>
      </c>
      <c r="H70" s="242">
        <f>1-G70</f>
        <v>0.8890623399193139</v>
      </c>
      <c r="I70" s="157"/>
    </row>
    <row r="71" spans="1:9" ht="15.75">
      <c r="A71" s="164"/>
      <c r="B71" s="165">
        <f>DATE(18,8,1)</f>
        <v>6788</v>
      </c>
      <c r="C71" s="226">
        <v>22943875.77</v>
      </c>
      <c r="D71" s="226">
        <v>2551392.61</v>
      </c>
      <c r="E71" s="226">
        <v>2540959.26</v>
      </c>
      <c r="F71" s="166">
        <f>(+D71-E71)/E71</f>
        <v>0.004106067406999707</v>
      </c>
      <c r="G71" s="241">
        <f>D71/C71</f>
        <v>0.11120146550549423</v>
      </c>
      <c r="H71" s="242">
        <f>1-G71</f>
        <v>0.8887985344945057</v>
      </c>
      <c r="I71" s="157"/>
    </row>
    <row r="72" spans="1:9" ht="15.75">
      <c r="A72" s="164"/>
      <c r="B72" s="165">
        <f>DATE(18,9,1)</f>
        <v>6819</v>
      </c>
      <c r="C72" s="226">
        <v>21572518.82</v>
      </c>
      <c r="D72" s="226">
        <v>2483855.77</v>
      </c>
      <c r="E72" s="226">
        <v>2634253.17</v>
      </c>
      <c r="F72" s="166">
        <f>(+D72-E72)/E72</f>
        <v>-0.057092993837035</v>
      </c>
      <c r="G72" s="241">
        <f>D72/C72</f>
        <v>0.11513981240323239</v>
      </c>
      <c r="H72" s="242">
        <f>1-G72</f>
        <v>0.8848601875967677</v>
      </c>
      <c r="I72" s="157"/>
    </row>
    <row r="73" spans="1:9" ht="15.75" thickBot="1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7.25" thickBot="1" thickTop="1">
      <c r="A74" s="182" t="s">
        <v>14</v>
      </c>
      <c r="B74" s="183"/>
      <c r="C74" s="230">
        <f>SUM(C70:C73)</f>
        <v>68540998.03</v>
      </c>
      <c r="D74" s="230">
        <f>SUM(D70:D73)</f>
        <v>7700481.67</v>
      </c>
      <c r="E74" s="230">
        <f>SUM(E70:E73)</f>
        <v>7919561.56</v>
      </c>
      <c r="F74" s="176">
        <f>(+D74-E74)/E74</f>
        <v>-0.027663133664687325</v>
      </c>
      <c r="G74" s="249">
        <f>D74/C74</f>
        <v>0.11234854891709548</v>
      </c>
      <c r="H74" s="246">
        <f>1-G74</f>
        <v>0.8876514510829046</v>
      </c>
      <c r="I74" s="157"/>
    </row>
    <row r="75" spans="1:9" ht="15.75" thickTop="1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>
      <c r="A76" s="164" t="s">
        <v>40</v>
      </c>
      <c r="B76" s="165">
        <f>DATE(18,7,1)</f>
        <v>6757</v>
      </c>
      <c r="C76" s="226">
        <v>216736742.84</v>
      </c>
      <c r="D76" s="226">
        <v>19406302.42</v>
      </c>
      <c r="E76" s="226">
        <v>20250233.59</v>
      </c>
      <c r="F76" s="166">
        <f>(+D76-E76)/E76</f>
        <v>-0.04167513259781603</v>
      </c>
      <c r="G76" s="241">
        <f>D76/C76</f>
        <v>0.08953859029950531</v>
      </c>
      <c r="H76" s="242">
        <f>1-G76</f>
        <v>0.9104614097004947</v>
      </c>
      <c r="I76" s="157"/>
    </row>
    <row r="77" spans="1:9" ht="15.75">
      <c r="A77" s="164"/>
      <c r="B77" s="165">
        <f>DATE(18,8,1)</f>
        <v>6788</v>
      </c>
      <c r="C77" s="226">
        <v>217223700.98</v>
      </c>
      <c r="D77" s="226">
        <v>19632454.71</v>
      </c>
      <c r="E77" s="226">
        <v>18649872.98</v>
      </c>
      <c r="F77" s="166">
        <f>(+D77-E77)/E77</f>
        <v>0.05268570628088001</v>
      </c>
      <c r="G77" s="241">
        <f>D77/C77</f>
        <v>0.09037897163812517</v>
      </c>
      <c r="H77" s="242">
        <f>1-G77</f>
        <v>0.9096210283618749</v>
      </c>
      <c r="I77" s="157"/>
    </row>
    <row r="78" spans="1:9" ht="15.75">
      <c r="A78" s="164"/>
      <c r="B78" s="165">
        <f>DATE(18,9,1)</f>
        <v>6819</v>
      </c>
      <c r="C78" s="226">
        <v>205256989.51</v>
      </c>
      <c r="D78" s="226">
        <v>18357005.34</v>
      </c>
      <c r="E78" s="226">
        <v>18449653.52</v>
      </c>
      <c r="F78" s="166">
        <f>(+D78-E78)/E78</f>
        <v>-0.0050216758758946985</v>
      </c>
      <c r="G78" s="241">
        <f>D78/C78</f>
        <v>0.08943425207503425</v>
      </c>
      <c r="H78" s="242">
        <f>1-G78</f>
        <v>0.9105657479249658</v>
      </c>
      <c r="I78" s="157"/>
    </row>
    <row r="79" spans="1:9" ht="15.75" thickBot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75"/>
      <c r="C80" s="228">
        <f>SUM(C76:C79)</f>
        <v>639217433.3299999</v>
      </c>
      <c r="D80" s="228">
        <f>SUM(D76:D79)</f>
        <v>57395762.47</v>
      </c>
      <c r="E80" s="228">
        <f>SUM(E76:E79)</f>
        <v>57349760.09</v>
      </c>
      <c r="F80" s="176">
        <f>(+D80-E80)/E80</f>
        <v>0.0008021372701089398</v>
      </c>
      <c r="G80" s="245">
        <f>D80/C80</f>
        <v>0.08979067133854136</v>
      </c>
      <c r="H80" s="246">
        <f>1-G80</f>
        <v>0.9102093286614586</v>
      </c>
      <c r="I80" s="157"/>
    </row>
    <row r="81" spans="1:9" ht="15.75" thickTop="1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>
      <c r="A82" s="164" t="s">
        <v>64</v>
      </c>
      <c r="B82" s="165">
        <f>DATE(18,7,1)</f>
        <v>6757</v>
      </c>
      <c r="C82" s="226">
        <v>30178966.07</v>
      </c>
      <c r="D82" s="226">
        <v>3425449</v>
      </c>
      <c r="E82" s="226">
        <v>3031134.15</v>
      </c>
      <c r="F82" s="166">
        <f>(+D82-E82)/E82</f>
        <v>0.13008822126859682</v>
      </c>
      <c r="G82" s="241">
        <f>D82/C82</f>
        <v>0.11350451808238506</v>
      </c>
      <c r="H82" s="242">
        <f>1-G82</f>
        <v>0.886495481917615</v>
      </c>
      <c r="I82" s="157"/>
    </row>
    <row r="83" spans="1:9" ht="15.75">
      <c r="A83" s="164"/>
      <c r="B83" s="165">
        <f>DATE(18,8,1)</f>
        <v>6788</v>
      </c>
      <c r="C83" s="226">
        <v>31687944.14</v>
      </c>
      <c r="D83" s="226">
        <v>3421840.59</v>
      </c>
      <c r="E83" s="226">
        <v>3021204.93</v>
      </c>
      <c r="F83" s="166">
        <f>(+D83-E83)/E83</f>
        <v>0.13260790621045349</v>
      </c>
      <c r="G83" s="241">
        <f>D83/C83</f>
        <v>0.10798556621035497</v>
      </c>
      <c r="H83" s="242">
        <f>1-G83</f>
        <v>0.8920144337896451</v>
      </c>
      <c r="I83" s="157"/>
    </row>
    <row r="84" spans="1:9" ht="15.75">
      <c r="A84" s="164"/>
      <c r="B84" s="165">
        <f>DATE(18,9,1)</f>
        <v>6819</v>
      </c>
      <c r="C84" s="226">
        <v>28817033.2</v>
      </c>
      <c r="D84" s="226">
        <v>3252949</v>
      </c>
      <c r="E84" s="226">
        <v>3254625.5</v>
      </c>
      <c r="F84" s="166">
        <f>(+D84-E84)/E84</f>
        <v>-0.0005151130291334594</v>
      </c>
      <c r="G84" s="241">
        <f>D84/C84</f>
        <v>0.11288285568550478</v>
      </c>
      <c r="H84" s="242">
        <f>1-G84</f>
        <v>0.8871171443144952</v>
      </c>
      <c r="I84" s="157"/>
    </row>
    <row r="85" spans="1:9" ht="15.75" thickBot="1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7.25" thickBot="1" thickTop="1">
      <c r="A86" s="169" t="s">
        <v>14</v>
      </c>
      <c r="B86" s="155"/>
      <c r="C86" s="223">
        <f>SUM(C82:C85)</f>
        <v>90683943.41</v>
      </c>
      <c r="D86" s="223">
        <f>SUM(D82:D85)</f>
        <v>10100238.59</v>
      </c>
      <c r="E86" s="223">
        <f>SUM(E82:E85)</f>
        <v>9306964.58</v>
      </c>
      <c r="F86" s="176">
        <f>(+D86-E86)/E86</f>
        <v>0.08523445030667558</v>
      </c>
      <c r="G86" s="245">
        <f>D86/C86</f>
        <v>0.11137846690604122</v>
      </c>
      <c r="H86" s="246">
        <f>1-G86</f>
        <v>0.8886215330939587</v>
      </c>
      <c r="I86" s="157"/>
    </row>
    <row r="87" spans="1:9" ht="16.5" thickBot="1" thickTop="1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7.25" thickBot="1" thickTop="1">
      <c r="A88" s="184" t="s">
        <v>41</v>
      </c>
      <c r="B88" s="155"/>
      <c r="C88" s="223">
        <f>C86+C80+C62+C50+C38+C26+C14+C32+C74+C20+C56+C68+C44</f>
        <v>3906226576.8000007</v>
      </c>
      <c r="D88" s="223">
        <f>D86+D80+D62+D50+D38+D26+D14+D32+D74+D20+D56+D68+D44</f>
        <v>380642433.57</v>
      </c>
      <c r="E88" s="223">
        <f>E86+E80+E62+E50+E38+E26+E14+E32+E74+E20+E56+E68+E44</f>
        <v>378329510.33</v>
      </c>
      <c r="F88" s="170">
        <f>(+D88-E88)/E88</f>
        <v>0.006113515273980477</v>
      </c>
      <c r="G88" s="236">
        <f>D88/C88</f>
        <v>0.097445047307477</v>
      </c>
      <c r="H88" s="237">
        <f>1-G88</f>
        <v>0.902554952692523</v>
      </c>
      <c r="I88" s="157"/>
    </row>
    <row r="89" spans="1:9" ht="17.25" thickBot="1" thickTop="1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7.25" thickBot="1" thickTop="1">
      <c r="A90" s="184" t="s">
        <v>42</v>
      </c>
      <c r="B90" s="155"/>
      <c r="C90" s="223">
        <f>+C12+C18+C24+C30+C36+C42+C48+C54+C60+C66+C72+C78+C84</f>
        <v>1270557140.36</v>
      </c>
      <c r="D90" s="223">
        <f>+D12+D18+D24+D30+D36+D42+D48+D54+D60+D66+D72+D78+D84</f>
        <v>123290587.06</v>
      </c>
      <c r="E90" s="223">
        <f>+E12+E18+E24+E30+E36+E42+E48+E54+E60+E66+E72+E78+E84</f>
        <v>123957537.88</v>
      </c>
      <c r="F90" s="170">
        <f>(+D90-E90)/E90</f>
        <v>-0.005380478116995597</v>
      </c>
      <c r="G90" s="236">
        <f>D90/C90</f>
        <v>0.09703663309866317</v>
      </c>
      <c r="H90" s="246">
        <f>1-G90</f>
        <v>0.9029633669013368</v>
      </c>
      <c r="I90" s="157"/>
    </row>
    <row r="91" spans="1:9" ht="16.5" thickTop="1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>
      <c r="A92" s="188" t="s">
        <v>52</v>
      </c>
      <c r="B92" s="189"/>
      <c r="C92" s="232"/>
      <c r="D92" s="232"/>
      <c r="E92" s="232"/>
      <c r="F92" s="190"/>
      <c r="G92" s="251"/>
      <c r="H92" s="251"/>
      <c r="I92" s="151"/>
    </row>
    <row r="93" spans="1:9" ht="15.7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.75">
      <c r="A94" s="72"/>
      <c r="I94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2018-10-09T14:52:23Z</cp:lastPrinted>
  <dcterms:created xsi:type="dcterms:W3CDTF">2003-09-09T14:41:43Z</dcterms:created>
  <dcterms:modified xsi:type="dcterms:W3CDTF">2018-10-09T19:55:30Z</dcterms:modified>
  <cp:category/>
  <cp:version/>
  <cp:contentType/>
  <cp:contentStatus/>
</cp:coreProperties>
</file>