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56" windowWidth="7536" windowHeight="4056" activeTab="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STATS'!$A$1:$M$156</definedName>
    <definedName name="_xlnm.Print_Area" localSheetId="3">'SLOT STATS'!$A$1:$I$157</definedName>
    <definedName name="_xlnm.Print_Area" localSheetId="2">'TABLE STATS'!$A$1:$H$156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<sst xmlns="http://schemas.openxmlformats.org/spreadsheetml/2006/main" count="192" uniqueCount="75">
  <si>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</si>
  <si>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</si>
  <si>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</si>
  <si>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</si>
  <si>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</si>
  <si>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</si>
  <si>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</si>
  <si>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</si>
  <si>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</si>
  <si>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</si>
  <si>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</si>
  <si>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</si>
  <si>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</si>
  <si>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</si>
  <si>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</si>
  <si>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</si>
  <si>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</si>
  <si>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</si>
  <si>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</si>
  <si>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</si>
  <si>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</si>
  <si>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</si>
  <si>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</si>
  <si>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</si>
  <si>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</si>
  <si>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</si>
  <si>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</si>
  <si>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</si>
  <si>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</si>
  <si>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</si>
  <si>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</si>
  <si>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</si>
  <si>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</si>
  <si>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</si>
  <si>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</si>
  <si>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</si>
  <si>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</si>
  <si>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</si>
  <si>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</si>
  <si>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</si>
  <si>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</si>
  <si>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</si>
  <si>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</si>
  <si>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</si>
  <si>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</si>
  <si>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</si>
  <si>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</si>
  <si>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</si>
  <si>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</si>
  <si>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</si>
  <si>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</si>
  <si>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</si>
  <si>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</si>
  <si>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</si>
  <si>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</si>
  <si>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</si>
  <si>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</si>
  <si>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</si>
  <si>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</si>
  <si>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</si>
  <si>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</si>
  <si>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</si>
  <si>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HOLLYWOOD</t>
  </si>
  <si>
    <t>ST. JO FRONTIER</t>
  </si>
  <si>
    <t xml:space="preserve">ST. JO FRONTIER </t>
  </si>
  <si>
    <t xml:space="preserve">HOLLYWOOD </t>
  </si>
  <si>
    <t xml:space="preserve">IOC - CAPE GIRARDEAU </t>
  </si>
  <si>
    <t xml:space="preserve">LUMIERE PLACE </t>
  </si>
  <si>
    <t xml:space="preserve">FISCAL 2019 YTD ADMISSIONS, PATRONS AND AGR SUMMARY </t>
  </si>
  <si>
    <t>MONTH ENDED:   FEBRUARY 28, 2019</t>
  </si>
  <si>
    <t>(as reported on the tax remittal database dtd 3/7/19)</t>
  </si>
  <si>
    <t>FOR THE MONTH ENDED:   FEBRUARY 28, 2019</t>
  </si>
  <si>
    <t>THRU MONTH ENDED:   FEBRUARY 28, 2019</t>
  </si>
  <si>
    <t>(as reported on the tax remittal database as of 3/7/19)</t>
  </si>
  <si>
    <t>THRU MONTH ENDED:     FEBRUARY 28,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</si>
</sst>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9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8" fillId="33" borderId="11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8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9" fillId="33" borderId="13" xfId="0" applyFont="1" applyFill="1" applyBorder="1" applyAlignment="1">
      <alignment horizontal="center"/>
    </xf>
    <xf numFmtId="164" fontId="8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8" fillId="34" borderId="15" xfId="0" applyFont="1" applyFill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34" borderId="11" xfId="0" applyFont="1" applyFill="1" applyBorder="1" applyAlignment="1">
      <alignment horizontal="center"/>
    </xf>
    <xf numFmtId="164" fontId="10" fillId="34" borderId="12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9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9" fontId="9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9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64" fontId="9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7" fontId="0" fillId="0" borderId="0" xfId="0" applyNumberFormat="1" applyFont="1" applyAlignment="1">
      <alignment/>
    </xf>
    <xf numFmtId="0" fontId="11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9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9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1" fillId="0" borderId="0" xfId="55" applyNumberFormat="1" applyFon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9" fillId="34" borderId="10" xfId="55" applyNumberFormat="1" applyFont="1" applyFill="1" applyBorder="1" applyAlignment="1">
      <alignment horizontal="center"/>
      <protection/>
    </xf>
    <xf numFmtId="17" fontId="10" fillId="34" borderId="13" xfId="55" applyNumberFormat="1" applyFont="1" applyFill="1" applyBorder="1" applyAlignment="1">
      <alignment horizontal="center"/>
      <protection/>
    </xf>
    <xf numFmtId="0" fontId="10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9" fillId="33" borderId="24" xfId="54" applyNumberFormat="1" applyFont="1" applyFill="1" applyBorder="1" applyAlignment="1">
      <alignment horizontal="center"/>
      <protection/>
    </xf>
    <xf numFmtId="0" fontId="9" fillId="33" borderId="25" xfId="54" applyNumberFormat="1" applyFont="1" applyFill="1" applyBorder="1" applyAlignment="1">
      <alignment horizontal="center"/>
      <protection/>
    </xf>
    <xf numFmtId="0" fontId="9" fillId="34" borderId="25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/>
      <protection/>
    </xf>
    <xf numFmtId="0" fontId="10" fillId="34" borderId="14" xfId="54" applyNumberFormat="1" applyFont="1" applyFill="1" applyBorder="1" applyAlignment="1">
      <alignment horizontal="center"/>
      <protection/>
    </xf>
    <xf numFmtId="166" fontId="9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9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9" fillId="34" borderId="11" xfId="54" applyNumberFormat="1" applyFont="1" applyFill="1" applyBorder="1" applyAlignment="1">
      <alignment horizontal="center"/>
      <protection/>
    </xf>
    <xf numFmtId="166" fontId="9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9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9" fillId="34" borderId="17" xfId="54" applyNumberFormat="1" applyFont="1" applyFill="1" applyBorder="1" applyAlignment="1">
      <alignment horizontal="center"/>
      <protection/>
    </xf>
    <xf numFmtId="166" fontId="9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9" fillId="33" borderId="10" xfId="54" applyNumberFormat="1" applyFont="1" applyFill="1" applyBorder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9" fillId="33" borderId="10" xfId="53" applyNumberFormat="1" applyFont="1" applyFill="1" applyBorder="1" applyAlignment="1">
      <alignment horizontal="center"/>
      <protection/>
    </xf>
    <xf numFmtId="0" fontId="9" fillId="33" borderId="11" xfId="53" applyNumberFormat="1" applyFont="1" applyFill="1" applyBorder="1" applyAlignment="1">
      <alignment horizontal="center"/>
      <protection/>
    </xf>
    <xf numFmtId="0" fontId="9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33" borderId="13" xfId="53" applyNumberFormat="1" applyFont="1" applyFill="1" applyBorder="1" applyAlignment="1">
      <alignment horizontal="center"/>
      <protection/>
    </xf>
    <xf numFmtId="0" fontId="9" fillId="33" borderId="14" xfId="53" applyNumberFormat="1" applyFont="1" applyFill="1" applyBorder="1" applyAlignment="1">
      <alignment horizontal="center"/>
      <protection/>
    </xf>
    <xf numFmtId="0" fontId="9" fillId="34" borderId="14" xfId="53" applyNumberFormat="1" applyFont="1" applyFill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/>
      <protection/>
    </xf>
    <xf numFmtId="9" fontId="9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9" fillId="33" borderId="16" xfId="53" applyNumberFormat="1" applyFont="1" applyFill="1" applyBorder="1" applyAlignment="1">
      <alignment/>
      <protection/>
    </xf>
    <xf numFmtId="0" fontId="9" fillId="33" borderId="17" xfId="53" applyNumberFormat="1" applyFont="1" applyFill="1" applyBorder="1" applyAlignment="1">
      <alignment horizontal="center"/>
      <protection/>
    </xf>
    <xf numFmtId="9" fontId="9" fillId="34" borderId="17" xfId="53" applyNumberFormat="1" applyFont="1" applyFill="1" applyBorder="1" applyAlignment="1">
      <alignment horizontal="center"/>
      <protection/>
    </xf>
    <xf numFmtId="0" fontId="9" fillId="0" borderId="13" xfId="53" applyNumberFormat="1" applyFont="1" applyBorder="1" applyAlignment="1">
      <alignment/>
      <protection/>
    </xf>
    <xf numFmtId="17" fontId="9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9" fillId="33" borderId="21" xfId="53" applyNumberFormat="1" applyFont="1" applyFill="1" applyBorder="1" applyAlignment="1">
      <alignment/>
      <protection/>
    </xf>
    <xf numFmtId="0" fontId="9" fillId="33" borderId="19" xfId="53" applyNumberFormat="1" applyFont="1" applyFill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 horizontal="center"/>
      <protection/>
    </xf>
    <xf numFmtId="166" fontId="9" fillId="0" borderId="22" xfId="53" applyNumberFormat="1" applyFont="1" applyBorder="1" applyAlignment="1">
      <alignment/>
      <protection/>
    </xf>
    <xf numFmtId="0" fontId="9" fillId="0" borderId="22" xfId="53" applyNumberFormat="1" applyFont="1" applyBorder="1" applyAlignment="1">
      <alignment horizontal="center"/>
      <protection/>
    </xf>
    <xf numFmtId="4" fontId="9" fillId="0" borderId="22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/>
      <protection/>
    </xf>
    <xf numFmtId="17" fontId="9" fillId="0" borderId="0" xfId="53" applyNumberFormat="1" applyFont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25" xfId="54" applyNumberFormat="1" applyFont="1" applyFill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9" fillId="33" borderId="17" xfId="54" applyNumberFormat="1" applyFont="1" applyFill="1" applyBorder="1" applyAlignment="1">
      <alignment horizontal="center"/>
      <protection/>
    </xf>
    <xf numFmtId="3" fontId="9" fillId="33" borderId="19" xfId="54" applyNumberFormat="1" applyFont="1" applyFill="1" applyBorder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9" fillId="0" borderId="0" xfId="54" applyNumberFormat="1" applyFont="1" applyAlignment="1">
      <alignment horizontal="center"/>
      <protection/>
    </xf>
    <xf numFmtId="167" fontId="9" fillId="33" borderId="11" xfId="54" applyNumberFormat="1" applyFont="1" applyFill="1" applyBorder="1" applyAlignment="1">
      <alignment horizontal="center"/>
      <protection/>
    </xf>
    <xf numFmtId="167" fontId="9" fillId="33" borderId="26" xfId="54" applyNumberFormat="1" applyFont="1" applyFill="1" applyBorder="1" applyAlignment="1">
      <alignment horizontal="center"/>
      <protection/>
    </xf>
    <xf numFmtId="167" fontId="10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9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9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9" fillId="33" borderId="11" xfId="53" applyNumberFormat="1" applyFont="1" applyFill="1" applyBorder="1" applyAlignment="1">
      <alignment horizontal="center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9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9" fillId="33" borderId="19" xfId="53" applyNumberFormat="1" applyFont="1" applyFill="1" applyBorder="1" applyAlignment="1">
      <alignment horizontal="center"/>
      <protection/>
    </xf>
    <xf numFmtId="3" fontId="9" fillId="0" borderId="22" xfId="53" applyNumberFormat="1" applyFont="1" applyBorder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9" fillId="0" borderId="0" xfId="53" applyNumberFormat="1" applyFont="1" applyAlignment="1">
      <alignment horizontal="centerContinuous"/>
      <protection/>
    </xf>
    <xf numFmtId="167" fontId="9" fillId="33" borderId="11" xfId="53" applyNumberFormat="1" applyFont="1" applyFill="1" applyBorder="1" applyAlignment="1">
      <alignment horizontal="center"/>
      <protection/>
    </xf>
    <xf numFmtId="167" fontId="9" fillId="33" borderId="12" xfId="53" applyNumberFormat="1" applyFont="1" applyFill="1" applyBorder="1" applyAlignment="1">
      <alignment horizontal="center"/>
      <protection/>
    </xf>
    <xf numFmtId="167" fontId="9" fillId="33" borderId="14" xfId="53" applyNumberFormat="1" applyFont="1" applyFill="1" applyBorder="1" applyAlignment="1">
      <alignment horizontal="center"/>
      <protection/>
    </xf>
    <xf numFmtId="167" fontId="10" fillId="0" borderId="11" xfId="53" applyNumberFormat="1" applyFont="1" applyBorder="1" applyAlignment="1">
      <alignment horizontal="center"/>
      <protection/>
    </xf>
    <xf numFmtId="167" fontId="10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9" fillId="33" borderId="17" xfId="53" applyNumberFormat="1" applyFont="1" applyFill="1" applyBorder="1" applyAlignment="1">
      <alignment horizontal="center"/>
      <protection/>
    </xf>
    <xf numFmtId="167" fontId="9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9" fillId="33" borderId="19" xfId="53" applyNumberFormat="1" applyFont="1" applyFill="1" applyBorder="1" applyAlignment="1">
      <alignment horizontal="center"/>
      <protection/>
    </xf>
    <xf numFmtId="167" fontId="9" fillId="0" borderId="22" xfId="53" applyNumberFormat="1" applyFont="1" applyBorder="1" applyAlignment="1">
      <alignment horizontal="center"/>
      <protection/>
    </xf>
    <xf numFmtId="167" fontId="9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9" fillId="33" borderId="12" xfId="53" applyNumberFormat="1" applyFont="1" applyFill="1" applyBorder="1" applyAlignment="1">
      <alignment/>
      <protection/>
    </xf>
    <xf numFmtId="167" fontId="9" fillId="33" borderId="15" xfId="53" applyNumberFormat="1" applyFont="1" applyFill="1" applyBorder="1" applyAlignment="1">
      <alignment/>
      <protection/>
    </xf>
    <xf numFmtId="166" fontId="9" fillId="0" borderId="27" xfId="54" applyNumberFormat="1" applyFont="1" applyBorder="1" applyAlignment="1">
      <alignment/>
      <protection/>
    </xf>
    <xf numFmtId="166" fontId="9" fillId="0" borderId="0" xfId="53" applyNumberFormat="1" applyFont="1" applyBorder="1" applyAlignment="1">
      <alignment/>
      <protection/>
    </xf>
    <xf numFmtId="167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3" fontId="9" fillId="33" borderId="20" xfId="54" applyNumberFormat="1" applyFont="1" applyFill="1" applyBorder="1" applyAlignment="1">
      <alignment horizontal="center"/>
      <protection/>
    </xf>
    <xf numFmtId="3" fontId="9" fillId="33" borderId="28" xfId="54" applyNumberFormat="1" applyFont="1" applyFill="1" applyBorder="1" applyAlignment="1">
      <alignment horizontal="center"/>
      <protection/>
    </xf>
    <xf numFmtId="166" fontId="12" fillId="0" borderId="0" xfId="54" applyNumberFormat="1" applyFont="1" applyAlignment="1">
      <alignment/>
      <protection/>
    </xf>
    <xf numFmtId="166" fontId="12" fillId="0" borderId="0" xfId="0" applyNumberFormat="1" applyFont="1" applyAlignment="1">
      <alignment/>
    </xf>
    <xf numFmtId="166" fontId="9" fillId="33" borderId="16" xfId="54" applyNumberFormat="1" applyFont="1" applyFill="1" applyBorder="1" applyAlignment="1">
      <alignment horizontal="center"/>
      <protection/>
    </xf>
    <xf numFmtId="0" fontId="9" fillId="33" borderId="17" xfId="54" applyNumberFormat="1" applyFont="1" applyFill="1" applyBorder="1" applyAlignment="1">
      <alignment horizontal="center"/>
      <protection/>
    </xf>
    <xf numFmtId="167" fontId="9" fillId="33" borderId="29" xfId="54" applyNumberFormat="1" applyFont="1" applyFill="1" applyBorder="1" applyAlignment="1">
      <alignment horizontal="center"/>
      <protection/>
    </xf>
    <xf numFmtId="9" fontId="9" fillId="34" borderId="19" xfId="54" applyNumberFormat="1" applyFont="1" applyFill="1" applyBorder="1" applyAlignment="1">
      <alignment horizontal="center"/>
      <protection/>
    </xf>
    <xf numFmtId="9" fontId="9" fillId="34" borderId="30" xfId="54" applyNumberFormat="1" applyFont="1" applyFill="1" applyBorder="1" applyAlignment="1">
      <alignment horizontal="center"/>
      <protection/>
    </xf>
    <xf numFmtId="167" fontId="9" fillId="33" borderId="29" xfId="53" applyNumberFormat="1" applyFont="1" applyFill="1" applyBorder="1" applyAlignment="1">
      <alignment horizontal="center"/>
      <protection/>
    </xf>
    <xf numFmtId="3" fontId="9" fillId="33" borderId="20" xfId="53" applyNumberFormat="1" applyFont="1" applyFill="1" applyBorder="1" applyAlignment="1">
      <alignment horizontal="center"/>
      <protection/>
    </xf>
    <xf numFmtId="9" fontId="9" fillId="34" borderId="19" xfId="53" applyNumberFormat="1" applyFont="1" applyFill="1" applyBorder="1" applyAlignment="1">
      <alignment horizontal="center"/>
      <protection/>
    </xf>
    <xf numFmtId="166" fontId="9" fillId="33" borderId="13" xfId="0" applyNumberFormat="1" applyFont="1" applyFill="1" applyBorder="1" applyAlignment="1">
      <alignment/>
    </xf>
    <xf numFmtId="166" fontId="9" fillId="0" borderId="13" xfId="0" applyNumberFormat="1" applyFont="1" applyBorder="1" applyAlignment="1">
      <alignment/>
    </xf>
    <xf numFmtId="0" fontId="10" fillId="34" borderId="13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9" fillId="34" borderId="11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0" fontId="11" fillId="0" borderId="0" xfId="55" applyFont="1" applyAlignment="1">
      <alignment/>
      <protection/>
    </xf>
    <xf numFmtId="0" fontId="6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13" fillId="0" borderId="0" xfId="53" applyNumberFormat="1" applyFont="1" applyAlignment="1">
      <alignment/>
      <protection/>
    </xf>
    <xf numFmtId="4" fontId="0" fillId="0" borderId="0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6"/>
  <sheetViews>
    <sheetView tabSelected="1" showOutlineSymbols="0" workbookViewId="0" topLeftCell="A1">
      <selection activeCell="A5" sqref="A5"/>
    </sheetView>
  </sheetViews>
  <sheetFormatPr defaultColWidth="9.6640625" defaultRowHeight="15"/>
  <cols>
    <col min="1" max="1" width="22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>
      <c r="A2" s="4" t="s">
        <v>68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7.25">
      <c r="A3" s="277" t="s">
        <v>69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ht="15">
      <c r="A4" s="278" t="s">
        <v>70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5.7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">
      <c r="A9" s="19" t="s">
        <v>13</v>
      </c>
      <c r="B9" s="20">
        <f>DATE(2018,7,1)</f>
        <v>43282</v>
      </c>
      <c r="C9" s="21">
        <v>261456</v>
      </c>
      <c r="D9" s="22">
        <v>295047</v>
      </c>
      <c r="E9" s="23">
        <f aca="true" t="shared" si="0" ref="E9:E16">(+C9-D9)/D9</f>
        <v>-0.11384965785112203</v>
      </c>
      <c r="F9" s="21">
        <f>+C9-122888</f>
        <v>138568</v>
      </c>
      <c r="G9" s="21">
        <f>+D9-138811</f>
        <v>156236</v>
      </c>
      <c r="H9" s="23">
        <f aca="true" t="shared" si="1" ref="H9:H16">(+F9-G9)/G9</f>
        <v>-0.11308533244578714</v>
      </c>
      <c r="I9" s="24">
        <f aca="true" t="shared" si="2" ref="I9:I16">K9/C9</f>
        <v>51.156026597209475</v>
      </c>
      <c r="J9" s="24">
        <f aca="true" t="shared" si="3" ref="J9:J16">K9/F9</f>
        <v>96.52336823797702</v>
      </c>
      <c r="K9" s="21">
        <v>13375050.09</v>
      </c>
      <c r="L9" s="21">
        <v>14143686.63</v>
      </c>
      <c r="M9" s="25">
        <f aca="true" t="shared" si="4" ref="M9:M16">(+K9-L9)/L9</f>
        <v>-0.05434485082338118</v>
      </c>
      <c r="N9" s="10"/>
      <c r="R9" s="2"/>
    </row>
    <row r="10" spans="1:18" ht="15">
      <c r="A10" s="19"/>
      <c r="B10" s="20">
        <f>DATE(2018,8,1)</f>
        <v>43313</v>
      </c>
      <c r="C10" s="21">
        <v>266367</v>
      </c>
      <c r="D10" s="22">
        <v>268688</v>
      </c>
      <c r="E10" s="23">
        <f t="shared" si="0"/>
        <v>-0.008638271899005538</v>
      </c>
      <c r="F10" s="21">
        <f>+C10-122166</f>
        <v>144201</v>
      </c>
      <c r="G10" s="21">
        <f>+D10-125473</f>
        <v>143215</v>
      </c>
      <c r="H10" s="23">
        <f t="shared" si="1"/>
        <v>0.006884753692001536</v>
      </c>
      <c r="I10" s="24">
        <f t="shared" si="2"/>
        <v>52.40101754346447</v>
      </c>
      <c r="J10" s="24">
        <f t="shared" si="3"/>
        <v>96.79476453006568</v>
      </c>
      <c r="K10" s="21">
        <v>13957901.84</v>
      </c>
      <c r="L10" s="21">
        <v>13000027.54</v>
      </c>
      <c r="M10" s="25">
        <f t="shared" si="4"/>
        <v>0.07368248236803357</v>
      </c>
      <c r="N10" s="10"/>
      <c r="R10" s="2"/>
    </row>
    <row r="11" spans="1:18" ht="15">
      <c r="A11" s="19"/>
      <c r="B11" s="20">
        <f>DATE(2018,9,1)</f>
        <v>43344</v>
      </c>
      <c r="C11" s="21">
        <v>263613</v>
      </c>
      <c r="D11" s="22">
        <v>281607</v>
      </c>
      <c r="E11" s="23">
        <f t="shared" si="0"/>
        <v>-0.06389755936464647</v>
      </c>
      <c r="F11" s="21">
        <f>+C11-122145</f>
        <v>141468</v>
      </c>
      <c r="G11" s="21">
        <f>+D11-134639</f>
        <v>146968</v>
      </c>
      <c r="H11" s="23">
        <f t="shared" si="1"/>
        <v>-0.03742311251428883</v>
      </c>
      <c r="I11" s="24">
        <f t="shared" si="2"/>
        <v>51.348386839799254</v>
      </c>
      <c r="J11" s="24">
        <f t="shared" si="3"/>
        <v>95.68313894308254</v>
      </c>
      <c r="K11" s="21">
        <v>13536102.3</v>
      </c>
      <c r="L11" s="21">
        <v>13577167.09</v>
      </c>
      <c r="M11" s="25">
        <f t="shared" si="4"/>
        <v>-0.0030245477372260214</v>
      </c>
      <c r="N11" s="10"/>
      <c r="R11" s="2"/>
    </row>
    <row r="12" spans="1:18" ht="15">
      <c r="A12" s="19"/>
      <c r="B12" s="20">
        <f>DATE(2018,10,1)</f>
        <v>43374</v>
      </c>
      <c r="C12" s="21">
        <v>264243</v>
      </c>
      <c r="D12" s="22">
        <v>266701</v>
      </c>
      <c r="E12" s="23">
        <f t="shared" si="0"/>
        <v>-0.009216313399649794</v>
      </c>
      <c r="F12" s="21">
        <f>+C12-121413</f>
        <v>142830</v>
      </c>
      <c r="G12" s="21">
        <f>+D12-124344</f>
        <v>142357</v>
      </c>
      <c r="H12" s="23">
        <f t="shared" si="1"/>
        <v>0.0033226325365103226</v>
      </c>
      <c r="I12" s="24">
        <f t="shared" si="2"/>
        <v>52.85007504456126</v>
      </c>
      <c r="J12" s="24">
        <f t="shared" si="3"/>
        <v>97.77541398865785</v>
      </c>
      <c r="K12" s="21">
        <v>13965262.38</v>
      </c>
      <c r="L12" s="21">
        <v>13210098.19</v>
      </c>
      <c r="M12" s="25">
        <f t="shared" si="4"/>
        <v>0.05716567576853124</v>
      </c>
      <c r="N12" s="10"/>
      <c r="R12" s="2"/>
    </row>
    <row r="13" spans="1:18" ht="15">
      <c r="A13" s="19"/>
      <c r="B13" s="20">
        <f>DATE(2018,11,1)</f>
        <v>43405</v>
      </c>
      <c r="C13" s="21">
        <v>252868</v>
      </c>
      <c r="D13" s="22">
        <v>271175</v>
      </c>
      <c r="E13" s="23">
        <f t="shared" si="0"/>
        <v>-0.06750991057435235</v>
      </c>
      <c r="F13" s="21">
        <f>+C13-117772</f>
        <v>135096</v>
      </c>
      <c r="G13" s="21">
        <f>+D13-126340</f>
        <v>144835</v>
      </c>
      <c r="H13" s="23">
        <f t="shared" si="1"/>
        <v>-0.06724203403873373</v>
      </c>
      <c r="I13" s="24">
        <f t="shared" si="2"/>
        <v>54.1405038992676</v>
      </c>
      <c r="J13" s="24">
        <f t="shared" si="3"/>
        <v>101.33831453188843</v>
      </c>
      <c r="K13" s="21">
        <v>13690400.94</v>
      </c>
      <c r="L13" s="21">
        <v>14153820.17</v>
      </c>
      <c r="M13" s="25">
        <f t="shared" si="4"/>
        <v>-0.0327416361402026</v>
      </c>
      <c r="N13" s="10"/>
      <c r="R13" s="2"/>
    </row>
    <row r="14" spans="1:18" ht="15">
      <c r="A14" s="19"/>
      <c r="B14" s="20">
        <f>DATE(2018,12,1)</f>
        <v>43435</v>
      </c>
      <c r="C14" s="21">
        <v>287683</v>
      </c>
      <c r="D14" s="22">
        <v>285888</v>
      </c>
      <c r="E14" s="23">
        <f t="shared" si="0"/>
        <v>0.006278682561002911</v>
      </c>
      <c r="F14" s="21">
        <f>+C14-136878</f>
        <v>150805</v>
      </c>
      <c r="G14" s="21">
        <f>+D14-135160</f>
        <v>150728</v>
      </c>
      <c r="H14" s="23">
        <f t="shared" si="1"/>
        <v>0.0005108539886417918</v>
      </c>
      <c r="I14" s="24">
        <f t="shared" si="2"/>
        <v>53.191660577788745</v>
      </c>
      <c r="J14" s="24">
        <f t="shared" si="3"/>
        <v>101.4710154835715</v>
      </c>
      <c r="K14" s="21">
        <v>15302336.49</v>
      </c>
      <c r="L14" s="21">
        <v>14422386.16</v>
      </c>
      <c r="M14" s="25">
        <f t="shared" si="4"/>
        <v>0.06101281162755942</v>
      </c>
      <c r="N14" s="10"/>
      <c r="R14" s="2"/>
    </row>
    <row r="15" spans="1:18" ht="15">
      <c r="A15" s="19"/>
      <c r="B15" s="20">
        <f>DATE(2019,1,1)</f>
        <v>43466</v>
      </c>
      <c r="C15" s="21">
        <v>239286</v>
      </c>
      <c r="D15" s="22">
        <v>251374</v>
      </c>
      <c r="E15" s="23">
        <f t="shared" si="0"/>
        <v>-0.04808770994613604</v>
      </c>
      <c r="F15" s="21">
        <f>+C15-112115</f>
        <v>127171</v>
      </c>
      <c r="G15" s="21">
        <f>+D15-118404</f>
        <v>132970</v>
      </c>
      <c r="H15" s="23">
        <f t="shared" si="1"/>
        <v>-0.0436113409039633</v>
      </c>
      <c r="I15" s="24">
        <f t="shared" si="2"/>
        <v>52.18799286209808</v>
      </c>
      <c r="J15" s="24">
        <f t="shared" si="3"/>
        <v>98.19735678731787</v>
      </c>
      <c r="K15" s="21">
        <v>12487856.06</v>
      </c>
      <c r="L15" s="21">
        <v>12588832.87</v>
      </c>
      <c r="M15" s="25">
        <f t="shared" si="4"/>
        <v>-0.008021141518260435</v>
      </c>
      <c r="N15" s="10"/>
      <c r="R15" s="2"/>
    </row>
    <row r="16" spans="1:18" ht="15">
      <c r="A16" s="19"/>
      <c r="B16" s="20">
        <f>DATE(2019,2,1)</f>
        <v>43497</v>
      </c>
      <c r="C16" s="21">
        <v>236408</v>
      </c>
      <c r="D16" s="22">
        <v>260428</v>
      </c>
      <c r="E16" s="23">
        <f t="shared" si="0"/>
        <v>-0.09223278602915201</v>
      </c>
      <c r="F16" s="21">
        <f>+C16-111522</f>
        <v>124886</v>
      </c>
      <c r="G16" s="21">
        <f>+D16-124324</f>
        <v>136104</v>
      </c>
      <c r="H16" s="23">
        <f t="shared" si="1"/>
        <v>-0.08242226532651502</v>
      </c>
      <c r="I16" s="24">
        <f t="shared" si="2"/>
        <v>52.85440958004805</v>
      </c>
      <c r="J16" s="24">
        <f t="shared" si="3"/>
        <v>100.05289031596816</v>
      </c>
      <c r="K16" s="21">
        <v>12495205.26</v>
      </c>
      <c r="L16" s="21">
        <v>13796430.74</v>
      </c>
      <c r="M16" s="25">
        <f t="shared" si="4"/>
        <v>-0.09431609555559588</v>
      </c>
      <c r="N16" s="10"/>
      <c r="R16" s="2"/>
    </row>
    <row r="17" spans="1:18" ht="15.75" customHeight="1" thickBot="1">
      <c r="A17" s="19"/>
      <c r="B17" s="20"/>
      <c r="C17" s="21"/>
      <c r="D17" s="21"/>
      <c r="E17" s="23"/>
      <c r="F17" s="21"/>
      <c r="G17" s="21"/>
      <c r="H17" s="23"/>
      <c r="I17" s="24"/>
      <c r="J17" s="24"/>
      <c r="K17" s="21"/>
      <c r="L17" s="21"/>
      <c r="M17" s="25"/>
      <c r="N17" s="10"/>
      <c r="R17" s="2"/>
    </row>
    <row r="18" spans="1:18" ht="16.5" thickBot="1" thickTop="1">
      <c r="A18" s="26" t="s">
        <v>14</v>
      </c>
      <c r="B18" s="27"/>
      <c r="C18" s="28">
        <f>SUM(C9:C17)</f>
        <v>2071924</v>
      </c>
      <c r="D18" s="28">
        <f>SUM(D9:D17)</f>
        <v>2180908</v>
      </c>
      <c r="E18" s="279">
        <f>(+C18-D18)/D18</f>
        <v>-0.04997184658866857</v>
      </c>
      <c r="F18" s="28">
        <f>SUM(F9:F17)</f>
        <v>1105025</v>
      </c>
      <c r="G18" s="28">
        <f>SUM(G9:G17)</f>
        <v>1153413</v>
      </c>
      <c r="H18" s="30">
        <f>(+F18-G18)/G18</f>
        <v>-0.04195201545326782</v>
      </c>
      <c r="I18" s="31">
        <f>K18/C18</f>
        <v>52.51646071960169</v>
      </c>
      <c r="J18" s="31">
        <f>K18/F18</f>
        <v>98.468464840162</v>
      </c>
      <c r="K18" s="28">
        <f>SUM(K9:K17)</f>
        <v>108810115.36000001</v>
      </c>
      <c r="L18" s="28">
        <f>SUM(L9:L17)</f>
        <v>108892449.39</v>
      </c>
      <c r="M18" s="32">
        <f>(+K18-L18)/L18</f>
        <v>-0.0007561041234833986</v>
      </c>
      <c r="N18" s="10"/>
      <c r="R18" s="2"/>
    </row>
    <row r="19" spans="1:18" ht="15.75" customHeight="1" thickTop="1">
      <c r="A19" s="15"/>
      <c r="B19" s="16"/>
      <c r="C19" s="16"/>
      <c r="D19" s="16"/>
      <c r="E19" s="17"/>
      <c r="F19" s="16"/>
      <c r="G19" s="16"/>
      <c r="H19" s="17"/>
      <c r="I19" s="16"/>
      <c r="J19" s="16"/>
      <c r="K19" s="195"/>
      <c r="L19" s="195"/>
      <c r="M19" s="18"/>
      <c r="N19" s="10"/>
      <c r="R19" s="2"/>
    </row>
    <row r="20" spans="1:18" ht="15">
      <c r="A20" s="19" t="s">
        <v>15</v>
      </c>
      <c r="B20" s="20">
        <f>DATE(2018,7,1)</f>
        <v>43282</v>
      </c>
      <c r="C20" s="21">
        <v>142478</v>
      </c>
      <c r="D20" s="21">
        <v>154485</v>
      </c>
      <c r="E20" s="23">
        <f aca="true" t="shared" si="5" ref="E20:E27">(+C20-D20)/D20</f>
        <v>-0.07772275625465255</v>
      </c>
      <c r="F20" s="21">
        <f>+C20-67444</f>
        <v>75034</v>
      </c>
      <c r="G20" s="21">
        <f>+D20-74453</f>
        <v>80032</v>
      </c>
      <c r="H20" s="23">
        <f aca="true" t="shared" si="6" ref="H20:H27">(+F20-G20)/G20</f>
        <v>-0.0624500199920032</v>
      </c>
      <c r="I20" s="24">
        <f aca="true" t="shared" si="7" ref="I20:I27">K20/C20</f>
        <v>51.761326380213085</v>
      </c>
      <c r="J20" s="24">
        <f aca="true" t="shared" si="8" ref="J20:J27">K20/F20</f>
        <v>98.28678012634272</v>
      </c>
      <c r="K20" s="21">
        <v>7374850.26</v>
      </c>
      <c r="L20" s="21">
        <v>7453089.46</v>
      </c>
      <c r="M20" s="25">
        <f aca="true" t="shared" si="9" ref="M20:M27">(+K20-L20)/L20</f>
        <v>-0.010497552782628237</v>
      </c>
      <c r="N20" s="10"/>
      <c r="R20" s="2"/>
    </row>
    <row r="21" spans="1:18" ht="15">
      <c r="A21" s="19"/>
      <c r="B21" s="20">
        <f>DATE(2018,8,1)</f>
        <v>43313</v>
      </c>
      <c r="C21" s="21">
        <v>137794</v>
      </c>
      <c r="D21" s="21">
        <v>146885</v>
      </c>
      <c r="E21" s="23">
        <f t="shared" si="5"/>
        <v>-0.06189195629233754</v>
      </c>
      <c r="F21" s="21">
        <f>+C21-65911</f>
        <v>71883</v>
      </c>
      <c r="G21" s="21">
        <f>+D21-69501</f>
        <v>77384</v>
      </c>
      <c r="H21" s="23">
        <f t="shared" si="6"/>
        <v>-0.07108704641786416</v>
      </c>
      <c r="I21" s="24">
        <f t="shared" si="7"/>
        <v>51.51604032105897</v>
      </c>
      <c r="J21" s="24">
        <f t="shared" si="8"/>
        <v>98.75215642085054</v>
      </c>
      <c r="K21" s="21">
        <v>7098601.26</v>
      </c>
      <c r="L21" s="21">
        <v>6887015.31</v>
      </c>
      <c r="M21" s="25">
        <f t="shared" si="9"/>
        <v>0.030722445134218845</v>
      </c>
      <c r="N21" s="10"/>
      <c r="R21" s="2"/>
    </row>
    <row r="22" spans="1:18" ht="15">
      <c r="A22" s="19"/>
      <c r="B22" s="20">
        <f>DATE(2018,9,1)</f>
        <v>43344</v>
      </c>
      <c r="C22" s="21">
        <v>137262</v>
      </c>
      <c r="D22" s="21">
        <v>147791</v>
      </c>
      <c r="E22" s="23">
        <f t="shared" si="5"/>
        <v>-0.07124249785169598</v>
      </c>
      <c r="F22" s="21">
        <f>+C22-65092</f>
        <v>72170</v>
      </c>
      <c r="G22" s="21">
        <f>+D22-70004</f>
        <v>77787</v>
      </c>
      <c r="H22" s="23">
        <f t="shared" si="6"/>
        <v>-0.07221000938460154</v>
      </c>
      <c r="I22" s="24">
        <f t="shared" si="7"/>
        <v>47.46380804592677</v>
      </c>
      <c r="J22" s="24">
        <f t="shared" si="8"/>
        <v>90.27265096300401</v>
      </c>
      <c r="K22" s="21">
        <v>6514977.22</v>
      </c>
      <c r="L22" s="21">
        <v>6683115.09</v>
      </c>
      <c r="M22" s="25">
        <f t="shared" si="9"/>
        <v>-0.025158607585792768</v>
      </c>
      <c r="N22" s="10"/>
      <c r="R22" s="2"/>
    </row>
    <row r="23" spans="1:18" ht="15">
      <c r="A23" s="19"/>
      <c r="B23" s="20">
        <f>DATE(2018,10,1)</f>
        <v>43374</v>
      </c>
      <c r="C23" s="21">
        <v>119937</v>
      </c>
      <c r="D23" s="21">
        <v>137700</v>
      </c>
      <c r="E23" s="23">
        <f t="shared" si="5"/>
        <v>-0.12899782135076251</v>
      </c>
      <c r="F23" s="21">
        <f>+C23-56627</f>
        <v>63310</v>
      </c>
      <c r="G23" s="21">
        <f>+D23-65646</f>
        <v>72054</v>
      </c>
      <c r="H23" s="23">
        <f t="shared" si="6"/>
        <v>-0.12135342937241514</v>
      </c>
      <c r="I23" s="24">
        <f t="shared" si="7"/>
        <v>52.92046549438455</v>
      </c>
      <c r="J23" s="24">
        <f t="shared" si="8"/>
        <v>100.2546496604012</v>
      </c>
      <c r="K23" s="21">
        <v>6347121.87</v>
      </c>
      <c r="L23" s="21">
        <v>6249987.86</v>
      </c>
      <c r="M23" s="25">
        <f t="shared" si="9"/>
        <v>0.015541471787754764</v>
      </c>
      <c r="N23" s="10"/>
      <c r="R23" s="2"/>
    </row>
    <row r="24" spans="1:18" ht="15">
      <c r="A24" s="19"/>
      <c r="B24" s="20">
        <f>DATE(2018,11,1)</f>
        <v>43405</v>
      </c>
      <c r="C24" s="21">
        <v>113387</v>
      </c>
      <c r="D24" s="21">
        <v>128271</v>
      </c>
      <c r="E24" s="23">
        <f t="shared" si="5"/>
        <v>-0.11603558091852406</v>
      </c>
      <c r="F24" s="21">
        <f>+C24-54700</f>
        <v>58687</v>
      </c>
      <c r="G24" s="21">
        <f>+D24-61249</f>
        <v>67022</v>
      </c>
      <c r="H24" s="23">
        <f t="shared" si="6"/>
        <v>-0.1243621497418758</v>
      </c>
      <c r="I24" s="24">
        <f t="shared" si="7"/>
        <v>50.95719253529946</v>
      </c>
      <c r="J24" s="24">
        <f t="shared" si="8"/>
        <v>98.45252253480328</v>
      </c>
      <c r="K24" s="21">
        <v>5777883.19</v>
      </c>
      <c r="L24" s="21">
        <v>6197481.35</v>
      </c>
      <c r="M24" s="25">
        <f t="shared" si="9"/>
        <v>-0.06770462649314778</v>
      </c>
      <c r="N24" s="10"/>
      <c r="R24" s="2"/>
    </row>
    <row r="25" spans="1:18" ht="15">
      <c r="A25" s="19"/>
      <c r="B25" s="20">
        <f>DATE(2018,12,1)</f>
        <v>43435</v>
      </c>
      <c r="C25" s="21">
        <v>130957</v>
      </c>
      <c r="D25" s="21">
        <v>135202</v>
      </c>
      <c r="E25" s="23">
        <f t="shared" si="5"/>
        <v>-0.03139746453454831</v>
      </c>
      <c r="F25" s="21">
        <f>+C25-63848</f>
        <v>67109</v>
      </c>
      <c r="G25" s="21">
        <f>+D25-65090</f>
        <v>70112</v>
      </c>
      <c r="H25" s="23">
        <f t="shared" si="6"/>
        <v>-0.0428314696485623</v>
      </c>
      <c r="I25" s="24">
        <f t="shared" si="7"/>
        <v>51.43731087303466</v>
      </c>
      <c r="J25" s="24">
        <f t="shared" si="8"/>
        <v>100.37514968186085</v>
      </c>
      <c r="K25" s="21">
        <v>6736075.92</v>
      </c>
      <c r="L25" s="21">
        <v>6560683.46</v>
      </c>
      <c r="M25" s="25">
        <f t="shared" si="9"/>
        <v>0.02673387019345694</v>
      </c>
      <c r="N25" s="10"/>
      <c r="R25" s="2"/>
    </row>
    <row r="26" spans="1:18" ht="15">
      <c r="A26" s="19"/>
      <c r="B26" s="20">
        <f>DATE(2019,1,1)</f>
        <v>43466</v>
      </c>
      <c r="C26" s="21">
        <v>105704</v>
      </c>
      <c r="D26" s="21">
        <v>122998</v>
      </c>
      <c r="E26" s="23">
        <f t="shared" si="5"/>
        <v>-0.14060391225873592</v>
      </c>
      <c r="F26" s="21">
        <f>+C26-51270</f>
        <v>54434</v>
      </c>
      <c r="G26" s="21">
        <f>+D26-59574</f>
        <v>63424</v>
      </c>
      <c r="H26" s="23">
        <f t="shared" si="6"/>
        <v>-0.14174445005045408</v>
      </c>
      <c r="I26" s="24">
        <f t="shared" si="7"/>
        <v>49.2174333043215</v>
      </c>
      <c r="J26" s="24">
        <f t="shared" si="8"/>
        <v>95.5740818238601</v>
      </c>
      <c r="K26" s="21">
        <v>5202479.57</v>
      </c>
      <c r="L26" s="21">
        <v>6036441.31</v>
      </c>
      <c r="M26" s="25">
        <f t="shared" si="9"/>
        <v>-0.13815453462927801</v>
      </c>
      <c r="N26" s="10"/>
      <c r="R26" s="2"/>
    </row>
    <row r="27" spans="1:18" ht="15">
      <c r="A27" s="19"/>
      <c r="B27" s="20">
        <f>DATE(2019,2,1)</f>
        <v>43497</v>
      </c>
      <c r="C27" s="21">
        <v>119333</v>
      </c>
      <c r="D27" s="21">
        <v>129346</v>
      </c>
      <c r="E27" s="23">
        <f t="shared" si="5"/>
        <v>-0.0774125214540844</v>
      </c>
      <c r="F27" s="21">
        <f>+C27-58302</f>
        <v>61031</v>
      </c>
      <c r="G27" s="21">
        <f>+D27-62566</f>
        <v>66780</v>
      </c>
      <c r="H27" s="23">
        <f t="shared" si="6"/>
        <v>-0.08608864929619646</v>
      </c>
      <c r="I27" s="24">
        <f t="shared" si="7"/>
        <v>52.27453822496711</v>
      </c>
      <c r="J27" s="24">
        <f t="shared" si="8"/>
        <v>102.2116214710557</v>
      </c>
      <c r="K27" s="21">
        <v>6238077.47</v>
      </c>
      <c r="L27" s="21">
        <v>6427758.5</v>
      </c>
      <c r="M27" s="25">
        <f t="shared" si="9"/>
        <v>-0.02950966966167137</v>
      </c>
      <c r="N27" s="10"/>
      <c r="R27" s="2"/>
    </row>
    <row r="28" spans="1:18" ht="15.75" customHeight="1" thickBot="1">
      <c r="A28" s="19"/>
      <c r="B28" s="20"/>
      <c r="C28" s="21"/>
      <c r="D28" s="21"/>
      <c r="E28" s="23"/>
      <c r="F28" s="21"/>
      <c r="G28" s="21"/>
      <c r="H28" s="23"/>
      <c r="I28" s="24"/>
      <c r="J28" s="24"/>
      <c r="K28" s="21"/>
      <c r="L28" s="21"/>
      <c r="M28" s="25"/>
      <c r="N28" s="10"/>
      <c r="R28" s="2"/>
    </row>
    <row r="29" spans="1:18" ht="17.25" customHeight="1" thickBot="1" thickTop="1">
      <c r="A29" s="26" t="s">
        <v>14</v>
      </c>
      <c r="B29" s="27"/>
      <c r="C29" s="28">
        <f>SUM(C20:C28)</f>
        <v>1006852</v>
      </c>
      <c r="D29" s="28">
        <f>SUM(D20:D28)</f>
        <v>1102678</v>
      </c>
      <c r="E29" s="279">
        <f>(+C29-D29)/D29</f>
        <v>-0.08690297620882978</v>
      </c>
      <c r="F29" s="28">
        <f>SUM(F20:F28)</f>
        <v>523658</v>
      </c>
      <c r="G29" s="28">
        <f>SUM(G20:G28)</f>
        <v>574595</v>
      </c>
      <c r="H29" s="30">
        <f>(+F29-G29)/G29</f>
        <v>-0.08864852635334453</v>
      </c>
      <c r="I29" s="31">
        <f>K29/C29</f>
        <v>50.94101889850742</v>
      </c>
      <c r="J29" s="31">
        <f>K29/F29</f>
        <v>97.94573320755148</v>
      </c>
      <c r="K29" s="28">
        <f>SUM(K20:K28)</f>
        <v>51290066.76</v>
      </c>
      <c r="L29" s="28">
        <f>SUM(L20:L28)</f>
        <v>52495572.34</v>
      </c>
      <c r="M29" s="32">
        <f>(+K29-L29)/L29</f>
        <v>-0.02296394774386425</v>
      </c>
      <c r="N29" s="10"/>
      <c r="R29" s="2"/>
    </row>
    <row r="30" spans="1:18" ht="15.75" customHeight="1" thickTop="1">
      <c r="A30" s="33"/>
      <c r="B30" s="34"/>
      <c r="C30" s="35"/>
      <c r="D30" s="35"/>
      <c r="E30" s="29"/>
      <c r="F30" s="35"/>
      <c r="G30" s="35"/>
      <c r="H30" s="29"/>
      <c r="I30" s="36"/>
      <c r="J30" s="36"/>
      <c r="K30" s="35"/>
      <c r="L30" s="35"/>
      <c r="M30" s="37"/>
      <c r="N30" s="10"/>
      <c r="R30" s="2"/>
    </row>
    <row r="31" spans="1:18" ht="15.75" customHeight="1">
      <c r="A31" s="19" t="s">
        <v>56</v>
      </c>
      <c r="B31" s="20">
        <f>DATE(2018,7,1)</f>
        <v>43282</v>
      </c>
      <c r="C31" s="21">
        <v>72910</v>
      </c>
      <c r="D31" s="21">
        <v>74865</v>
      </c>
      <c r="E31" s="23">
        <f aca="true" t="shared" si="10" ref="E31:E38">(+C31-D31)/D31</f>
        <v>-0.026113671274961597</v>
      </c>
      <c r="F31" s="21">
        <f>+C31-39365</f>
        <v>33545</v>
      </c>
      <c r="G31" s="21">
        <f>+D31-41129</f>
        <v>33736</v>
      </c>
      <c r="H31" s="23">
        <f aca="true" t="shared" si="11" ref="H31:H38">(+F31-G31)/G31</f>
        <v>-0.0056616077780412616</v>
      </c>
      <c r="I31" s="24">
        <f aca="true" t="shared" si="12" ref="I31:I38">K31/C31</f>
        <v>44.78074132492114</v>
      </c>
      <c r="J31" s="24">
        <f aca="true" t="shared" si="13" ref="J31:J38">K31/F31</f>
        <v>97.33086451035922</v>
      </c>
      <c r="K31" s="21">
        <v>3264963.85</v>
      </c>
      <c r="L31" s="21">
        <v>3281831.24</v>
      </c>
      <c r="M31" s="25">
        <f aca="true" t="shared" si="14" ref="M31:M38">(+K31-L31)/L31</f>
        <v>-0.005139627472130507</v>
      </c>
      <c r="N31" s="10"/>
      <c r="R31" s="2"/>
    </row>
    <row r="32" spans="1:18" ht="15.75" customHeight="1">
      <c r="A32" s="19"/>
      <c r="B32" s="20">
        <f>DATE(2018,8,1)</f>
        <v>43313</v>
      </c>
      <c r="C32" s="21">
        <v>70574</v>
      </c>
      <c r="D32" s="21">
        <v>67175</v>
      </c>
      <c r="E32" s="23">
        <f t="shared" si="10"/>
        <v>0.05059918124302196</v>
      </c>
      <c r="F32" s="21">
        <f>+C32-38367</f>
        <v>32207</v>
      </c>
      <c r="G32" s="21">
        <f>+D32-36831</f>
        <v>30344</v>
      </c>
      <c r="H32" s="23">
        <f t="shared" si="11"/>
        <v>0.06139599261798049</v>
      </c>
      <c r="I32" s="24">
        <f t="shared" si="12"/>
        <v>44.27483577521466</v>
      </c>
      <c r="J32" s="24">
        <f t="shared" si="13"/>
        <v>97.01779923619088</v>
      </c>
      <c r="K32" s="21">
        <v>3124652.26</v>
      </c>
      <c r="L32" s="21">
        <v>2914048.09</v>
      </c>
      <c r="M32" s="25">
        <f t="shared" si="14"/>
        <v>0.07227202966303824</v>
      </c>
      <c r="N32" s="10"/>
      <c r="R32" s="2"/>
    </row>
    <row r="33" spans="1:18" ht="15.75" customHeight="1">
      <c r="A33" s="19"/>
      <c r="B33" s="20">
        <f>DATE(2018,9,1)</f>
        <v>43344</v>
      </c>
      <c r="C33" s="21">
        <v>68201</v>
      </c>
      <c r="D33" s="21">
        <v>69904</v>
      </c>
      <c r="E33" s="23">
        <f t="shared" si="10"/>
        <v>-0.02436198214694438</v>
      </c>
      <c r="F33" s="21">
        <f>+C33-36459</f>
        <v>31742</v>
      </c>
      <c r="G33" s="21">
        <f>+D33-38362</f>
        <v>31542</v>
      </c>
      <c r="H33" s="23">
        <f t="shared" si="11"/>
        <v>0.006340752013188764</v>
      </c>
      <c r="I33" s="24">
        <f t="shared" si="12"/>
        <v>45.84726968812774</v>
      </c>
      <c r="J33" s="24">
        <f t="shared" si="13"/>
        <v>98.50764413080462</v>
      </c>
      <c r="K33" s="21">
        <v>3126829.64</v>
      </c>
      <c r="L33" s="21">
        <v>3243425.56</v>
      </c>
      <c r="M33" s="25">
        <f t="shared" si="14"/>
        <v>-0.035948387852009135</v>
      </c>
      <c r="N33" s="10"/>
      <c r="R33" s="2"/>
    </row>
    <row r="34" spans="1:18" ht="15.75" customHeight="1">
      <c r="A34" s="19"/>
      <c r="B34" s="20">
        <f>DATE(2018,10,1)</f>
        <v>43374</v>
      </c>
      <c r="C34" s="21">
        <v>62804</v>
      </c>
      <c r="D34" s="21">
        <v>63657</v>
      </c>
      <c r="E34" s="23">
        <f t="shared" si="10"/>
        <v>-0.013399940305072498</v>
      </c>
      <c r="F34" s="21">
        <f>+C34-33338</f>
        <v>29466</v>
      </c>
      <c r="G34" s="21">
        <f>+D34-34877</f>
        <v>28780</v>
      </c>
      <c r="H34" s="23">
        <f t="shared" si="11"/>
        <v>0.02383599722029187</v>
      </c>
      <c r="I34" s="24">
        <f t="shared" si="12"/>
        <v>45.33038946563913</v>
      </c>
      <c r="J34" s="24">
        <f t="shared" si="13"/>
        <v>96.61744994230638</v>
      </c>
      <c r="K34" s="21">
        <v>2846929.78</v>
      </c>
      <c r="L34" s="21">
        <v>2893425.26</v>
      </c>
      <c r="M34" s="25">
        <f t="shared" si="14"/>
        <v>-0.016069355805651598</v>
      </c>
      <c r="N34" s="10"/>
      <c r="R34" s="2"/>
    </row>
    <row r="35" spans="1:18" ht="15.75" customHeight="1">
      <c r="A35" s="19"/>
      <c r="B35" s="20">
        <f>DATE(2018,11,1)</f>
        <v>43405</v>
      </c>
      <c r="C35" s="21">
        <v>61960</v>
      </c>
      <c r="D35" s="21">
        <v>63113</v>
      </c>
      <c r="E35" s="23">
        <f t="shared" si="10"/>
        <v>-0.018268819419137102</v>
      </c>
      <c r="F35" s="21">
        <f>+C35-34125</f>
        <v>27835</v>
      </c>
      <c r="G35" s="21">
        <f>+D35-34636</f>
        <v>28477</v>
      </c>
      <c r="H35" s="23">
        <f t="shared" si="11"/>
        <v>-0.02254450960424202</v>
      </c>
      <c r="I35" s="24">
        <f t="shared" si="12"/>
        <v>46.03574903163331</v>
      </c>
      <c r="J35" s="24">
        <f t="shared" si="13"/>
        <v>102.47440308963535</v>
      </c>
      <c r="K35" s="21">
        <v>2852375.01</v>
      </c>
      <c r="L35" s="21">
        <v>2842675.68</v>
      </c>
      <c r="M35" s="25">
        <f t="shared" si="14"/>
        <v>0.00341204241772653</v>
      </c>
      <c r="N35" s="10"/>
      <c r="R35" s="2"/>
    </row>
    <row r="36" spans="1:18" ht="15.75" customHeight="1">
      <c r="A36" s="19"/>
      <c r="B36" s="20">
        <f>DATE(2018,12,1)</f>
        <v>43435</v>
      </c>
      <c r="C36" s="21">
        <v>67802</v>
      </c>
      <c r="D36" s="21">
        <v>67232</v>
      </c>
      <c r="E36" s="23">
        <f t="shared" si="10"/>
        <v>0.008478105663969539</v>
      </c>
      <c r="F36" s="21">
        <f>+C36-38252</f>
        <v>29550</v>
      </c>
      <c r="G36" s="21">
        <f>+D36-38046</f>
        <v>29186</v>
      </c>
      <c r="H36" s="23">
        <f t="shared" si="11"/>
        <v>0.012471733022682108</v>
      </c>
      <c r="I36" s="24">
        <f t="shared" si="12"/>
        <v>47.906145098964636</v>
      </c>
      <c r="J36" s="24">
        <f t="shared" si="13"/>
        <v>109.91987986463621</v>
      </c>
      <c r="K36" s="21">
        <v>3248132.45</v>
      </c>
      <c r="L36" s="21">
        <v>3087701.75</v>
      </c>
      <c r="M36" s="25">
        <f t="shared" si="14"/>
        <v>0.05195796517587885</v>
      </c>
      <c r="N36" s="10"/>
      <c r="R36" s="2"/>
    </row>
    <row r="37" spans="1:18" ht="15.75" customHeight="1">
      <c r="A37" s="19"/>
      <c r="B37" s="20">
        <f>DATE(2019,1,1)</f>
        <v>43466</v>
      </c>
      <c r="C37" s="21">
        <v>58743</v>
      </c>
      <c r="D37" s="21">
        <v>54220</v>
      </c>
      <c r="E37" s="23">
        <f t="shared" si="10"/>
        <v>0.083419402434526</v>
      </c>
      <c r="F37" s="21">
        <f>+C37-31774</f>
        <v>26969</v>
      </c>
      <c r="G37" s="21">
        <f>+D37-30564</f>
        <v>23656</v>
      </c>
      <c r="H37" s="23">
        <f t="shared" si="11"/>
        <v>0.14004903618532297</v>
      </c>
      <c r="I37" s="24">
        <f t="shared" si="12"/>
        <v>47.15828013550551</v>
      </c>
      <c r="J37" s="24">
        <f t="shared" si="13"/>
        <v>102.71863435796656</v>
      </c>
      <c r="K37" s="21">
        <v>2770218.85</v>
      </c>
      <c r="L37" s="21">
        <v>2486445.45</v>
      </c>
      <c r="M37" s="25">
        <f t="shared" si="14"/>
        <v>0.1141281422441823</v>
      </c>
      <c r="N37" s="10"/>
      <c r="R37" s="2"/>
    </row>
    <row r="38" spans="1:18" ht="15.75" customHeight="1">
      <c r="A38" s="19"/>
      <c r="B38" s="20">
        <f>DATE(2019,2,1)</f>
        <v>43497</v>
      </c>
      <c r="C38" s="21">
        <v>61568</v>
      </c>
      <c r="D38" s="21">
        <v>65508</v>
      </c>
      <c r="E38" s="23">
        <f t="shared" si="10"/>
        <v>-0.060145325761739026</v>
      </c>
      <c r="F38" s="21">
        <f>+C38-34106</f>
        <v>27462</v>
      </c>
      <c r="G38" s="21">
        <f>+D38-36512</f>
        <v>28996</v>
      </c>
      <c r="H38" s="23">
        <f t="shared" si="11"/>
        <v>-0.05290384880673196</v>
      </c>
      <c r="I38" s="24">
        <f t="shared" si="12"/>
        <v>47.19749935031185</v>
      </c>
      <c r="J38" s="24">
        <f t="shared" si="13"/>
        <v>105.81369310319715</v>
      </c>
      <c r="K38" s="21">
        <v>2905855.64</v>
      </c>
      <c r="L38" s="21">
        <v>3058842.68</v>
      </c>
      <c r="M38" s="25">
        <f t="shared" si="14"/>
        <v>-0.05001468071577975</v>
      </c>
      <c r="N38" s="10"/>
      <c r="R38" s="2"/>
    </row>
    <row r="39" spans="1:18" ht="15.75" customHeight="1" thickBot="1">
      <c r="A39" s="38"/>
      <c r="B39" s="20"/>
      <c r="C39" s="21"/>
      <c r="D39" s="21"/>
      <c r="E39" s="23"/>
      <c r="F39" s="21"/>
      <c r="G39" s="21"/>
      <c r="H39" s="23"/>
      <c r="I39" s="24"/>
      <c r="J39" s="24"/>
      <c r="K39" s="21"/>
      <c r="L39" s="21"/>
      <c r="M39" s="25"/>
      <c r="N39" s="10"/>
      <c r="R39" s="2"/>
    </row>
    <row r="40" spans="1:18" ht="17.25" customHeight="1" thickBot="1" thickTop="1">
      <c r="A40" s="39" t="s">
        <v>14</v>
      </c>
      <c r="B40" s="40"/>
      <c r="C40" s="41">
        <f>SUM(C31:C39)</f>
        <v>524562</v>
      </c>
      <c r="D40" s="41">
        <f>SUM(D31:D39)</f>
        <v>525674</v>
      </c>
      <c r="E40" s="280">
        <f>(+C40-D40)/D40</f>
        <v>-0.0021153794937546844</v>
      </c>
      <c r="F40" s="41">
        <f>SUM(F31:F39)</f>
        <v>238776</v>
      </c>
      <c r="G40" s="41">
        <f>SUM(G31:G39)</f>
        <v>234717</v>
      </c>
      <c r="H40" s="42">
        <f>(+F40-G40)/G40</f>
        <v>0.017293165812446477</v>
      </c>
      <c r="I40" s="43">
        <f>K40/C40</f>
        <v>46.01926460551851</v>
      </c>
      <c r="J40" s="43">
        <f>K40/F40</f>
        <v>101.09875984186016</v>
      </c>
      <c r="K40" s="41">
        <f>SUM(K31:K39)</f>
        <v>24139957.48</v>
      </c>
      <c r="L40" s="41">
        <f>SUM(L31:L39)</f>
        <v>23808395.709999997</v>
      </c>
      <c r="M40" s="44">
        <f>(+K40-L40)/L40</f>
        <v>0.013926254168429365</v>
      </c>
      <c r="N40" s="10"/>
      <c r="R40" s="2"/>
    </row>
    <row r="41" spans="1:18" ht="15.75" customHeight="1" thickTop="1">
      <c r="A41" s="38"/>
      <c r="B41" s="45"/>
      <c r="C41" s="21"/>
      <c r="D41" s="21"/>
      <c r="E41" s="23"/>
      <c r="F41" s="21"/>
      <c r="G41" s="21"/>
      <c r="H41" s="23"/>
      <c r="I41" s="24"/>
      <c r="J41" s="24"/>
      <c r="K41" s="21"/>
      <c r="L41" s="21"/>
      <c r="M41" s="25"/>
      <c r="N41" s="10"/>
      <c r="R41" s="2"/>
    </row>
    <row r="42" spans="1:18" ht="15.75" customHeight="1">
      <c r="A42" s="177" t="s">
        <v>65</v>
      </c>
      <c r="B42" s="20">
        <f>DATE(2018,7,1)</f>
        <v>43282</v>
      </c>
      <c r="C42" s="21">
        <v>465892</v>
      </c>
      <c r="D42" s="21">
        <v>502707</v>
      </c>
      <c r="E42" s="23">
        <f aca="true" t="shared" si="15" ref="E42:E49">(+C42-D42)/D42</f>
        <v>-0.07323351375652219</v>
      </c>
      <c r="F42" s="21">
        <f>+C42-233751</f>
        <v>232141</v>
      </c>
      <c r="G42" s="21">
        <f>+D42-258518</f>
        <v>244189</v>
      </c>
      <c r="H42" s="23">
        <f aca="true" t="shared" si="16" ref="H42:H49">(+F42-G42)/G42</f>
        <v>-0.04933883180651053</v>
      </c>
      <c r="I42" s="24">
        <f aca="true" t="shared" si="17" ref="I42:I49">K42/C42</f>
        <v>43.31496016244108</v>
      </c>
      <c r="J42" s="24">
        <f aca="true" t="shared" si="18" ref="J42:J49">K42/F42</f>
        <v>86.93032863647525</v>
      </c>
      <c r="K42" s="21">
        <v>20180093.42</v>
      </c>
      <c r="L42" s="21">
        <v>21241004.79</v>
      </c>
      <c r="M42" s="25">
        <f aca="true" t="shared" si="19" ref="M42:M49">(+K42-L42)/L42</f>
        <v>-0.04994638344507418</v>
      </c>
      <c r="N42" s="10"/>
      <c r="R42" s="2"/>
    </row>
    <row r="43" spans="1:18" ht="15.75" customHeight="1">
      <c r="A43" s="177"/>
      <c r="B43" s="20">
        <f>DATE(2018,8,1)</f>
        <v>43313</v>
      </c>
      <c r="C43" s="21">
        <v>454572</v>
      </c>
      <c r="D43" s="21">
        <v>453491</v>
      </c>
      <c r="E43" s="23">
        <f t="shared" si="15"/>
        <v>0.0023837297763351422</v>
      </c>
      <c r="F43" s="21">
        <f>+C43-227733</f>
        <v>226839</v>
      </c>
      <c r="G43" s="21">
        <f>+D43-231314</f>
        <v>222177</v>
      </c>
      <c r="H43" s="23">
        <f t="shared" si="16"/>
        <v>0.020983270095464426</v>
      </c>
      <c r="I43" s="24">
        <f t="shared" si="17"/>
        <v>44.90025945284795</v>
      </c>
      <c r="J43" s="24">
        <f t="shared" si="18"/>
        <v>89.97747627171694</v>
      </c>
      <c r="K43" s="21">
        <v>20410400.74</v>
      </c>
      <c r="L43" s="21">
        <v>19752724.44</v>
      </c>
      <c r="M43" s="25">
        <f t="shared" si="19"/>
        <v>0.03329547283453102</v>
      </c>
      <c r="N43" s="10"/>
      <c r="R43" s="2"/>
    </row>
    <row r="44" spans="1:18" ht="15.75" customHeight="1">
      <c r="A44" s="177"/>
      <c r="B44" s="20">
        <f>DATE(2018,9,1)</f>
        <v>43344</v>
      </c>
      <c r="C44" s="21">
        <v>400695</v>
      </c>
      <c r="D44" s="21">
        <v>440378</v>
      </c>
      <c r="E44" s="23">
        <f t="shared" si="15"/>
        <v>-0.0901112226314666</v>
      </c>
      <c r="F44" s="21">
        <f>+C44-202275</f>
        <v>198420</v>
      </c>
      <c r="G44" s="21">
        <f>+D44-224768</f>
        <v>215610</v>
      </c>
      <c r="H44" s="23">
        <f t="shared" si="16"/>
        <v>-0.07972728537637401</v>
      </c>
      <c r="I44" s="24">
        <f t="shared" si="17"/>
        <v>48.47667926976877</v>
      </c>
      <c r="J44" s="24">
        <f t="shared" si="18"/>
        <v>97.89518697711924</v>
      </c>
      <c r="K44" s="21">
        <v>19424363</v>
      </c>
      <c r="L44" s="21">
        <v>19993375.76</v>
      </c>
      <c r="M44" s="25">
        <f t="shared" si="19"/>
        <v>-0.02846006431482192</v>
      </c>
      <c r="N44" s="10"/>
      <c r="R44" s="2"/>
    </row>
    <row r="45" spans="1:18" ht="15.75" customHeight="1">
      <c r="A45" s="177"/>
      <c r="B45" s="20">
        <f>DATE(2018,10,1)</f>
        <v>43374</v>
      </c>
      <c r="C45" s="21">
        <v>385385</v>
      </c>
      <c r="D45" s="21">
        <v>419713</v>
      </c>
      <c r="E45" s="23">
        <f t="shared" si="15"/>
        <v>-0.08178922263546758</v>
      </c>
      <c r="F45" s="21">
        <f>+C45-195549</f>
        <v>189836</v>
      </c>
      <c r="G45" s="21">
        <f>+D45-218072</f>
        <v>201641</v>
      </c>
      <c r="H45" s="23">
        <f t="shared" si="16"/>
        <v>-0.05854464121879975</v>
      </c>
      <c r="I45" s="24">
        <f t="shared" si="17"/>
        <v>47.1034713857571</v>
      </c>
      <c r="J45" s="24">
        <f t="shared" si="18"/>
        <v>95.6244933521566</v>
      </c>
      <c r="K45" s="21">
        <v>18152971.32</v>
      </c>
      <c r="L45" s="21">
        <v>18150595.49</v>
      </c>
      <c r="M45" s="25">
        <f t="shared" si="19"/>
        <v>0.00013089542992189383</v>
      </c>
      <c r="N45" s="10"/>
      <c r="R45" s="2"/>
    </row>
    <row r="46" spans="1:18" ht="15.75" customHeight="1">
      <c r="A46" s="177"/>
      <c r="B46" s="20">
        <f>DATE(2018,11,1)</f>
        <v>43405</v>
      </c>
      <c r="C46" s="21">
        <v>374346</v>
      </c>
      <c r="D46" s="21">
        <v>408603</v>
      </c>
      <c r="E46" s="23">
        <f t="shared" si="15"/>
        <v>-0.08383932570245446</v>
      </c>
      <c r="F46" s="21">
        <f>+C46-191013</f>
        <v>183333</v>
      </c>
      <c r="G46" s="21">
        <f>+D46-210845</f>
        <v>197758</v>
      </c>
      <c r="H46" s="23">
        <f t="shared" si="16"/>
        <v>-0.07294268752717968</v>
      </c>
      <c r="I46" s="24">
        <f t="shared" si="17"/>
        <v>47.420801557917</v>
      </c>
      <c r="J46" s="24">
        <f t="shared" si="18"/>
        <v>96.82810721474038</v>
      </c>
      <c r="K46" s="21">
        <v>17751787.38</v>
      </c>
      <c r="L46" s="21">
        <v>18468735.18</v>
      </c>
      <c r="M46" s="25">
        <f t="shared" si="19"/>
        <v>-0.03881953977965917</v>
      </c>
      <c r="N46" s="10"/>
      <c r="R46" s="2"/>
    </row>
    <row r="47" spans="1:18" ht="15.75" customHeight="1">
      <c r="A47" s="177"/>
      <c r="B47" s="20">
        <f>DATE(2018,12,1)</f>
        <v>43435</v>
      </c>
      <c r="C47" s="21">
        <v>412048</v>
      </c>
      <c r="D47" s="21">
        <v>449629</v>
      </c>
      <c r="E47" s="23">
        <f t="shared" si="15"/>
        <v>-0.08358224224860941</v>
      </c>
      <c r="F47" s="21">
        <f>+C47-211961</f>
        <v>200087</v>
      </c>
      <c r="G47" s="21">
        <f>+D47-233187</f>
        <v>216442</v>
      </c>
      <c r="H47" s="23">
        <f t="shared" si="16"/>
        <v>-0.07556296837027933</v>
      </c>
      <c r="I47" s="24">
        <f t="shared" si="17"/>
        <v>46.91464098842853</v>
      </c>
      <c r="J47" s="24">
        <f t="shared" si="18"/>
        <v>96.61339312399106</v>
      </c>
      <c r="K47" s="21">
        <v>19331083.99</v>
      </c>
      <c r="L47" s="21">
        <v>20150034.73</v>
      </c>
      <c r="M47" s="25">
        <f t="shared" si="19"/>
        <v>-0.04064264657473382</v>
      </c>
      <c r="N47" s="10"/>
      <c r="R47" s="2"/>
    </row>
    <row r="48" spans="1:18" ht="15.75" customHeight="1">
      <c r="A48" s="177"/>
      <c r="B48" s="20">
        <f>DATE(2019,1,1)</f>
        <v>43466</v>
      </c>
      <c r="C48" s="21">
        <v>344029</v>
      </c>
      <c r="D48" s="21">
        <v>391423</v>
      </c>
      <c r="E48" s="23">
        <f t="shared" si="15"/>
        <v>-0.12108128546355222</v>
      </c>
      <c r="F48" s="21">
        <f>+C48-177399</f>
        <v>166630</v>
      </c>
      <c r="G48" s="21">
        <f>+D48-204825</f>
        <v>186598</v>
      </c>
      <c r="H48" s="23">
        <f t="shared" si="16"/>
        <v>-0.10701079325609063</v>
      </c>
      <c r="I48" s="24">
        <f t="shared" si="17"/>
        <v>47.706946565551156</v>
      </c>
      <c r="J48" s="24">
        <f t="shared" si="18"/>
        <v>98.49710808377843</v>
      </c>
      <c r="K48" s="21">
        <v>16412573.12</v>
      </c>
      <c r="L48" s="21">
        <v>17738011.18</v>
      </c>
      <c r="M48" s="25">
        <f t="shared" si="19"/>
        <v>-0.07472303667811762</v>
      </c>
      <c r="N48" s="10"/>
      <c r="R48" s="2"/>
    </row>
    <row r="49" spans="1:18" ht="15.75" customHeight="1">
      <c r="A49" s="177"/>
      <c r="B49" s="20">
        <f>DATE(2019,2,1)</f>
        <v>43497</v>
      </c>
      <c r="C49" s="21">
        <v>384321</v>
      </c>
      <c r="D49" s="21">
        <v>413419</v>
      </c>
      <c r="E49" s="23">
        <f t="shared" si="15"/>
        <v>-0.07038379948671929</v>
      </c>
      <c r="F49" s="21">
        <f>+C49-196867</f>
        <v>187454</v>
      </c>
      <c r="G49" s="21">
        <f>+D49-213480</f>
        <v>199939</v>
      </c>
      <c r="H49" s="23">
        <f t="shared" si="16"/>
        <v>-0.06244404543385733</v>
      </c>
      <c r="I49" s="24">
        <f t="shared" si="17"/>
        <v>48.37954376679911</v>
      </c>
      <c r="J49" s="24">
        <f t="shared" si="18"/>
        <v>99.18846565023952</v>
      </c>
      <c r="K49" s="21">
        <v>18593274.64</v>
      </c>
      <c r="L49" s="21">
        <v>18792291.01</v>
      </c>
      <c r="M49" s="25">
        <f t="shared" si="19"/>
        <v>-0.010590319716425094</v>
      </c>
      <c r="N49" s="10"/>
      <c r="R49" s="2"/>
    </row>
    <row r="50" spans="1:18" ht="15" thickBot="1">
      <c r="A50" s="38"/>
      <c r="B50" s="45"/>
      <c r="C50" s="21"/>
      <c r="D50" s="21"/>
      <c r="E50" s="23"/>
      <c r="F50" s="21"/>
      <c r="G50" s="21"/>
      <c r="H50" s="23"/>
      <c r="I50" s="24"/>
      <c r="J50" s="24"/>
      <c r="K50" s="21"/>
      <c r="L50" s="21"/>
      <c r="M50" s="25"/>
      <c r="N50" s="10"/>
      <c r="R50" s="2"/>
    </row>
    <row r="51" spans="1:18" ht="16.5" thickBot="1" thickTop="1">
      <c r="A51" s="39" t="s">
        <v>14</v>
      </c>
      <c r="B51" s="40"/>
      <c r="C51" s="41">
        <f>SUM(C42:C50)</f>
        <v>3221288</v>
      </c>
      <c r="D51" s="41">
        <f>SUM(D42:D50)</f>
        <v>3479363</v>
      </c>
      <c r="E51" s="280">
        <f>(+C51-D51)/D51</f>
        <v>-0.07417305983882681</v>
      </c>
      <c r="F51" s="41">
        <f>SUM(F42:F50)</f>
        <v>1584740</v>
      </c>
      <c r="G51" s="41">
        <f>SUM(G42:G50)</f>
        <v>1684354</v>
      </c>
      <c r="H51" s="42">
        <f>(+F51-G51)/G51</f>
        <v>-0.05914077444527694</v>
      </c>
      <c r="I51" s="43">
        <f>K51/C51</f>
        <v>46.64486615602206</v>
      </c>
      <c r="J51" s="43">
        <f>K51/F51</f>
        <v>94.814636855257</v>
      </c>
      <c r="K51" s="41">
        <f>SUM(K42:K50)</f>
        <v>150256547.60999998</v>
      </c>
      <c r="L51" s="41">
        <f>SUM(L42:L50)</f>
        <v>154286772.57999998</v>
      </c>
      <c r="M51" s="44">
        <f>(+K51-L51)/L51</f>
        <v>-0.026121649332643</v>
      </c>
      <c r="N51" s="10"/>
      <c r="R51" s="2"/>
    </row>
    <row r="52" spans="1:18" ht="15" thickTop="1">
      <c r="A52" s="38"/>
      <c r="B52" s="45"/>
      <c r="C52" s="21"/>
      <c r="D52" s="21"/>
      <c r="E52" s="23"/>
      <c r="F52" s="21"/>
      <c r="G52" s="21"/>
      <c r="H52" s="23"/>
      <c r="I52" s="24"/>
      <c r="J52" s="24"/>
      <c r="K52" s="21"/>
      <c r="L52" s="21"/>
      <c r="M52" s="25"/>
      <c r="N52" s="10"/>
      <c r="R52" s="2"/>
    </row>
    <row r="53" spans="1:18" ht="15">
      <c r="A53" s="19" t="s">
        <v>16</v>
      </c>
      <c r="B53" s="20">
        <f>DATE(2018,7,1)</f>
        <v>43282</v>
      </c>
      <c r="C53" s="21">
        <v>289167</v>
      </c>
      <c r="D53" s="21">
        <v>332127</v>
      </c>
      <c r="E53" s="23">
        <f aca="true" t="shared" si="20" ref="E53:E60">(+C53-D53)/D53</f>
        <v>-0.12934811081303235</v>
      </c>
      <c r="F53" s="21">
        <f>+C53-134357</f>
        <v>154810</v>
      </c>
      <c r="G53" s="21">
        <f>+D53-153372</f>
        <v>178755</v>
      </c>
      <c r="H53" s="23">
        <f aca="true" t="shared" si="21" ref="H53:H60">(+F53-G53)/G53</f>
        <v>-0.13395429498475567</v>
      </c>
      <c r="I53" s="24">
        <f aca="true" t="shared" si="22" ref="I53:I60">K53/C53</f>
        <v>51.510231907513656</v>
      </c>
      <c r="J53" s="24">
        <f aca="true" t="shared" si="23" ref="J53:J60">K53/F53</f>
        <v>96.21509740972806</v>
      </c>
      <c r="K53" s="21">
        <v>14895059.23</v>
      </c>
      <c r="L53" s="21">
        <v>16977556.68</v>
      </c>
      <c r="M53" s="25">
        <f aca="true" t="shared" si="24" ref="M53:M60">(+K53-L53)/L53</f>
        <v>-0.12266178751464485</v>
      </c>
      <c r="N53" s="10"/>
      <c r="R53" s="2"/>
    </row>
    <row r="54" spans="1:18" ht="15">
      <c r="A54" s="19"/>
      <c r="B54" s="20">
        <f>DATE(2018,8,1)</f>
        <v>43313</v>
      </c>
      <c r="C54" s="21">
        <v>292132</v>
      </c>
      <c r="D54" s="21">
        <v>318460</v>
      </c>
      <c r="E54" s="23">
        <f t="shared" si="20"/>
        <v>-0.08267286315392829</v>
      </c>
      <c r="F54" s="21">
        <f>+C54-136807</f>
        <v>155325</v>
      </c>
      <c r="G54" s="21">
        <f>+D54-146549</f>
        <v>171911</v>
      </c>
      <c r="H54" s="23">
        <f t="shared" si="21"/>
        <v>-0.09648015542926282</v>
      </c>
      <c r="I54" s="24">
        <f t="shared" si="22"/>
        <v>49.94121749756959</v>
      </c>
      <c r="J54" s="24">
        <f t="shared" si="23"/>
        <v>93.92839369064863</v>
      </c>
      <c r="K54" s="21">
        <v>14589427.75</v>
      </c>
      <c r="L54" s="21">
        <v>15578003.46</v>
      </c>
      <c r="M54" s="25">
        <f t="shared" si="24"/>
        <v>-0.06345971821988547</v>
      </c>
      <c r="N54" s="10"/>
      <c r="R54" s="2"/>
    </row>
    <row r="55" spans="1:18" ht="15">
      <c r="A55" s="19"/>
      <c r="B55" s="20">
        <f>DATE(2018,9,1)</f>
        <v>43344</v>
      </c>
      <c r="C55" s="21">
        <v>292955</v>
      </c>
      <c r="D55" s="21">
        <v>319116</v>
      </c>
      <c r="E55" s="23">
        <f t="shared" si="20"/>
        <v>-0.08197959362739568</v>
      </c>
      <c r="F55" s="21">
        <f>+C55-135433</f>
        <v>157522</v>
      </c>
      <c r="G55" s="21">
        <f>+D55-146330</f>
        <v>172786</v>
      </c>
      <c r="H55" s="23">
        <f t="shared" si="21"/>
        <v>-0.08834049054900281</v>
      </c>
      <c r="I55" s="24">
        <f t="shared" si="22"/>
        <v>51.9962153231725</v>
      </c>
      <c r="J55" s="24">
        <f t="shared" si="23"/>
        <v>96.70110371884562</v>
      </c>
      <c r="K55" s="21">
        <v>15232551.26</v>
      </c>
      <c r="L55" s="21">
        <v>15578279.97</v>
      </c>
      <c r="M55" s="25">
        <f t="shared" si="24"/>
        <v>-0.02219299631703826</v>
      </c>
      <c r="N55" s="10"/>
      <c r="R55" s="2"/>
    </row>
    <row r="56" spans="1:18" ht="15">
      <c r="A56" s="19"/>
      <c r="B56" s="20">
        <f>DATE(2018,10,1)</f>
        <v>43374</v>
      </c>
      <c r="C56" s="21">
        <v>283107</v>
      </c>
      <c r="D56" s="21">
        <v>307325</v>
      </c>
      <c r="E56" s="23">
        <f t="shared" si="20"/>
        <v>-0.07880257056861628</v>
      </c>
      <c r="F56" s="21">
        <f>+C56-129714</f>
        <v>153393</v>
      </c>
      <c r="G56" s="21">
        <f>+D56-144149</f>
        <v>163176</v>
      </c>
      <c r="H56" s="23">
        <f t="shared" si="21"/>
        <v>-0.05995366965730255</v>
      </c>
      <c r="I56" s="24">
        <f t="shared" si="22"/>
        <v>51.85689548474605</v>
      </c>
      <c r="J56" s="24">
        <f t="shared" si="23"/>
        <v>95.70873579628797</v>
      </c>
      <c r="K56" s="21">
        <v>14681050.11</v>
      </c>
      <c r="L56" s="21">
        <v>14357615.17</v>
      </c>
      <c r="M56" s="25">
        <f t="shared" si="24"/>
        <v>0.02252706568398709</v>
      </c>
      <c r="N56" s="10"/>
      <c r="R56" s="2"/>
    </row>
    <row r="57" spans="1:18" ht="15">
      <c r="A57" s="19"/>
      <c r="B57" s="20">
        <f>DATE(2018,11,1)</f>
        <v>43405</v>
      </c>
      <c r="C57" s="21">
        <v>270987</v>
      </c>
      <c r="D57" s="21">
        <v>280587</v>
      </c>
      <c r="E57" s="23">
        <f t="shared" si="20"/>
        <v>-0.03421398710560361</v>
      </c>
      <c r="F57" s="21">
        <f>+C57-127087</f>
        <v>143900</v>
      </c>
      <c r="G57" s="21">
        <f>+D57-134796</f>
        <v>145791</v>
      </c>
      <c r="H57" s="23">
        <f t="shared" si="21"/>
        <v>-0.012970622329224713</v>
      </c>
      <c r="I57" s="24">
        <f t="shared" si="22"/>
        <v>50.92236609136232</v>
      </c>
      <c r="J57" s="24">
        <f t="shared" si="23"/>
        <v>95.89506059763725</v>
      </c>
      <c r="K57" s="21">
        <v>13799299.22</v>
      </c>
      <c r="L57" s="21">
        <v>14099625.18</v>
      </c>
      <c r="M57" s="25">
        <f t="shared" si="24"/>
        <v>-0.021300279700059307</v>
      </c>
      <c r="N57" s="10"/>
      <c r="R57" s="2"/>
    </row>
    <row r="58" spans="1:18" ht="15">
      <c r="A58" s="19"/>
      <c r="B58" s="20">
        <f>DATE(2018,12,1)</f>
        <v>43435</v>
      </c>
      <c r="C58" s="21">
        <v>307184</v>
      </c>
      <c r="D58" s="21">
        <v>306888</v>
      </c>
      <c r="E58" s="23">
        <f t="shared" si="20"/>
        <v>0.0009645212585699017</v>
      </c>
      <c r="F58" s="21">
        <f>+C58-142869</f>
        <v>164315</v>
      </c>
      <c r="G58" s="21">
        <f>+D58-144117</f>
        <v>162771</v>
      </c>
      <c r="H58" s="23">
        <f t="shared" si="21"/>
        <v>0.0094857192005947</v>
      </c>
      <c r="I58" s="24">
        <f t="shared" si="22"/>
        <v>50.741745435960205</v>
      </c>
      <c r="J58" s="24">
        <f t="shared" si="23"/>
        <v>94.86079986611082</v>
      </c>
      <c r="K58" s="21">
        <v>15587052.33</v>
      </c>
      <c r="L58" s="21">
        <v>14839139.05</v>
      </c>
      <c r="M58" s="25">
        <f t="shared" si="24"/>
        <v>0.050401393064646784</v>
      </c>
      <c r="N58" s="10"/>
      <c r="R58" s="2"/>
    </row>
    <row r="59" spans="1:18" ht="15">
      <c r="A59" s="19"/>
      <c r="B59" s="20">
        <f>DATE(2019,1,1)</f>
        <v>43466</v>
      </c>
      <c r="C59" s="21">
        <v>270469</v>
      </c>
      <c r="D59" s="21">
        <v>266691</v>
      </c>
      <c r="E59" s="23">
        <f t="shared" si="20"/>
        <v>0.01416620733358081</v>
      </c>
      <c r="F59" s="21">
        <f>+C59-125284</f>
        <v>145185</v>
      </c>
      <c r="G59" s="21">
        <f>+D59-126275</f>
        <v>140416</v>
      </c>
      <c r="H59" s="23">
        <f t="shared" si="21"/>
        <v>0.03396336599817685</v>
      </c>
      <c r="I59" s="24">
        <f t="shared" si="22"/>
        <v>46.27418221681597</v>
      </c>
      <c r="J59" s="24">
        <f t="shared" si="23"/>
        <v>86.20540544822123</v>
      </c>
      <c r="K59" s="21">
        <v>12515731.79</v>
      </c>
      <c r="L59" s="21">
        <v>12467368.92</v>
      </c>
      <c r="M59" s="25">
        <f t="shared" si="24"/>
        <v>0.003879156084201219</v>
      </c>
      <c r="N59" s="10"/>
      <c r="R59" s="2"/>
    </row>
    <row r="60" spans="1:18" ht="15">
      <c r="A60" s="19"/>
      <c r="B60" s="20">
        <f>DATE(2019,2,1)</f>
        <v>43497</v>
      </c>
      <c r="C60" s="21">
        <v>258062</v>
      </c>
      <c r="D60" s="21">
        <v>270857</v>
      </c>
      <c r="E60" s="23">
        <f t="shared" si="20"/>
        <v>-0.047238948965690385</v>
      </c>
      <c r="F60" s="21">
        <f>+C60-117954</f>
        <v>140108</v>
      </c>
      <c r="G60" s="21">
        <f>+D60-128704</f>
        <v>142153</v>
      </c>
      <c r="H60" s="23">
        <f t="shared" si="21"/>
        <v>-0.014385908141228114</v>
      </c>
      <c r="I60" s="24">
        <f t="shared" si="22"/>
        <v>47.38271306895242</v>
      </c>
      <c r="J60" s="24">
        <f t="shared" si="23"/>
        <v>87.2732299369058</v>
      </c>
      <c r="K60" s="21">
        <v>12227677.7</v>
      </c>
      <c r="L60" s="21">
        <v>12877404.86</v>
      </c>
      <c r="M60" s="25">
        <f t="shared" si="24"/>
        <v>-0.05045482122086516</v>
      </c>
      <c r="N60" s="10"/>
      <c r="R60" s="2"/>
    </row>
    <row r="61" spans="1:18" ht="15" thickBot="1">
      <c r="A61" s="38"/>
      <c r="B61" s="20"/>
      <c r="C61" s="21"/>
      <c r="D61" s="21"/>
      <c r="E61" s="23"/>
      <c r="F61" s="21"/>
      <c r="G61" s="21"/>
      <c r="H61" s="23"/>
      <c r="I61" s="24"/>
      <c r="J61" s="24"/>
      <c r="K61" s="21"/>
      <c r="L61" s="21"/>
      <c r="M61" s="25"/>
      <c r="N61" s="10"/>
      <c r="R61" s="2"/>
    </row>
    <row r="62" spans="1:18" ht="16.5" thickBot="1" thickTop="1">
      <c r="A62" s="39" t="s">
        <v>14</v>
      </c>
      <c r="B62" s="40"/>
      <c r="C62" s="41">
        <f>SUM(C53:C61)</f>
        <v>2264063</v>
      </c>
      <c r="D62" s="41">
        <f>SUM(D53:D61)</f>
        <v>2402051</v>
      </c>
      <c r="E62" s="281">
        <f>(+C62-D62)/D62</f>
        <v>-0.05744590768472443</v>
      </c>
      <c r="F62" s="47">
        <f>SUM(F53:F61)</f>
        <v>1214558</v>
      </c>
      <c r="G62" s="48">
        <f>SUM(G53:G61)</f>
        <v>1277759</v>
      </c>
      <c r="H62" s="49">
        <f>(+F62-G62)/G62</f>
        <v>-0.04946237905583134</v>
      </c>
      <c r="I62" s="50">
        <f>K62/C62</f>
        <v>50.14341446770695</v>
      </c>
      <c r="J62" s="51">
        <f>K62/F62</f>
        <v>93.47256317936237</v>
      </c>
      <c r="K62" s="48">
        <f>SUM(K53:K61)</f>
        <v>113527849.39</v>
      </c>
      <c r="L62" s="47">
        <f>SUM(L53:L61)</f>
        <v>116774993.29</v>
      </c>
      <c r="M62" s="44">
        <f>(+K62-L62)/L62</f>
        <v>-0.027806842959399888</v>
      </c>
      <c r="N62" s="10"/>
      <c r="R62" s="2"/>
    </row>
    <row r="63" spans="1:18" ht="15.75" customHeight="1" thickTop="1">
      <c r="A63" s="273"/>
      <c r="B63" s="45"/>
      <c r="C63" s="21"/>
      <c r="D63" s="21"/>
      <c r="E63" s="23"/>
      <c r="F63" s="21"/>
      <c r="G63" s="21"/>
      <c r="H63" s="23"/>
      <c r="I63" s="24"/>
      <c r="J63" s="24"/>
      <c r="K63" s="21"/>
      <c r="L63" s="21"/>
      <c r="M63" s="25"/>
      <c r="N63" s="10"/>
      <c r="R63" s="2"/>
    </row>
    <row r="64" spans="1:18" ht="15">
      <c r="A64" s="274" t="s">
        <v>66</v>
      </c>
      <c r="B64" s="20">
        <f>DATE(2018,7,1)</f>
        <v>43282</v>
      </c>
      <c r="C64" s="21">
        <v>129160</v>
      </c>
      <c r="D64" s="21">
        <v>155680</v>
      </c>
      <c r="E64" s="23">
        <f aca="true" t="shared" si="25" ref="E64:E71">(+C64-D64)/D64</f>
        <v>-0.17034943473792394</v>
      </c>
      <c r="F64" s="21">
        <f>+C64-62596</f>
        <v>66564</v>
      </c>
      <c r="G64" s="21">
        <f>+D64-76075</f>
        <v>79605</v>
      </c>
      <c r="H64" s="23">
        <f aca="true" t="shared" si="26" ref="H64:H71">(+F64-G64)/G64</f>
        <v>-0.16382136800452232</v>
      </c>
      <c r="I64" s="24">
        <f aca="true" t="shared" si="27" ref="I64:I71">K64/C64</f>
        <v>40.40641491173738</v>
      </c>
      <c r="J64" s="24">
        <f aca="true" t="shared" si="28" ref="J64:J71">K64/F64</f>
        <v>78.40413061114116</v>
      </c>
      <c r="K64" s="21">
        <v>5218892.55</v>
      </c>
      <c r="L64" s="21">
        <v>5695517.98</v>
      </c>
      <c r="M64" s="25">
        <f aca="true" t="shared" si="29" ref="M64:M71">(+K64-L64)/L64</f>
        <v>-0.0836842990705475</v>
      </c>
      <c r="N64" s="10"/>
      <c r="R64" s="2"/>
    </row>
    <row r="65" spans="1:18" ht="15">
      <c r="A65" s="274"/>
      <c r="B65" s="20">
        <f>DATE(2018,8,1)</f>
        <v>43313</v>
      </c>
      <c r="C65" s="21">
        <v>120860</v>
      </c>
      <c r="D65" s="21">
        <v>137297</v>
      </c>
      <c r="E65" s="23">
        <f t="shared" si="25"/>
        <v>-0.11971856631973021</v>
      </c>
      <c r="F65" s="21">
        <f>+C65-58336</f>
        <v>62524</v>
      </c>
      <c r="G65" s="21">
        <f>+D65-65122</f>
        <v>72175</v>
      </c>
      <c r="H65" s="23">
        <f t="shared" si="26"/>
        <v>-0.13371666089366124</v>
      </c>
      <c r="I65" s="24">
        <f t="shared" si="27"/>
        <v>43.54834246235313</v>
      </c>
      <c r="J65" s="24">
        <f t="shared" si="28"/>
        <v>84.17971770839998</v>
      </c>
      <c r="K65" s="21">
        <v>5263252.67</v>
      </c>
      <c r="L65" s="21">
        <v>5143794.97</v>
      </c>
      <c r="M65" s="25">
        <f t="shared" si="29"/>
        <v>0.023223651155753627</v>
      </c>
      <c r="N65" s="10"/>
      <c r="R65" s="2"/>
    </row>
    <row r="66" spans="1:18" ht="15">
      <c r="A66" s="274"/>
      <c r="B66" s="20">
        <f>DATE(2018,9,1)</f>
        <v>43344</v>
      </c>
      <c r="C66" s="21">
        <v>129571</v>
      </c>
      <c r="D66" s="21">
        <v>149373</v>
      </c>
      <c r="E66" s="23">
        <f t="shared" si="25"/>
        <v>-0.13256746533844804</v>
      </c>
      <c r="F66" s="21">
        <f>+C66-62477</f>
        <v>67094</v>
      </c>
      <c r="G66" s="21">
        <f>+D66-70315</f>
        <v>79058</v>
      </c>
      <c r="H66" s="23">
        <f t="shared" si="26"/>
        <v>-0.15133193351716462</v>
      </c>
      <c r="I66" s="24">
        <f t="shared" si="27"/>
        <v>39.03113134883577</v>
      </c>
      <c r="J66" s="24">
        <f t="shared" si="28"/>
        <v>75.37637821563776</v>
      </c>
      <c r="K66" s="21">
        <v>5057302.72</v>
      </c>
      <c r="L66" s="21">
        <v>5888747.75</v>
      </c>
      <c r="M66" s="25">
        <f t="shared" si="29"/>
        <v>-0.14119216262914305</v>
      </c>
      <c r="N66" s="10"/>
      <c r="R66" s="2"/>
    </row>
    <row r="67" spans="1:18" ht="15">
      <c r="A67" s="274"/>
      <c r="B67" s="20">
        <f>DATE(2018,10,1)</f>
        <v>43374</v>
      </c>
      <c r="C67" s="21">
        <v>116235</v>
      </c>
      <c r="D67" s="21">
        <v>144440</v>
      </c>
      <c r="E67" s="23">
        <f t="shared" si="25"/>
        <v>-0.1952713929659374</v>
      </c>
      <c r="F67" s="21">
        <f>+C67-55536</f>
        <v>60699</v>
      </c>
      <c r="G67" s="21">
        <f>+D67-68619</f>
        <v>75821</v>
      </c>
      <c r="H67" s="23">
        <f t="shared" si="26"/>
        <v>-0.19944342596378312</v>
      </c>
      <c r="I67" s="24">
        <f t="shared" si="27"/>
        <v>42.49657538607133</v>
      </c>
      <c r="J67" s="24">
        <f t="shared" si="28"/>
        <v>81.37843193462825</v>
      </c>
      <c r="K67" s="21">
        <v>4939589.44</v>
      </c>
      <c r="L67" s="21">
        <v>5166610</v>
      </c>
      <c r="M67" s="25">
        <f t="shared" si="29"/>
        <v>-0.04393994514778541</v>
      </c>
      <c r="N67" s="10"/>
      <c r="R67" s="2"/>
    </row>
    <row r="68" spans="1:18" ht="15">
      <c r="A68" s="274"/>
      <c r="B68" s="20">
        <f>DATE(2018,11,1)</f>
        <v>43405</v>
      </c>
      <c r="C68" s="21">
        <v>117294</v>
      </c>
      <c r="D68" s="21">
        <v>136794</v>
      </c>
      <c r="E68" s="23">
        <f t="shared" si="25"/>
        <v>-0.14255011184701083</v>
      </c>
      <c r="F68" s="21">
        <f>+C68-56187</f>
        <v>61107</v>
      </c>
      <c r="G68" s="21">
        <f>+D68-66771</f>
        <v>70023</v>
      </c>
      <c r="H68" s="23">
        <f t="shared" si="26"/>
        <v>-0.12732959170558245</v>
      </c>
      <c r="I68" s="24">
        <f t="shared" si="27"/>
        <v>41.788361467764766</v>
      </c>
      <c r="J68" s="24">
        <f t="shared" si="28"/>
        <v>80.21215359942397</v>
      </c>
      <c r="K68" s="21">
        <v>4901524.07</v>
      </c>
      <c r="L68" s="21">
        <v>5061067.71</v>
      </c>
      <c r="M68" s="25">
        <f t="shared" si="29"/>
        <v>-0.03152371182167007</v>
      </c>
      <c r="N68" s="10"/>
      <c r="R68" s="2"/>
    </row>
    <row r="69" spans="1:18" ht="15">
      <c r="A69" s="274"/>
      <c r="B69" s="20">
        <f>DATE(2018,12,1)</f>
        <v>43435</v>
      </c>
      <c r="C69" s="21">
        <v>141406</v>
      </c>
      <c r="D69" s="21">
        <v>153482</v>
      </c>
      <c r="E69" s="23">
        <f t="shared" si="25"/>
        <v>-0.07868023611889342</v>
      </c>
      <c r="F69" s="21">
        <f>+C69-68500</f>
        <v>72906</v>
      </c>
      <c r="G69" s="21">
        <f>+D69-73779</f>
        <v>79703</v>
      </c>
      <c r="H69" s="23">
        <f t="shared" si="26"/>
        <v>-0.08527909865375205</v>
      </c>
      <c r="I69" s="24">
        <f t="shared" si="27"/>
        <v>38.96113099868464</v>
      </c>
      <c r="J69" s="24">
        <f t="shared" si="28"/>
        <v>75.5676856500151</v>
      </c>
      <c r="K69" s="21">
        <v>5509337.69</v>
      </c>
      <c r="L69" s="21">
        <v>5630075.22</v>
      </c>
      <c r="M69" s="25">
        <f t="shared" si="29"/>
        <v>-0.021445100692633258</v>
      </c>
      <c r="N69" s="10"/>
      <c r="R69" s="2"/>
    </row>
    <row r="70" spans="1:18" ht="15">
      <c r="A70" s="274"/>
      <c r="B70" s="20">
        <f>DATE(2019,1,1)</f>
        <v>43466</v>
      </c>
      <c r="C70" s="21">
        <v>109334</v>
      </c>
      <c r="D70" s="21">
        <v>133357</v>
      </c>
      <c r="E70" s="23">
        <f t="shared" si="25"/>
        <v>-0.18014052505680242</v>
      </c>
      <c r="F70" s="21">
        <f>+C70-54908</f>
        <v>54426</v>
      </c>
      <c r="G70" s="21">
        <f>+D70-65017</f>
        <v>68340</v>
      </c>
      <c r="H70" s="23">
        <f t="shared" si="26"/>
        <v>-0.2035996488147498</v>
      </c>
      <c r="I70" s="24">
        <f t="shared" si="27"/>
        <v>43.65992170779446</v>
      </c>
      <c r="J70" s="24">
        <f t="shared" si="28"/>
        <v>87.70649836475214</v>
      </c>
      <c r="K70" s="21">
        <v>4773513.88</v>
      </c>
      <c r="L70" s="21">
        <v>4560342.97</v>
      </c>
      <c r="M70" s="25">
        <f t="shared" si="29"/>
        <v>0.046744490798682224</v>
      </c>
      <c r="N70" s="10"/>
      <c r="R70" s="2"/>
    </row>
    <row r="71" spans="1:18" ht="15">
      <c r="A71" s="274"/>
      <c r="B71" s="20">
        <f>DATE(2019,2,1)</f>
        <v>43497</v>
      </c>
      <c r="C71" s="21">
        <v>121868</v>
      </c>
      <c r="D71" s="21">
        <v>147114</v>
      </c>
      <c r="E71" s="23">
        <f t="shared" si="25"/>
        <v>-0.17160841252362113</v>
      </c>
      <c r="F71" s="21">
        <f>+C71-59002</f>
        <v>62866</v>
      </c>
      <c r="G71" s="21">
        <f>+D71-72403</f>
        <v>74711</v>
      </c>
      <c r="H71" s="23">
        <f t="shared" si="26"/>
        <v>-0.15854425720442772</v>
      </c>
      <c r="I71" s="24">
        <f t="shared" si="27"/>
        <v>41.75563281583352</v>
      </c>
      <c r="J71" s="24">
        <f t="shared" si="28"/>
        <v>80.94479464257309</v>
      </c>
      <c r="K71" s="21">
        <v>5088675.46</v>
      </c>
      <c r="L71" s="21">
        <v>5360198.19</v>
      </c>
      <c r="M71" s="25">
        <f t="shared" si="29"/>
        <v>-0.05065535272679916</v>
      </c>
      <c r="N71" s="10"/>
      <c r="R71" s="2"/>
    </row>
    <row r="72" spans="1:18" ht="15.75" customHeight="1" thickBot="1">
      <c r="A72" s="19"/>
      <c r="B72" s="20"/>
      <c r="C72" s="21"/>
      <c r="D72" s="21"/>
      <c r="E72" s="23"/>
      <c r="F72" s="21"/>
      <c r="G72" s="21"/>
      <c r="H72" s="23"/>
      <c r="I72" s="24"/>
      <c r="J72" s="24"/>
      <c r="K72" s="21"/>
      <c r="L72" s="21"/>
      <c r="M72" s="25"/>
      <c r="N72" s="10"/>
      <c r="R72" s="2"/>
    </row>
    <row r="73" spans="1:18" ht="17.25" customHeight="1" thickBot="1" thickTop="1">
      <c r="A73" s="39" t="s">
        <v>14</v>
      </c>
      <c r="B73" s="52"/>
      <c r="C73" s="47">
        <f>SUM(C64:C72)</f>
        <v>985728</v>
      </c>
      <c r="D73" s="48">
        <f>SUM(D64:D72)</f>
        <v>1157537</v>
      </c>
      <c r="E73" s="281">
        <f>(+C73-D73)/D73</f>
        <v>-0.1484263569976597</v>
      </c>
      <c r="F73" s="48">
        <f>SUM(F64:F72)</f>
        <v>508186</v>
      </c>
      <c r="G73" s="47">
        <f>SUM(G64:G72)</f>
        <v>599436</v>
      </c>
      <c r="H73" s="46">
        <f>(+F73-G73)/G73</f>
        <v>-0.15222642617393684</v>
      </c>
      <c r="I73" s="51">
        <f>K73/C73</f>
        <v>41.34212326321257</v>
      </c>
      <c r="J73" s="50">
        <f>K73/F73</f>
        <v>80.19128523808213</v>
      </c>
      <c r="K73" s="47">
        <f>SUM(K64:K72)</f>
        <v>40752088.480000004</v>
      </c>
      <c r="L73" s="48">
        <f>SUM(L64:L72)</f>
        <v>42506354.79</v>
      </c>
      <c r="M73" s="44">
        <f>(+K73-L73)/L73</f>
        <v>-0.041270683375858465</v>
      </c>
      <c r="N73" s="10"/>
      <c r="R73" s="2"/>
    </row>
    <row r="74" spans="1:18" ht="15.75" customHeight="1" thickTop="1">
      <c r="A74" s="19"/>
      <c r="B74" s="45"/>
      <c r="C74" s="21"/>
      <c r="D74" s="21"/>
      <c r="E74" s="23"/>
      <c r="F74" s="21"/>
      <c r="G74" s="21"/>
      <c r="H74" s="23"/>
      <c r="I74" s="24"/>
      <c r="J74" s="24"/>
      <c r="K74" s="21"/>
      <c r="L74" s="21"/>
      <c r="M74" s="25"/>
      <c r="N74" s="10"/>
      <c r="R74" s="2"/>
    </row>
    <row r="75" spans="1:18" ht="15">
      <c r="A75" s="19" t="s">
        <v>17</v>
      </c>
      <c r="B75" s="20">
        <f>DATE(2018,7,1)</f>
        <v>43282</v>
      </c>
      <c r="C75" s="21">
        <v>164240</v>
      </c>
      <c r="D75" s="21">
        <v>176619</v>
      </c>
      <c r="E75" s="23">
        <f aca="true" t="shared" si="30" ref="E75:E82">(+C75-D75)/D75</f>
        <v>-0.07008872205142141</v>
      </c>
      <c r="F75" s="21">
        <f>+C75-78084</f>
        <v>86156</v>
      </c>
      <c r="G75" s="21">
        <f>+D75-82680</f>
        <v>93939</v>
      </c>
      <c r="H75" s="23">
        <f aca="true" t="shared" si="31" ref="H75:H82">(+F75-G75)/G75</f>
        <v>-0.08285163776493257</v>
      </c>
      <c r="I75" s="24">
        <f aca="true" t="shared" si="32" ref="I75:I82">K75/C75</f>
        <v>35.1700548587433</v>
      </c>
      <c r="J75" s="24">
        <f aca="true" t="shared" si="33" ref="J75:J82">K75/F75</f>
        <v>67.04500916941362</v>
      </c>
      <c r="K75" s="21">
        <v>5776329.81</v>
      </c>
      <c r="L75" s="21">
        <v>6184772.92</v>
      </c>
      <c r="M75" s="25">
        <f aca="true" t="shared" si="34" ref="M75:M82">(+K75-L75)/L75</f>
        <v>-0.0660401142100461</v>
      </c>
      <c r="N75" s="10"/>
      <c r="R75" s="2"/>
    </row>
    <row r="76" spans="1:18" ht="15">
      <c r="A76" s="19"/>
      <c r="B76" s="20">
        <f>DATE(2018,8,1)</f>
        <v>43313</v>
      </c>
      <c r="C76" s="21">
        <v>161125</v>
      </c>
      <c r="D76" s="21">
        <v>166602</v>
      </c>
      <c r="E76" s="23">
        <f t="shared" si="30"/>
        <v>-0.03287475540509718</v>
      </c>
      <c r="F76" s="21">
        <f>+C76-76425</f>
        <v>84700</v>
      </c>
      <c r="G76" s="21">
        <f>+D76-77233</f>
        <v>89369</v>
      </c>
      <c r="H76" s="23">
        <f t="shared" si="31"/>
        <v>-0.05224406673455001</v>
      </c>
      <c r="I76" s="24">
        <f t="shared" si="32"/>
        <v>34.524392986811485</v>
      </c>
      <c r="J76" s="24">
        <f t="shared" si="33"/>
        <v>65.67583022432113</v>
      </c>
      <c r="K76" s="21">
        <v>5562742.82</v>
      </c>
      <c r="L76" s="21">
        <v>5912368.33</v>
      </c>
      <c r="M76" s="25">
        <f t="shared" si="34"/>
        <v>-0.05913459556062533</v>
      </c>
      <c r="N76" s="10"/>
      <c r="R76" s="2"/>
    </row>
    <row r="77" spans="1:18" ht="15">
      <c r="A77" s="19"/>
      <c r="B77" s="20">
        <f>DATE(2018,9,1)</f>
        <v>43344</v>
      </c>
      <c r="C77" s="21">
        <v>154193</v>
      </c>
      <c r="D77" s="21">
        <v>169194</v>
      </c>
      <c r="E77" s="23">
        <f t="shared" si="30"/>
        <v>-0.08866153646110382</v>
      </c>
      <c r="F77" s="21">
        <f>+C77-72768</f>
        <v>81425</v>
      </c>
      <c r="G77" s="21">
        <f>+D77-79368</f>
        <v>89826</v>
      </c>
      <c r="H77" s="23">
        <f t="shared" si="31"/>
        <v>-0.09352525994700867</v>
      </c>
      <c r="I77" s="24">
        <f t="shared" si="32"/>
        <v>34.86135103409364</v>
      </c>
      <c r="J77" s="24">
        <f t="shared" si="33"/>
        <v>66.01628860914953</v>
      </c>
      <c r="K77" s="21">
        <v>5375376.3</v>
      </c>
      <c r="L77" s="21">
        <v>5903665.74</v>
      </c>
      <c r="M77" s="25">
        <f t="shared" si="34"/>
        <v>-0.08948498496800064</v>
      </c>
      <c r="N77" s="10"/>
      <c r="R77" s="2"/>
    </row>
    <row r="78" spans="1:18" ht="15">
      <c r="A78" s="19"/>
      <c r="B78" s="20">
        <f>DATE(2018,10,1)</f>
        <v>43374</v>
      </c>
      <c r="C78" s="21">
        <v>153175</v>
      </c>
      <c r="D78" s="21">
        <v>167767</v>
      </c>
      <c r="E78" s="23">
        <f t="shared" si="30"/>
        <v>-0.08697777274434186</v>
      </c>
      <c r="F78" s="21">
        <f>+C78-73639</f>
        <v>79536</v>
      </c>
      <c r="G78" s="21">
        <f>+D78-77884</f>
        <v>89883</v>
      </c>
      <c r="H78" s="23">
        <f t="shared" si="31"/>
        <v>-0.11511631787991056</v>
      </c>
      <c r="I78" s="24">
        <f t="shared" si="32"/>
        <v>34.3159053370328</v>
      </c>
      <c r="J78" s="24">
        <f t="shared" si="33"/>
        <v>66.08754274793804</v>
      </c>
      <c r="K78" s="21">
        <v>5256338.8</v>
      </c>
      <c r="L78" s="21">
        <v>5780372.56</v>
      </c>
      <c r="M78" s="25">
        <f t="shared" si="34"/>
        <v>-0.09065743679331283</v>
      </c>
      <c r="N78" s="10"/>
      <c r="R78" s="2"/>
    </row>
    <row r="79" spans="1:18" ht="15">
      <c r="A79" s="19"/>
      <c r="B79" s="20">
        <f>DATE(2018,11,1)</f>
        <v>43405</v>
      </c>
      <c r="C79" s="21">
        <v>139109</v>
      </c>
      <c r="D79" s="21">
        <v>158513</v>
      </c>
      <c r="E79" s="23">
        <f t="shared" si="30"/>
        <v>-0.12241267277762707</v>
      </c>
      <c r="F79" s="21">
        <f>+C79-66707</f>
        <v>72402</v>
      </c>
      <c r="G79" s="21">
        <f>+D79-75019</f>
        <v>83494</v>
      </c>
      <c r="H79" s="23">
        <f t="shared" si="31"/>
        <v>-0.13284786930797424</v>
      </c>
      <c r="I79" s="24">
        <f t="shared" si="32"/>
        <v>36.45847127073015</v>
      </c>
      <c r="J79" s="24">
        <f t="shared" si="33"/>
        <v>70.04919035385764</v>
      </c>
      <c r="K79" s="21">
        <v>5071701.48</v>
      </c>
      <c r="L79" s="21">
        <v>5726979.4</v>
      </c>
      <c r="M79" s="25">
        <f t="shared" si="34"/>
        <v>-0.11441946517216386</v>
      </c>
      <c r="N79" s="10"/>
      <c r="R79" s="2"/>
    </row>
    <row r="80" spans="1:18" ht="15">
      <c r="A80" s="19"/>
      <c r="B80" s="20">
        <f>DATE(2018,12,1)</f>
        <v>43435</v>
      </c>
      <c r="C80" s="21">
        <v>159746</v>
      </c>
      <c r="D80" s="21">
        <v>166668</v>
      </c>
      <c r="E80" s="23">
        <f t="shared" si="30"/>
        <v>-0.04153166774665803</v>
      </c>
      <c r="F80" s="21">
        <f>+C80-79467</f>
        <v>80279</v>
      </c>
      <c r="G80" s="21">
        <f>+D80-80383</f>
        <v>86285</v>
      </c>
      <c r="H80" s="23">
        <f t="shared" si="31"/>
        <v>-0.06960653647795098</v>
      </c>
      <c r="I80" s="24">
        <f t="shared" si="32"/>
        <v>34.94580847094763</v>
      </c>
      <c r="J80" s="24">
        <f t="shared" si="33"/>
        <v>69.5381497029111</v>
      </c>
      <c r="K80" s="21">
        <v>5582453.12</v>
      </c>
      <c r="L80" s="21">
        <v>5903265.18</v>
      </c>
      <c r="M80" s="25">
        <f t="shared" si="34"/>
        <v>-0.05434484987848701</v>
      </c>
      <c r="N80" s="10"/>
      <c r="R80" s="2"/>
    </row>
    <row r="81" spans="1:18" ht="15">
      <c r="A81" s="19"/>
      <c r="B81" s="20">
        <f>DATE(2019,1,1)</f>
        <v>43466</v>
      </c>
      <c r="C81" s="21">
        <v>139301</v>
      </c>
      <c r="D81" s="21">
        <v>147576</v>
      </c>
      <c r="E81" s="23">
        <f t="shared" si="30"/>
        <v>-0.05607280316582642</v>
      </c>
      <c r="F81" s="21">
        <f>+C81-68038</f>
        <v>71263</v>
      </c>
      <c r="G81" s="21">
        <f>+D81-71568</f>
        <v>76008</v>
      </c>
      <c r="H81" s="23">
        <f t="shared" si="31"/>
        <v>-0.062427639195874116</v>
      </c>
      <c r="I81" s="24">
        <f t="shared" si="32"/>
        <v>34.37478417240364</v>
      </c>
      <c r="J81" s="24">
        <f t="shared" si="33"/>
        <v>67.1939408949946</v>
      </c>
      <c r="K81" s="21">
        <v>4788441.81</v>
      </c>
      <c r="L81" s="21">
        <v>5289226.37</v>
      </c>
      <c r="M81" s="25">
        <f t="shared" si="34"/>
        <v>-0.09468011481611072</v>
      </c>
      <c r="N81" s="10"/>
      <c r="R81" s="2"/>
    </row>
    <row r="82" spans="1:18" ht="15">
      <c r="A82" s="19"/>
      <c r="B82" s="20">
        <f>DATE(2019,2,1)</f>
        <v>43497</v>
      </c>
      <c r="C82" s="21">
        <v>142213</v>
      </c>
      <c r="D82" s="21">
        <v>152976</v>
      </c>
      <c r="E82" s="23">
        <f t="shared" si="30"/>
        <v>-0.07035744169019977</v>
      </c>
      <c r="F82" s="21">
        <f>+C82-71744</f>
        <v>70469</v>
      </c>
      <c r="G82" s="21">
        <f>+D82-75431</f>
        <v>77545</v>
      </c>
      <c r="H82" s="23">
        <f t="shared" si="31"/>
        <v>-0.09125024179508673</v>
      </c>
      <c r="I82" s="24">
        <f t="shared" si="32"/>
        <v>36.557830648393605</v>
      </c>
      <c r="J82" s="24">
        <f t="shared" si="33"/>
        <v>73.77710440051654</v>
      </c>
      <c r="K82" s="21">
        <v>5198998.77</v>
      </c>
      <c r="L82" s="21">
        <v>5480060.05</v>
      </c>
      <c r="M82" s="25">
        <f t="shared" si="34"/>
        <v>-0.05128799272920381</v>
      </c>
      <c r="N82" s="10"/>
      <c r="R82" s="2"/>
    </row>
    <row r="83" spans="1:18" ht="15.75" customHeight="1" thickBot="1">
      <c r="A83" s="19"/>
      <c r="B83" s="45"/>
      <c r="C83" s="21"/>
      <c r="D83" s="21"/>
      <c r="E83" s="23"/>
      <c r="F83" s="21"/>
      <c r="G83" s="21"/>
      <c r="H83" s="23"/>
      <c r="I83" s="24"/>
      <c r="J83" s="24"/>
      <c r="K83" s="21"/>
      <c r="L83" s="21"/>
      <c r="M83" s="25"/>
      <c r="N83" s="10"/>
      <c r="R83" s="2"/>
    </row>
    <row r="84" spans="1:18" ht="17.25" customHeight="1" thickBot="1" thickTop="1">
      <c r="A84" s="39" t="s">
        <v>14</v>
      </c>
      <c r="B84" s="52"/>
      <c r="C84" s="47">
        <f>SUM(C75:C83)</f>
        <v>1213102</v>
      </c>
      <c r="D84" s="48">
        <f>SUM(D75:D83)</f>
        <v>1305915</v>
      </c>
      <c r="E84" s="281">
        <f>(+C84-D84)/D84</f>
        <v>-0.07107124123698709</v>
      </c>
      <c r="F84" s="48">
        <f>SUM(F75:F83)</f>
        <v>626230</v>
      </c>
      <c r="G84" s="47">
        <f>SUM(G75:G83)</f>
        <v>686349</v>
      </c>
      <c r="H84" s="53">
        <f>(+F84-G84)/G84</f>
        <v>-0.08759246389227637</v>
      </c>
      <c r="I84" s="51">
        <f>K84/C84</f>
        <v>35.126793056148614</v>
      </c>
      <c r="J84" s="50">
        <f>K84/F84</f>
        <v>68.04589832809032</v>
      </c>
      <c r="K84" s="47">
        <f>SUM(K75:K83)</f>
        <v>42612382.91</v>
      </c>
      <c r="L84" s="48">
        <f>SUM(L75:L83)</f>
        <v>46180710.55</v>
      </c>
      <c r="M84" s="44">
        <f>(+K84-L84)/L84</f>
        <v>-0.07726879031314517</v>
      </c>
      <c r="N84" s="10"/>
      <c r="R84" s="2"/>
    </row>
    <row r="85" spans="1:18" ht="15.75" customHeight="1" thickTop="1">
      <c r="A85" s="19"/>
      <c r="B85" s="45"/>
      <c r="C85" s="21"/>
      <c r="D85" s="21"/>
      <c r="E85" s="23"/>
      <c r="F85" s="21"/>
      <c r="G85" s="21"/>
      <c r="H85" s="23"/>
      <c r="I85" s="24"/>
      <c r="J85" s="24"/>
      <c r="K85" s="21"/>
      <c r="L85" s="21"/>
      <c r="M85" s="25"/>
      <c r="N85" s="10"/>
      <c r="R85" s="2"/>
    </row>
    <row r="86" spans="1:18" ht="15.75" customHeight="1">
      <c r="A86" s="19" t="s">
        <v>67</v>
      </c>
      <c r="B86" s="20">
        <f>DATE(2018,7,1)</f>
        <v>43282</v>
      </c>
      <c r="C86" s="21">
        <v>388346</v>
      </c>
      <c r="D86" s="21">
        <v>366754</v>
      </c>
      <c r="E86" s="23">
        <f aca="true" t="shared" si="35" ref="E86:E93">(+C86-D86)/D86</f>
        <v>0.05887325018950032</v>
      </c>
      <c r="F86" s="21">
        <f>+C86-165497</f>
        <v>222849</v>
      </c>
      <c r="G86" s="21">
        <f>+D86-155073</f>
        <v>211681</v>
      </c>
      <c r="H86" s="23">
        <f aca="true" t="shared" si="36" ref="H86:H93">(+F86-G86)/G86</f>
        <v>0.052758632092629945</v>
      </c>
      <c r="I86" s="24">
        <f aca="true" t="shared" si="37" ref="I86:I93">K86/C86</f>
        <v>34.57302699139427</v>
      </c>
      <c r="J86" s="24">
        <f aca="true" t="shared" si="38" ref="J86:J93">K86/F86</f>
        <v>60.24840470453087</v>
      </c>
      <c r="K86" s="21">
        <v>13426296.74</v>
      </c>
      <c r="L86" s="21">
        <v>12532234.06</v>
      </c>
      <c r="M86" s="25">
        <f aca="true" t="shared" si="39" ref="M86:M93">(+K86-L86)/L86</f>
        <v>0.0713410454767711</v>
      </c>
      <c r="N86" s="10"/>
      <c r="R86" s="2"/>
    </row>
    <row r="87" spans="1:18" ht="15.75" customHeight="1">
      <c r="A87" s="19"/>
      <c r="B87" s="20">
        <f>DATE(2018,8,1)</f>
        <v>43313</v>
      </c>
      <c r="C87" s="21">
        <v>375252</v>
      </c>
      <c r="D87" s="21">
        <v>332593</v>
      </c>
      <c r="E87" s="23">
        <f t="shared" si="35"/>
        <v>0.12826186961240915</v>
      </c>
      <c r="F87" s="21">
        <f>+C87-161927</f>
        <v>213325</v>
      </c>
      <c r="G87" s="21">
        <f>+D87-143450</f>
        <v>189143</v>
      </c>
      <c r="H87" s="23">
        <f t="shared" si="36"/>
        <v>0.12785035660849198</v>
      </c>
      <c r="I87" s="24">
        <f t="shared" si="37"/>
        <v>37.32588783004488</v>
      </c>
      <c r="J87" s="24">
        <f t="shared" si="38"/>
        <v>65.65856819407009</v>
      </c>
      <c r="K87" s="21">
        <v>14006614.06</v>
      </c>
      <c r="L87" s="21">
        <v>12428268.71</v>
      </c>
      <c r="M87" s="25">
        <f t="shared" si="39"/>
        <v>0.1269963972319037</v>
      </c>
      <c r="N87" s="10"/>
      <c r="R87" s="2"/>
    </row>
    <row r="88" spans="1:18" ht="15.75" customHeight="1">
      <c r="A88" s="19"/>
      <c r="B88" s="20">
        <f>DATE(2018,9,1)</f>
        <v>43344</v>
      </c>
      <c r="C88" s="21">
        <v>360346</v>
      </c>
      <c r="D88" s="21">
        <v>334437</v>
      </c>
      <c r="E88" s="23">
        <f t="shared" si="35"/>
        <v>0.07747049519042451</v>
      </c>
      <c r="F88" s="21">
        <f>+C88-155599</f>
        <v>204747</v>
      </c>
      <c r="G88" s="21">
        <f>+D88-144826</f>
        <v>189611</v>
      </c>
      <c r="H88" s="23">
        <f t="shared" si="36"/>
        <v>0.07982659233905207</v>
      </c>
      <c r="I88" s="24">
        <f t="shared" si="37"/>
        <v>36.88834978048875</v>
      </c>
      <c r="J88" s="24">
        <f t="shared" si="38"/>
        <v>64.92192457032337</v>
      </c>
      <c r="K88" s="21">
        <v>13292569.29</v>
      </c>
      <c r="L88" s="21">
        <v>11826002.08</v>
      </c>
      <c r="M88" s="25">
        <f t="shared" si="39"/>
        <v>0.12401208794646171</v>
      </c>
      <c r="N88" s="10"/>
      <c r="R88" s="2"/>
    </row>
    <row r="89" spans="1:18" ht="15.75" customHeight="1">
      <c r="A89" s="19"/>
      <c r="B89" s="20">
        <f>DATE(2018,10,1)</f>
        <v>43374</v>
      </c>
      <c r="C89" s="21">
        <v>333769</v>
      </c>
      <c r="D89" s="21">
        <v>316813</v>
      </c>
      <c r="E89" s="23">
        <f t="shared" si="35"/>
        <v>0.0535205310388147</v>
      </c>
      <c r="F89" s="21">
        <f>+C89-146853</f>
        <v>186916</v>
      </c>
      <c r="G89" s="21">
        <f>+D89-139997</f>
        <v>176816</v>
      </c>
      <c r="H89" s="23">
        <f t="shared" si="36"/>
        <v>0.05712152746357796</v>
      </c>
      <c r="I89" s="24">
        <f t="shared" si="37"/>
        <v>39.840406568614824</v>
      </c>
      <c r="J89" s="24">
        <f t="shared" si="38"/>
        <v>71.14154304607418</v>
      </c>
      <c r="K89" s="21">
        <v>13297492.66</v>
      </c>
      <c r="L89" s="21">
        <v>11196087.95</v>
      </c>
      <c r="M89" s="25">
        <f t="shared" si="39"/>
        <v>0.1876909791513384</v>
      </c>
      <c r="N89" s="10"/>
      <c r="R89" s="2"/>
    </row>
    <row r="90" spans="1:18" ht="15.75" customHeight="1">
      <c r="A90" s="19"/>
      <c r="B90" s="20">
        <f>DATE(2018,11,1)</f>
        <v>43405</v>
      </c>
      <c r="C90" s="21">
        <v>328159</v>
      </c>
      <c r="D90" s="21">
        <v>320184</v>
      </c>
      <c r="E90" s="23">
        <f t="shared" si="35"/>
        <v>0.024907553156934763</v>
      </c>
      <c r="F90" s="21">
        <f>+C90-147401</f>
        <v>180758</v>
      </c>
      <c r="G90" s="21">
        <f>+D90-141719</f>
        <v>178465</v>
      </c>
      <c r="H90" s="23">
        <f t="shared" si="36"/>
        <v>0.012848457680777744</v>
      </c>
      <c r="I90" s="24">
        <f t="shared" si="37"/>
        <v>39.06034190742902</v>
      </c>
      <c r="J90" s="24">
        <f t="shared" si="38"/>
        <v>70.9125058918554</v>
      </c>
      <c r="K90" s="21">
        <v>12818002.74</v>
      </c>
      <c r="L90" s="21">
        <v>12032537.07</v>
      </c>
      <c r="M90" s="25">
        <f t="shared" si="39"/>
        <v>0.06527847497418929</v>
      </c>
      <c r="N90" s="10"/>
      <c r="R90" s="2"/>
    </row>
    <row r="91" spans="1:18" ht="15.75" customHeight="1">
      <c r="A91" s="19"/>
      <c r="B91" s="20">
        <f>DATE(2018,12,1)</f>
        <v>43435</v>
      </c>
      <c r="C91" s="21">
        <v>359141</v>
      </c>
      <c r="D91" s="21">
        <v>365944</v>
      </c>
      <c r="E91" s="23">
        <f t="shared" si="35"/>
        <v>-0.018590276107819777</v>
      </c>
      <c r="F91" s="21">
        <f>+C91-161481</f>
        <v>197660</v>
      </c>
      <c r="G91" s="21">
        <f>+D91-164571</f>
        <v>201373</v>
      </c>
      <c r="H91" s="23">
        <f t="shared" si="36"/>
        <v>-0.01843842024501795</v>
      </c>
      <c r="I91" s="24">
        <f t="shared" si="37"/>
        <v>38.863888305707235</v>
      </c>
      <c r="J91" s="24">
        <f t="shared" si="38"/>
        <v>70.61426545583325</v>
      </c>
      <c r="K91" s="21">
        <v>13957615.71</v>
      </c>
      <c r="L91" s="21">
        <v>13116522.43</v>
      </c>
      <c r="M91" s="25">
        <f t="shared" si="39"/>
        <v>0.0641247163254385</v>
      </c>
      <c r="N91" s="10"/>
      <c r="R91" s="2"/>
    </row>
    <row r="92" spans="1:18" ht="15.75" customHeight="1">
      <c r="A92" s="19"/>
      <c r="B92" s="20">
        <f>DATE(2019,1,1)</f>
        <v>43466</v>
      </c>
      <c r="C92" s="21">
        <v>296058</v>
      </c>
      <c r="D92" s="21">
        <v>343002</v>
      </c>
      <c r="E92" s="23">
        <f t="shared" si="35"/>
        <v>-0.13686217573075377</v>
      </c>
      <c r="F92" s="21">
        <f>+C92-129500</f>
        <v>166558</v>
      </c>
      <c r="G92" s="21">
        <f>+D92-149849</f>
        <v>193153</v>
      </c>
      <c r="H92" s="23">
        <f t="shared" si="36"/>
        <v>-0.13768877521964454</v>
      </c>
      <c r="I92" s="24">
        <f t="shared" si="37"/>
        <v>42.20076795762993</v>
      </c>
      <c r="J92" s="24">
        <f t="shared" si="38"/>
        <v>75.0121576868118</v>
      </c>
      <c r="K92" s="21">
        <v>12493874.96</v>
      </c>
      <c r="L92" s="21">
        <v>12259136</v>
      </c>
      <c r="M92" s="25">
        <f t="shared" si="39"/>
        <v>0.019148083519099624</v>
      </c>
      <c r="N92" s="10"/>
      <c r="R92" s="2"/>
    </row>
    <row r="93" spans="1:18" ht="15.75" customHeight="1">
      <c r="A93" s="19"/>
      <c r="B93" s="20">
        <f>DATE(2019,2,1)</f>
        <v>43497</v>
      </c>
      <c r="C93" s="21">
        <v>298265</v>
      </c>
      <c r="D93" s="21">
        <v>374858</v>
      </c>
      <c r="E93" s="23">
        <f t="shared" si="35"/>
        <v>-0.20432537120723046</v>
      </c>
      <c r="F93" s="21">
        <f>+C93-132712</f>
        <v>165553</v>
      </c>
      <c r="G93" s="21">
        <f>+D93-169639</f>
        <v>205219</v>
      </c>
      <c r="H93" s="23">
        <f t="shared" si="36"/>
        <v>-0.1932861966971869</v>
      </c>
      <c r="I93" s="24">
        <f t="shared" si="37"/>
        <v>41.07205686218631</v>
      </c>
      <c r="J93" s="24">
        <f t="shared" si="38"/>
        <v>73.99658743725574</v>
      </c>
      <c r="K93" s="21">
        <v>12250357.04</v>
      </c>
      <c r="L93" s="21">
        <v>13920480.31</v>
      </c>
      <c r="M93" s="25">
        <f t="shared" si="39"/>
        <v>-0.11997598019662019</v>
      </c>
      <c r="N93" s="10"/>
      <c r="R93" s="2"/>
    </row>
    <row r="94" spans="1:18" ht="15.75" customHeight="1" thickBot="1">
      <c r="A94" s="19"/>
      <c r="B94" s="45"/>
      <c r="C94" s="21"/>
      <c r="D94" s="21"/>
      <c r="E94" s="23"/>
      <c r="F94" s="21"/>
      <c r="G94" s="21"/>
      <c r="H94" s="23"/>
      <c r="I94" s="24"/>
      <c r="J94" s="24"/>
      <c r="K94" s="21"/>
      <c r="L94" s="21"/>
      <c r="M94" s="25"/>
      <c r="N94" s="10"/>
      <c r="R94" s="2"/>
    </row>
    <row r="95" spans="1:18" ht="16.5" thickBot="1" thickTop="1">
      <c r="A95" s="39" t="s">
        <v>14</v>
      </c>
      <c r="B95" s="40"/>
      <c r="C95" s="41">
        <f>SUM(C86:C94)</f>
        <v>2739336</v>
      </c>
      <c r="D95" s="41">
        <f>SUM(D86:D94)</f>
        <v>2754585</v>
      </c>
      <c r="E95" s="280">
        <f>(+C95-D95)/D95</f>
        <v>-0.005535861118825522</v>
      </c>
      <c r="F95" s="41">
        <f>SUM(F86:F94)</f>
        <v>1538366</v>
      </c>
      <c r="G95" s="41">
        <f>SUM(G86:G94)</f>
        <v>1545461</v>
      </c>
      <c r="H95" s="42">
        <f>(+F95-G95)/G95</f>
        <v>-0.004590863179336133</v>
      </c>
      <c r="I95" s="43">
        <f>K95/C95</f>
        <v>38.52861540168858</v>
      </c>
      <c r="J95" s="43">
        <f>K95/F95</f>
        <v>68.60709558063554</v>
      </c>
      <c r="K95" s="41">
        <f>SUM(K86:K94)</f>
        <v>105542823.19999999</v>
      </c>
      <c r="L95" s="41">
        <f>SUM(L86:L94)</f>
        <v>99311268.61</v>
      </c>
      <c r="M95" s="44">
        <f>(+K95-L95)/L95</f>
        <v>0.06274770906886303</v>
      </c>
      <c r="N95" s="10"/>
      <c r="R95" s="2"/>
    </row>
    <row r="96" spans="1:18" ht="15.75" customHeight="1" thickTop="1">
      <c r="A96" s="54"/>
      <c r="B96" s="55"/>
      <c r="C96" s="55"/>
      <c r="D96" s="55"/>
      <c r="E96" s="56"/>
      <c r="F96" s="55"/>
      <c r="G96" s="55"/>
      <c r="H96" s="56"/>
      <c r="I96" s="55"/>
      <c r="J96" s="55"/>
      <c r="K96" s="196"/>
      <c r="L96" s="196"/>
      <c r="M96" s="57"/>
      <c r="N96" s="10"/>
      <c r="R96" s="2"/>
    </row>
    <row r="97" spans="1:18" ht="15.75" customHeight="1">
      <c r="A97" s="19" t="s">
        <v>18</v>
      </c>
      <c r="B97" s="20">
        <f>DATE(2018,7,1)</f>
        <v>43282</v>
      </c>
      <c r="C97" s="21">
        <v>413730</v>
      </c>
      <c r="D97" s="21">
        <v>402324</v>
      </c>
      <c r="E97" s="23">
        <f aca="true" t="shared" si="40" ref="E97:E104">(+C97-D97)/D97</f>
        <v>0.02835028484505026</v>
      </c>
      <c r="F97" s="21">
        <f>+C97-202461</f>
        <v>211269</v>
      </c>
      <c r="G97" s="21">
        <f>+D97-196212</f>
        <v>206112</v>
      </c>
      <c r="H97" s="23">
        <f aca="true" t="shared" si="41" ref="H97:H104">(+F97-G97)/G97</f>
        <v>0.025020377270610152</v>
      </c>
      <c r="I97" s="24">
        <f aca="true" t="shared" si="42" ref="I97:I104">K97/C97</f>
        <v>42.61059468735649</v>
      </c>
      <c r="J97" s="24">
        <f aca="true" t="shared" si="43" ref="J97:J104">K97/F97</f>
        <v>83.44471427421912</v>
      </c>
      <c r="K97" s="21">
        <v>17629281.34</v>
      </c>
      <c r="L97" s="21">
        <v>16341217.17</v>
      </c>
      <c r="M97" s="25">
        <f aca="true" t="shared" si="44" ref="M97:M104">(+K97-L97)/L97</f>
        <v>0.07882302502929162</v>
      </c>
      <c r="N97" s="10"/>
      <c r="R97" s="2"/>
    </row>
    <row r="98" spans="1:18" ht="15.75" customHeight="1">
      <c r="A98" s="19"/>
      <c r="B98" s="20">
        <f>DATE(2018,8,1)</f>
        <v>43313</v>
      </c>
      <c r="C98" s="21">
        <v>405657</v>
      </c>
      <c r="D98" s="21">
        <v>379939</v>
      </c>
      <c r="E98" s="23">
        <f t="shared" si="40"/>
        <v>0.06768981336477697</v>
      </c>
      <c r="F98" s="21">
        <f>+C98-195459</f>
        <v>210198</v>
      </c>
      <c r="G98" s="21">
        <f>+D98-185707</f>
        <v>194232</v>
      </c>
      <c r="H98" s="23">
        <f t="shared" si="41"/>
        <v>0.08220066724329668</v>
      </c>
      <c r="I98" s="24">
        <f t="shared" si="42"/>
        <v>43.87903381428152</v>
      </c>
      <c r="J98" s="24">
        <f t="shared" si="43"/>
        <v>84.68128726248584</v>
      </c>
      <c r="K98" s="21">
        <v>17799837.22</v>
      </c>
      <c r="L98" s="21">
        <v>15315276.05</v>
      </c>
      <c r="M98" s="25">
        <f t="shared" si="44"/>
        <v>0.1622276452535766</v>
      </c>
      <c r="N98" s="10"/>
      <c r="R98" s="2"/>
    </row>
    <row r="99" spans="1:18" ht="15.75" customHeight="1">
      <c r="A99" s="19"/>
      <c r="B99" s="20">
        <f>DATE(2018,9,1)</f>
        <v>43344</v>
      </c>
      <c r="C99" s="21">
        <v>386512</v>
      </c>
      <c r="D99" s="21">
        <v>383853</v>
      </c>
      <c r="E99" s="23">
        <f t="shared" si="40"/>
        <v>0.006927130958986904</v>
      </c>
      <c r="F99" s="21">
        <f>+C99-188889</f>
        <v>197623</v>
      </c>
      <c r="G99" s="21">
        <f>+D99-186182</f>
        <v>197671</v>
      </c>
      <c r="H99" s="23">
        <f t="shared" si="41"/>
        <v>-0.00024282772890307634</v>
      </c>
      <c r="I99" s="24">
        <f t="shared" si="42"/>
        <v>42.948445843854785</v>
      </c>
      <c r="J99" s="24">
        <f t="shared" si="43"/>
        <v>83.99877392813589</v>
      </c>
      <c r="K99" s="21">
        <v>16600089.7</v>
      </c>
      <c r="L99" s="21">
        <v>16031264.69</v>
      </c>
      <c r="M99" s="25">
        <f t="shared" si="44"/>
        <v>0.03548222931874003</v>
      </c>
      <c r="N99" s="10"/>
      <c r="R99" s="2"/>
    </row>
    <row r="100" spans="1:18" ht="15.75" customHeight="1">
      <c r="A100" s="19"/>
      <c r="B100" s="20">
        <f>DATE(2018,10,1)</f>
        <v>43374</v>
      </c>
      <c r="C100" s="21">
        <v>353857</v>
      </c>
      <c r="D100" s="21">
        <v>372927</v>
      </c>
      <c r="E100" s="23">
        <f t="shared" si="40"/>
        <v>-0.051136013214382436</v>
      </c>
      <c r="F100" s="21">
        <f>+C100-169336</f>
        <v>184521</v>
      </c>
      <c r="G100" s="21">
        <f>+D100-185932</f>
        <v>186995</v>
      </c>
      <c r="H100" s="23">
        <f t="shared" si="41"/>
        <v>-0.013230300275408433</v>
      </c>
      <c r="I100" s="24">
        <f t="shared" si="42"/>
        <v>42.600034901104124</v>
      </c>
      <c r="J100" s="24">
        <f t="shared" si="43"/>
        <v>81.69433587504946</v>
      </c>
      <c r="K100" s="21">
        <v>15074320.55</v>
      </c>
      <c r="L100" s="21">
        <v>15264818.06</v>
      </c>
      <c r="M100" s="25">
        <f t="shared" si="44"/>
        <v>-0.012479513954979937</v>
      </c>
      <c r="N100" s="10"/>
      <c r="R100" s="2"/>
    </row>
    <row r="101" spans="1:18" ht="15.75" customHeight="1">
      <c r="A101" s="19"/>
      <c r="B101" s="20">
        <f>DATE(2018,11,1)</f>
        <v>43405</v>
      </c>
      <c r="C101" s="21">
        <v>343012</v>
      </c>
      <c r="D101" s="21">
        <v>350531</v>
      </c>
      <c r="E101" s="23">
        <f t="shared" si="40"/>
        <v>-0.021450313952260998</v>
      </c>
      <c r="F101" s="21">
        <f>+C101-162356</f>
        <v>180656</v>
      </c>
      <c r="G101" s="21">
        <f>+D101-173337</f>
        <v>177194</v>
      </c>
      <c r="H101" s="23">
        <f t="shared" si="41"/>
        <v>0.019537907604094948</v>
      </c>
      <c r="I101" s="24">
        <f t="shared" si="42"/>
        <v>43.195962735997576</v>
      </c>
      <c r="J101" s="24">
        <f t="shared" si="43"/>
        <v>82.01628271410858</v>
      </c>
      <c r="K101" s="21">
        <v>14816733.57</v>
      </c>
      <c r="L101" s="21">
        <v>14781579.57</v>
      </c>
      <c r="M101" s="25">
        <f t="shared" si="44"/>
        <v>0.0023782302719086196</v>
      </c>
      <c r="N101" s="10"/>
      <c r="R101" s="2"/>
    </row>
    <row r="102" spans="1:18" ht="15.75" customHeight="1">
      <c r="A102" s="19"/>
      <c r="B102" s="20">
        <f>DATE(2018,12,1)</f>
        <v>43435</v>
      </c>
      <c r="C102" s="21">
        <v>404243</v>
      </c>
      <c r="D102" s="21">
        <v>390264</v>
      </c>
      <c r="E102" s="23">
        <f t="shared" si="40"/>
        <v>0.035819342803845605</v>
      </c>
      <c r="F102" s="21">
        <f>+C102-195550</f>
        <v>208693</v>
      </c>
      <c r="G102" s="21">
        <f>+D102-192232</f>
        <v>198032</v>
      </c>
      <c r="H102" s="23">
        <f t="shared" si="41"/>
        <v>0.05383473378039913</v>
      </c>
      <c r="I102" s="24">
        <f t="shared" si="42"/>
        <v>41.79482900136799</v>
      </c>
      <c r="J102" s="24">
        <f t="shared" si="43"/>
        <v>80.95751683094305</v>
      </c>
      <c r="K102" s="21">
        <v>16895267.06</v>
      </c>
      <c r="L102" s="21">
        <v>16446628.41</v>
      </c>
      <c r="M102" s="25">
        <f t="shared" si="44"/>
        <v>0.027278457250679657</v>
      </c>
      <c r="N102" s="10"/>
      <c r="R102" s="2"/>
    </row>
    <row r="103" spans="1:18" ht="15.75" customHeight="1">
      <c r="A103" s="19"/>
      <c r="B103" s="20">
        <f>DATE(2019,1,1)</f>
        <v>43466</v>
      </c>
      <c r="C103" s="21">
        <v>341988</v>
      </c>
      <c r="D103" s="21">
        <v>343731</v>
      </c>
      <c r="E103" s="23">
        <f t="shared" si="40"/>
        <v>-0.005070825732913237</v>
      </c>
      <c r="F103" s="21">
        <f>+C103-168592</f>
        <v>173396</v>
      </c>
      <c r="G103" s="21">
        <f>+D103-170444</f>
        <v>173287</v>
      </c>
      <c r="H103" s="23">
        <f t="shared" si="41"/>
        <v>0.0006290142942055665</v>
      </c>
      <c r="I103" s="24">
        <f t="shared" si="42"/>
        <v>41.23327970572067</v>
      </c>
      <c r="J103" s="24">
        <f t="shared" si="43"/>
        <v>81.32417622090475</v>
      </c>
      <c r="K103" s="21">
        <v>14101286.86</v>
      </c>
      <c r="L103" s="21">
        <v>15056651.97</v>
      </c>
      <c r="M103" s="25">
        <f t="shared" si="44"/>
        <v>-0.063451364347369</v>
      </c>
      <c r="N103" s="10"/>
      <c r="R103" s="2"/>
    </row>
    <row r="104" spans="1:18" ht="15.75" customHeight="1">
      <c r="A104" s="19"/>
      <c r="B104" s="20">
        <f>DATE(2019,2,1)</f>
        <v>43497</v>
      </c>
      <c r="C104" s="21">
        <v>343444</v>
      </c>
      <c r="D104" s="21">
        <v>348132</v>
      </c>
      <c r="E104" s="23">
        <f t="shared" si="40"/>
        <v>-0.013466156515344755</v>
      </c>
      <c r="F104" s="21">
        <f>+C104-166468</f>
        <v>176976</v>
      </c>
      <c r="G104" s="21">
        <f>+D104-170486</f>
        <v>177646</v>
      </c>
      <c r="H104" s="23">
        <f t="shared" si="41"/>
        <v>-0.003771545658219155</v>
      </c>
      <c r="I104" s="24">
        <f t="shared" si="42"/>
        <v>43.484845622576024</v>
      </c>
      <c r="J104" s="24">
        <f t="shared" si="43"/>
        <v>84.38776625079107</v>
      </c>
      <c r="K104" s="21">
        <v>14934609.32</v>
      </c>
      <c r="L104" s="21">
        <v>15283647.06</v>
      </c>
      <c r="M104" s="25">
        <f t="shared" si="44"/>
        <v>-0.022837333172492157</v>
      </c>
      <c r="N104" s="10"/>
      <c r="R104" s="2"/>
    </row>
    <row r="105" spans="1:18" ht="15.75" customHeight="1" thickBot="1">
      <c r="A105" s="19"/>
      <c r="B105" s="45"/>
      <c r="C105" s="21"/>
      <c r="D105" s="21"/>
      <c r="E105" s="23"/>
      <c r="F105" s="21"/>
      <c r="G105" s="21"/>
      <c r="H105" s="23"/>
      <c r="I105" s="24"/>
      <c r="J105" s="24"/>
      <c r="K105" s="21"/>
      <c r="L105" s="21"/>
      <c r="M105" s="25"/>
      <c r="N105" s="10"/>
      <c r="R105" s="2"/>
    </row>
    <row r="106" spans="1:18" ht="16.5" thickBot="1" thickTop="1">
      <c r="A106" s="39" t="s">
        <v>14</v>
      </c>
      <c r="B106" s="40"/>
      <c r="C106" s="41">
        <f>SUM(C97:C105)</f>
        <v>2992443</v>
      </c>
      <c r="D106" s="41">
        <f>SUM(D97:D105)</f>
        <v>2971701</v>
      </c>
      <c r="E106" s="280">
        <f>(+C106-D106)/D106</f>
        <v>0.006979840838630805</v>
      </c>
      <c r="F106" s="41">
        <f>SUM(F97:F105)</f>
        <v>1543332</v>
      </c>
      <c r="G106" s="41">
        <f>SUM(G97:G105)</f>
        <v>1511169</v>
      </c>
      <c r="H106" s="42">
        <f>(+F106-G106)/G106</f>
        <v>0.021283522888571695</v>
      </c>
      <c r="I106" s="43">
        <f>K106/C106</f>
        <v>42.72476555777337</v>
      </c>
      <c r="J106" s="43">
        <f>K106/F106</f>
        <v>82.84116808308258</v>
      </c>
      <c r="K106" s="41">
        <f>SUM(K97:K105)</f>
        <v>127851425.62</v>
      </c>
      <c r="L106" s="41">
        <f>SUM(L97:L105)</f>
        <v>124521082.97999999</v>
      </c>
      <c r="M106" s="44">
        <f>(+K106-L106)/L106</f>
        <v>0.026745211014065143</v>
      </c>
      <c r="N106" s="10"/>
      <c r="R106" s="2"/>
    </row>
    <row r="107" spans="1:18" ht="15.75" customHeight="1" thickTop="1">
      <c r="A107" s="54"/>
      <c r="B107" s="55"/>
      <c r="C107" s="55"/>
      <c r="D107" s="55"/>
      <c r="E107" s="56"/>
      <c r="F107" s="55"/>
      <c r="G107" s="55"/>
      <c r="H107" s="56"/>
      <c r="I107" s="55"/>
      <c r="J107" s="55"/>
      <c r="K107" s="196"/>
      <c r="L107" s="196"/>
      <c r="M107" s="57"/>
      <c r="N107" s="10"/>
      <c r="R107" s="2"/>
    </row>
    <row r="108" spans="1:18" ht="15.75" customHeight="1">
      <c r="A108" s="19" t="s">
        <v>58</v>
      </c>
      <c r="B108" s="20">
        <f>DATE(2018,7,1)</f>
        <v>43282</v>
      </c>
      <c r="C108" s="21">
        <v>437171</v>
      </c>
      <c r="D108" s="21">
        <v>487621</v>
      </c>
      <c r="E108" s="23">
        <f aca="true" t="shared" si="45" ref="E108:E115">(+C108-D108)/D108</f>
        <v>-0.10346149981235427</v>
      </c>
      <c r="F108" s="21">
        <f>+C108-202695</f>
        <v>234476</v>
      </c>
      <c r="G108" s="21">
        <f>+D108-237847</f>
        <v>249774</v>
      </c>
      <c r="H108" s="23">
        <f aca="true" t="shared" si="46" ref="H108:H115">(+F108-G108)/G108</f>
        <v>-0.06124736762032878</v>
      </c>
      <c r="I108" s="24">
        <f aca="true" t="shared" si="47" ref="I108:I115">K108/C108</f>
        <v>44.80435008269076</v>
      </c>
      <c r="J108" s="24">
        <f aca="true" t="shared" si="48" ref="J108:J115">K108/F108</f>
        <v>83.5358950596223</v>
      </c>
      <c r="K108" s="21">
        <v>19587162.53</v>
      </c>
      <c r="L108" s="21">
        <v>19804673.68</v>
      </c>
      <c r="M108" s="25">
        <f aca="true" t="shared" si="49" ref="M108:M115">(+K108-L108)/L108</f>
        <v>-0.010982819182709125</v>
      </c>
      <c r="N108" s="10"/>
      <c r="R108" s="2"/>
    </row>
    <row r="109" spans="1:18" ht="15.75" customHeight="1">
      <c r="A109" s="19"/>
      <c r="B109" s="20">
        <f>DATE(2018,8,1)</f>
        <v>43313</v>
      </c>
      <c r="C109" s="21">
        <v>428435</v>
      </c>
      <c r="D109" s="21">
        <v>450476</v>
      </c>
      <c r="E109" s="23">
        <f t="shared" si="45"/>
        <v>-0.04892824478995551</v>
      </c>
      <c r="F109" s="21">
        <f>+C109-198491</f>
        <v>229944</v>
      </c>
      <c r="G109" s="21">
        <f>+D109-212152</f>
        <v>238324</v>
      </c>
      <c r="H109" s="23">
        <f t="shared" si="46"/>
        <v>-0.03516221614273007</v>
      </c>
      <c r="I109" s="24">
        <f t="shared" si="47"/>
        <v>44.51780890916942</v>
      </c>
      <c r="J109" s="24">
        <f t="shared" si="48"/>
        <v>82.94622803813103</v>
      </c>
      <c r="K109" s="21">
        <v>19072987.46</v>
      </c>
      <c r="L109" s="21">
        <v>18591700.17</v>
      </c>
      <c r="M109" s="25">
        <f t="shared" si="49"/>
        <v>0.025887212336643393</v>
      </c>
      <c r="N109" s="10"/>
      <c r="R109" s="2"/>
    </row>
    <row r="110" spans="1:18" ht="15.75" customHeight="1">
      <c r="A110" s="19"/>
      <c r="B110" s="20">
        <f>DATE(2018,9,1)</f>
        <v>43344</v>
      </c>
      <c r="C110" s="21">
        <v>430488</v>
      </c>
      <c r="D110" s="21">
        <v>460463</v>
      </c>
      <c r="E110" s="23">
        <f t="shared" si="45"/>
        <v>-0.06509752140780041</v>
      </c>
      <c r="F110" s="21">
        <f>+C110-198602</f>
        <v>231886</v>
      </c>
      <c r="G110" s="21">
        <f>+D110-224219</f>
        <v>236244</v>
      </c>
      <c r="H110" s="23">
        <f t="shared" si="46"/>
        <v>-0.01844702934254415</v>
      </c>
      <c r="I110" s="24">
        <f t="shared" si="47"/>
        <v>42.26188290962814</v>
      </c>
      <c r="J110" s="24">
        <f t="shared" si="48"/>
        <v>78.45766217020432</v>
      </c>
      <c r="K110" s="21">
        <v>18193233.45</v>
      </c>
      <c r="L110" s="21">
        <v>18717604.13</v>
      </c>
      <c r="M110" s="25">
        <f t="shared" si="49"/>
        <v>-0.028014839739000277</v>
      </c>
      <c r="N110" s="10"/>
      <c r="R110" s="2"/>
    </row>
    <row r="111" spans="1:18" ht="15.75" customHeight="1">
      <c r="A111" s="19"/>
      <c r="B111" s="20">
        <f>DATE(2018,10,1)</f>
        <v>43374</v>
      </c>
      <c r="C111" s="21">
        <v>407351</v>
      </c>
      <c r="D111" s="21">
        <v>417011</v>
      </c>
      <c r="E111" s="23">
        <f t="shared" si="45"/>
        <v>-0.02316485656253672</v>
      </c>
      <c r="F111" s="21">
        <f>+C111-184649</f>
        <v>222702</v>
      </c>
      <c r="G111" s="21">
        <f>+D111-199528</f>
        <v>217483</v>
      </c>
      <c r="H111" s="23">
        <f t="shared" si="46"/>
        <v>0.023997277948161467</v>
      </c>
      <c r="I111" s="24">
        <f t="shared" si="47"/>
        <v>41.14079442544636</v>
      </c>
      <c r="J111" s="24">
        <f t="shared" si="48"/>
        <v>75.25187807024633</v>
      </c>
      <c r="K111" s="21">
        <v>16758743.75</v>
      </c>
      <c r="L111" s="21">
        <v>17765294.36</v>
      </c>
      <c r="M111" s="25">
        <f t="shared" si="49"/>
        <v>-0.056658256801324365</v>
      </c>
      <c r="N111" s="10"/>
      <c r="R111" s="2"/>
    </row>
    <row r="112" spans="1:18" ht="15.75" customHeight="1">
      <c r="A112" s="19"/>
      <c r="B112" s="20">
        <f>DATE(2018,11,1)</f>
        <v>43405</v>
      </c>
      <c r="C112" s="21">
        <v>411941</v>
      </c>
      <c r="D112" s="21">
        <v>418322</v>
      </c>
      <c r="E112" s="23">
        <f t="shared" si="45"/>
        <v>-0.015253799704533827</v>
      </c>
      <c r="F112" s="21">
        <f>+C112-188303</f>
        <v>223638</v>
      </c>
      <c r="G112" s="21">
        <f>+D112-203115</f>
        <v>215207</v>
      </c>
      <c r="H112" s="23">
        <f t="shared" si="46"/>
        <v>0.03917623497376944</v>
      </c>
      <c r="I112" s="24">
        <f t="shared" si="47"/>
        <v>47.356731813536406</v>
      </c>
      <c r="J112" s="24">
        <f t="shared" si="48"/>
        <v>87.23105849631995</v>
      </c>
      <c r="K112" s="21">
        <v>19508179.46</v>
      </c>
      <c r="L112" s="21">
        <v>17634313.49</v>
      </c>
      <c r="M112" s="25">
        <f t="shared" si="49"/>
        <v>0.10626248484595828</v>
      </c>
      <c r="N112" s="10"/>
      <c r="R112" s="2"/>
    </row>
    <row r="113" spans="1:18" ht="15.75" customHeight="1">
      <c r="A113" s="19"/>
      <c r="B113" s="20">
        <f>DATE(2018,12,1)</f>
        <v>43435</v>
      </c>
      <c r="C113" s="21">
        <v>472920</v>
      </c>
      <c r="D113" s="21">
        <v>463864</v>
      </c>
      <c r="E113" s="23">
        <f t="shared" si="45"/>
        <v>0.019522963627270063</v>
      </c>
      <c r="F113" s="21">
        <f>+C113-218118</f>
        <v>254802</v>
      </c>
      <c r="G113" s="21">
        <f>+D113-225145</f>
        <v>238719</v>
      </c>
      <c r="H113" s="23">
        <f t="shared" si="46"/>
        <v>0.0673720985761502</v>
      </c>
      <c r="I113" s="24">
        <f t="shared" si="47"/>
        <v>43.472668908060555</v>
      </c>
      <c r="J113" s="24">
        <f t="shared" si="48"/>
        <v>80.68655104748</v>
      </c>
      <c r="K113" s="21">
        <v>20559094.58</v>
      </c>
      <c r="L113" s="21">
        <v>19260849.6</v>
      </c>
      <c r="M113" s="25">
        <f t="shared" si="49"/>
        <v>0.06740330810744696</v>
      </c>
      <c r="N113" s="10"/>
      <c r="R113" s="2"/>
    </row>
    <row r="114" spans="1:18" ht="15.75" customHeight="1">
      <c r="A114" s="19"/>
      <c r="B114" s="20">
        <f>DATE(2019,1,1)</f>
        <v>43466</v>
      </c>
      <c r="C114" s="21">
        <v>350517</v>
      </c>
      <c r="D114" s="21">
        <v>394135</v>
      </c>
      <c r="E114" s="23">
        <f t="shared" si="45"/>
        <v>-0.11066766463267662</v>
      </c>
      <c r="F114" s="21">
        <f>+C114-164493</f>
        <v>186024</v>
      </c>
      <c r="G114" s="21">
        <f>+D114-197319</f>
        <v>196816</v>
      </c>
      <c r="H114" s="23">
        <f t="shared" si="46"/>
        <v>-0.054832940411348674</v>
      </c>
      <c r="I114" s="24">
        <f t="shared" si="47"/>
        <v>45.87559413666099</v>
      </c>
      <c r="J114" s="24">
        <f t="shared" si="48"/>
        <v>86.44140342106395</v>
      </c>
      <c r="K114" s="21">
        <v>16080175.63</v>
      </c>
      <c r="L114" s="21">
        <v>16549428.66</v>
      </c>
      <c r="M114" s="25">
        <f t="shared" si="49"/>
        <v>-0.028354636262107633</v>
      </c>
      <c r="N114" s="10"/>
      <c r="R114" s="2"/>
    </row>
    <row r="115" spans="1:18" ht="15.75" customHeight="1">
      <c r="A115" s="19"/>
      <c r="B115" s="20">
        <f>DATE(2019,2,1)</f>
        <v>43497</v>
      </c>
      <c r="C115" s="21">
        <v>392165</v>
      </c>
      <c r="D115" s="21">
        <v>427928</v>
      </c>
      <c r="E115" s="23">
        <f t="shared" si="45"/>
        <v>-0.08357247013516292</v>
      </c>
      <c r="F115" s="21">
        <f>+C115-179856</f>
        <v>212309</v>
      </c>
      <c r="G115" s="21">
        <f>+D115-211910</f>
        <v>216018</v>
      </c>
      <c r="H115" s="23">
        <f t="shared" si="46"/>
        <v>-0.01716986547417345</v>
      </c>
      <c r="I115" s="24">
        <f t="shared" si="47"/>
        <v>44.50702709318782</v>
      </c>
      <c r="J115" s="24">
        <f t="shared" si="48"/>
        <v>82.2108261072305</v>
      </c>
      <c r="K115" s="21">
        <v>17454098.28</v>
      </c>
      <c r="L115" s="21">
        <v>17946175.88</v>
      </c>
      <c r="M115" s="25">
        <f t="shared" si="49"/>
        <v>-0.0274196354304312</v>
      </c>
      <c r="N115" s="10"/>
      <c r="R115" s="2"/>
    </row>
    <row r="116" spans="1:18" ht="15.75" customHeight="1" thickBot="1">
      <c r="A116" s="19"/>
      <c r="B116" s="45"/>
      <c r="C116" s="21"/>
      <c r="D116" s="21"/>
      <c r="E116" s="23"/>
      <c r="F116" s="21"/>
      <c r="G116" s="21"/>
      <c r="H116" s="23"/>
      <c r="I116" s="24"/>
      <c r="J116" s="24"/>
      <c r="K116" s="21"/>
      <c r="L116" s="21"/>
      <c r="M116" s="25"/>
      <c r="N116" s="10"/>
      <c r="R116" s="2"/>
    </row>
    <row r="117" spans="1:18" ht="16.5" thickBot="1" thickTop="1">
      <c r="A117" s="39" t="s">
        <v>14</v>
      </c>
      <c r="B117" s="40"/>
      <c r="C117" s="41">
        <f>SUM(C108:C116)</f>
        <v>3330988</v>
      </c>
      <c r="D117" s="41">
        <f>SUM(D108:D116)</f>
        <v>3519820</v>
      </c>
      <c r="E117" s="280">
        <f>(+C117-D117)/D117</f>
        <v>-0.05364819791921178</v>
      </c>
      <c r="F117" s="41">
        <f>SUM(F108:F116)</f>
        <v>1795781</v>
      </c>
      <c r="G117" s="41">
        <f>SUM(G108:G116)</f>
        <v>1808585</v>
      </c>
      <c r="H117" s="42">
        <f>(+F117-G117)/G117</f>
        <v>-0.007079567728362228</v>
      </c>
      <c r="I117" s="43">
        <f>K117/C117</f>
        <v>44.195198283512276</v>
      </c>
      <c r="J117" s="43">
        <f>K117/F117</f>
        <v>81.97752127904236</v>
      </c>
      <c r="K117" s="41">
        <f>SUM(K108:K116)</f>
        <v>147213675.14</v>
      </c>
      <c r="L117" s="41">
        <f>SUM(L108:L116)</f>
        <v>146270039.97</v>
      </c>
      <c r="M117" s="44">
        <f>(+K117-L117)/L117</f>
        <v>0.006451322295348566</v>
      </c>
      <c r="N117" s="10"/>
      <c r="R117" s="2"/>
    </row>
    <row r="118" spans="1:18" ht="15.75" customHeight="1" thickTop="1">
      <c r="A118" s="58"/>
      <c r="B118" s="59"/>
      <c r="C118" s="59"/>
      <c r="D118" s="59"/>
      <c r="E118" s="60"/>
      <c r="F118" s="59"/>
      <c r="G118" s="59"/>
      <c r="H118" s="60"/>
      <c r="I118" s="59"/>
      <c r="J118" s="59"/>
      <c r="K118" s="197"/>
      <c r="L118" s="197"/>
      <c r="M118" s="61"/>
      <c r="N118" s="10"/>
      <c r="R118" s="2"/>
    </row>
    <row r="119" spans="1:18" ht="15" customHeight="1">
      <c r="A119" s="19" t="s">
        <v>59</v>
      </c>
      <c r="B119" s="20">
        <f>DATE(2018,7,1)</f>
        <v>43282</v>
      </c>
      <c r="C119" s="21">
        <v>63934</v>
      </c>
      <c r="D119" s="21">
        <v>62927</v>
      </c>
      <c r="E119" s="23">
        <f aca="true" t="shared" si="50" ref="E119:E126">(+C119-D119)/D119</f>
        <v>0.016002669760198325</v>
      </c>
      <c r="F119" s="21">
        <f>+C119-30110</f>
        <v>33824</v>
      </c>
      <c r="G119" s="21">
        <f>+D119-30201</f>
        <v>32726</v>
      </c>
      <c r="H119" s="23">
        <f aca="true" t="shared" si="51" ref="H119:H126">(+F119-G119)/G119</f>
        <v>0.03355130477296339</v>
      </c>
      <c r="I119" s="24">
        <f aca="true" t="shared" si="52" ref="I119:I126">K119/C119</f>
        <v>44.104667156755404</v>
      </c>
      <c r="J119" s="24">
        <f aca="true" t="shared" si="53" ref="J119:J126">K119/F119</f>
        <v>83.36647912724693</v>
      </c>
      <c r="K119" s="21">
        <v>2819787.79</v>
      </c>
      <c r="L119" s="21">
        <v>2929610.63</v>
      </c>
      <c r="M119" s="25">
        <f aca="true" t="shared" si="54" ref="M119:M126">(+K119-L119)/L119</f>
        <v>-0.03748717965294926</v>
      </c>
      <c r="N119" s="10"/>
      <c r="R119" s="2"/>
    </row>
    <row r="120" spans="1:18" ht="15" customHeight="1">
      <c r="A120" s="19"/>
      <c r="B120" s="20">
        <f>DATE(2018,8,1)</f>
        <v>43313</v>
      </c>
      <c r="C120" s="21">
        <v>61004</v>
      </c>
      <c r="D120" s="21">
        <v>58528</v>
      </c>
      <c r="E120" s="23">
        <f t="shared" si="50"/>
        <v>0.04230453799890651</v>
      </c>
      <c r="F120" s="21">
        <f>+C120-29259</f>
        <v>31745</v>
      </c>
      <c r="G120" s="21">
        <f>+D120-27538</f>
        <v>30990</v>
      </c>
      <c r="H120" s="23">
        <f t="shared" si="51"/>
        <v>0.02436269764440142</v>
      </c>
      <c r="I120" s="24">
        <f t="shared" si="52"/>
        <v>45.56410415710445</v>
      </c>
      <c r="J120" s="24">
        <f t="shared" si="53"/>
        <v>87.56001291541975</v>
      </c>
      <c r="K120" s="21">
        <v>2779592.61</v>
      </c>
      <c r="L120" s="21">
        <v>2672799.76</v>
      </c>
      <c r="M120" s="25">
        <f t="shared" si="54"/>
        <v>0.03995542486879006</v>
      </c>
      <c r="N120" s="10"/>
      <c r="R120" s="2"/>
    </row>
    <row r="121" spans="1:18" ht="15" customHeight="1">
      <c r="A121" s="19"/>
      <c r="B121" s="20">
        <f>DATE(2018,9,1)</f>
        <v>43344</v>
      </c>
      <c r="C121" s="21">
        <v>57391</v>
      </c>
      <c r="D121" s="21">
        <v>59418</v>
      </c>
      <c r="E121" s="23">
        <f t="shared" si="50"/>
        <v>-0.03411424147564711</v>
      </c>
      <c r="F121" s="21">
        <f>+C121-27760</f>
        <v>29631</v>
      </c>
      <c r="G121" s="21">
        <f>+D121-28421</f>
        <v>30997</v>
      </c>
      <c r="H121" s="23">
        <f t="shared" si="51"/>
        <v>-0.04406878084975965</v>
      </c>
      <c r="I121" s="24">
        <f t="shared" si="52"/>
        <v>45.601388196755586</v>
      </c>
      <c r="J121" s="24">
        <f t="shared" si="53"/>
        <v>88.32335290742803</v>
      </c>
      <c r="K121" s="21">
        <v>2617109.27</v>
      </c>
      <c r="L121" s="21">
        <v>2764418.67</v>
      </c>
      <c r="M121" s="25">
        <f t="shared" si="54"/>
        <v>-0.05328765920973899</v>
      </c>
      <c r="N121" s="10"/>
      <c r="R121" s="2"/>
    </row>
    <row r="122" spans="1:18" ht="15" customHeight="1">
      <c r="A122" s="19"/>
      <c r="B122" s="20">
        <f>DATE(2018,10,1)</f>
        <v>43374</v>
      </c>
      <c r="C122" s="21">
        <v>54970</v>
      </c>
      <c r="D122" s="21">
        <v>52864</v>
      </c>
      <c r="E122" s="23">
        <f t="shared" si="50"/>
        <v>0.03983807506053269</v>
      </c>
      <c r="F122" s="21">
        <f>+C122-26236</f>
        <v>28734</v>
      </c>
      <c r="G122" s="21">
        <f>+D122-24998</f>
        <v>27866</v>
      </c>
      <c r="H122" s="23">
        <f t="shared" si="51"/>
        <v>0.031149070551927078</v>
      </c>
      <c r="I122" s="24">
        <f t="shared" si="52"/>
        <v>46.12450209205021</v>
      </c>
      <c r="J122" s="24">
        <f t="shared" si="53"/>
        <v>88.23915500800445</v>
      </c>
      <c r="K122" s="21">
        <v>2535463.88</v>
      </c>
      <c r="L122" s="21">
        <v>2564041.46</v>
      </c>
      <c r="M122" s="25">
        <f t="shared" si="54"/>
        <v>-0.011145521804471942</v>
      </c>
      <c r="N122" s="10"/>
      <c r="R122" s="2"/>
    </row>
    <row r="123" spans="1:18" ht="15" customHeight="1">
      <c r="A123" s="19"/>
      <c r="B123" s="20">
        <f>DATE(2018,11,1)</f>
        <v>43405</v>
      </c>
      <c r="C123" s="21">
        <v>49028</v>
      </c>
      <c r="D123" s="21">
        <v>54003</v>
      </c>
      <c r="E123" s="23">
        <f t="shared" si="50"/>
        <v>-0.09212451160120734</v>
      </c>
      <c r="F123" s="21">
        <f>+C123-24232</f>
        <v>24796</v>
      </c>
      <c r="G123" s="21">
        <f>+D123-25453</f>
        <v>28550</v>
      </c>
      <c r="H123" s="23">
        <f t="shared" si="51"/>
        <v>-0.13148861646234675</v>
      </c>
      <c r="I123" s="24">
        <f t="shared" si="52"/>
        <v>49.04757873052133</v>
      </c>
      <c r="J123" s="24">
        <f t="shared" si="53"/>
        <v>96.97954065171801</v>
      </c>
      <c r="K123" s="21">
        <v>2404704.69</v>
      </c>
      <c r="L123" s="21">
        <v>2490796.49</v>
      </c>
      <c r="M123" s="25">
        <f t="shared" si="54"/>
        <v>-0.034563963915012694</v>
      </c>
      <c r="N123" s="10"/>
      <c r="R123" s="2"/>
    </row>
    <row r="124" spans="1:18" ht="15" customHeight="1">
      <c r="A124" s="19"/>
      <c r="B124" s="20">
        <f>DATE(2018,12,1)</f>
        <v>43435</v>
      </c>
      <c r="C124" s="21">
        <v>58147</v>
      </c>
      <c r="D124" s="21">
        <v>55987</v>
      </c>
      <c r="E124" s="23">
        <f t="shared" si="50"/>
        <v>0.038580384732169966</v>
      </c>
      <c r="F124" s="21">
        <f>+C124-29074</f>
        <v>29073</v>
      </c>
      <c r="G124" s="21">
        <f>+D124-26854</f>
        <v>29133</v>
      </c>
      <c r="H124" s="23">
        <f t="shared" si="51"/>
        <v>-0.0020595201318092883</v>
      </c>
      <c r="I124" s="24">
        <f t="shared" si="52"/>
        <v>44.91932051524584</v>
      </c>
      <c r="J124" s="24">
        <f t="shared" si="53"/>
        <v>89.84018608330753</v>
      </c>
      <c r="K124" s="21">
        <v>2611923.73</v>
      </c>
      <c r="L124" s="21">
        <v>2654038.93</v>
      </c>
      <c r="M124" s="25">
        <f t="shared" si="54"/>
        <v>-0.01586834297114104</v>
      </c>
      <c r="N124" s="10"/>
      <c r="R124" s="2"/>
    </row>
    <row r="125" spans="1:18" ht="15" customHeight="1">
      <c r="A125" s="19"/>
      <c r="B125" s="20">
        <f>DATE(2019,1,1)</f>
        <v>43466</v>
      </c>
      <c r="C125" s="21">
        <v>41757</v>
      </c>
      <c r="D125" s="21">
        <v>52482</v>
      </c>
      <c r="E125" s="23">
        <f t="shared" si="50"/>
        <v>-0.2043557791242712</v>
      </c>
      <c r="F125" s="21">
        <f>+C125-21350</f>
        <v>20407</v>
      </c>
      <c r="G125" s="21">
        <f>+D125-25959</f>
        <v>26523</v>
      </c>
      <c r="H125" s="23">
        <f t="shared" si="51"/>
        <v>-0.23059231610300493</v>
      </c>
      <c r="I125" s="24">
        <f t="shared" si="52"/>
        <v>49.2249914984314</v>
      </c>
      <c r="J125" s="24">
        <f t="shared" si="53"/>
        <v>100.7246518351546</v>
      </c>
      <c r="K125" s="21">
        <v>2055487.97</v>
      </c>
      <c r="L125" s="21">
        <v>2554089.98</v>
      </c>
      <c r="M125" s="25">
        <f t="shared" si="54"/>
        <v>-0.19521708863209275</v>
      </c>
      <c r="N125" s="10"/>
      <c r="R125" s="2"/>
    </row>
    <row r="126" spans="1:18" ht="15" customHeight="1">
      <c r="A126" s="19"/>
      <c r="B126" s="20">
        <f>DATE(2019,2,1)</f>
        <v>43497</v>
      </c>
      <c r="C126" s="21">
        <v>48742</v>
      </c>
      <c r="D126" s="21">
        <v>54321</v>
      </c>
      <c r="E126" s="23">
        <f t="shared" si="50"/>
        <v>-0.10270429483993299</v>
      </c>
      <c r="F126" s="21">
        <f>+C126-24917</f>
        <v>23825</v>
      </c>
      <c r="G126" s="21">
        <f>+D126-26653</f>
        <v>27668</v>
      </c>
      <c r="H126" s="23">
        <f t="shared" si="51"/>
        <v>-0.13889692063033107</v>
      </c>
      <c r="I126" s="24">
        <f t="shared" si="52"/>
        <v>50.06706577489639</v>
      </c>
      <c r="J126" s="24">
        <f t="shared" si="53"/>
        <v>102.42891584470094</v>
      </c>
      <c r="K126" s="21">
        <v>2440368.92</v>
      </c>
      <c r="L126" s="21">
        <v>2627841.65</v>
      </c>
      <c r="M126" s="25">
        <f t="shared" si="54"/>
        <v>-0.07134095389651808</v>
      </c>
      <c r="N126" s="10"/>
      <c r="R126" s="2"/>
    </row>
    <row r="127" spans="1:18" ht="15" thickBot="1">
      <c r="A127" s="38"/>
      <c r="B127" s="20"/>
      <c r="C127" s="21"/>
      <c r="D127" s="21"/>
      <c r="E127" s="23"/>
      <c r="F127" s="21"/>
      <c r="G127" s="21"/>
      <c r="H127" s="23"/>
      <c r="I127" s="24"/>
      <c r="J127" s="24"/>
      <c r="K127" s="21"/>
      <c r="L127" s="21"/>
      <c r="M127" s="25"/>
      <c r="N127" s="10"/>
      <c r="R127" s="2"/>
    </row>
    <row r="128" spans="1:18" ht="16.5" thickBot="1" thickTop="1">
      <c r="A128" s="62" t="s">
        <v>14</v>
      </c>
      <c r="B128" s="52"/>
      <c r="C128" s="48">
        <f>SUM(C119:C127)</f>
        <v>434973</v>
      </c>
      <c r="D128" s="48">
        <f>SUM(D119:D127)</f>
        <v>450530</v>
      </c>
      <c r="E128" s="280">
        <f>(+C128-D128)/D128</f>
        <v>-0.034530441923956226</v>
      </c>
      <c r="F128" s="48">
        <f>SUM(F119:F127)</f>
        <v>222035</v>
      </c>
      <c r="G128" s="48">
        <f>SUM(G119:G127)</f>
        <v>234453</v>
      </c>
      <c r="H128" s="42">
        <f>(+F128-G128)/G128</f>
        <v>-0.05296583963523606</v>
      </c>
      <c r="I128" s="50">
        <f>K128/C128</f>
        <v>46.5878085766243</v>
      </c>
      <c r="J128" s="50">
        <f>K128/F128</f>
        <v>91.26686720562073</v>
      </c>
      <c r="K128" s="48">
        <f>SUM(K119:K127)</f>
        <v>20264438.86</v>
      </c>
      <c r="L128" s="48">
        <f>SUM(L119:L127)</f>
        <v>21257637.569999997</v>
      </c>
      <c r="M128" s="44">
        <f>(+K128-L128)/L128</f>
        <v>-0.046721970243845744</v>
      </c>
      <c r="N128" s="10"/>
      <c r="R128" s="2"/>
    </row>
    <row r="129" spans="1:18" ht="15.75" customHeight="1" thickTop="1">
      <c r="A129" s="19"/>
      <c r="B129" s="45"/>
      <c r="C129" s="21"/>
      <c r="D129" s="21"/>
      <c r="E129" s="23"/>
      <c r="F129" s="21"/>
      <c r="G129" s="21"/>
      <c r="H129" s="23"/>
      <c r="I129" s="24"/>
      <c r="J129" s="24"/>
      <c r="K129" s="21"/>
      <c r="L129" s="21"/>
      <c r="M129" s="25"/>
      <c r="N129" s="10"/>
      <c r="R129" s="2"/>
    </row>
    <row r="130" spans="1:18" ht="15">
      <c r="A130" s="19" t="s">
        <v>19</v>
      </c>
      <c r="B130" s="20">
        <f>DATE(2018,7,1)</f>
        <v>43282</v>
      </c>
      <c r="C130" s="21">
        <v>470294</v>
      </c>
      <c r="D130" s="21">
        <v>504566</v>
      </c>
      <c r="E130" s="23">
        <f aca="true" t="shared" si="55" ref="E130:E137">(+C130-D130)/D130</f>
        <v>-0.06792372058363029</v>
      </c>
      <c r="F130" s="21">
        <f>+C130-224781</f>
        <v>245513</v>
      </c>
      <c r="G130" s="21">
        <f>+D130-244721</f>
        <v>259845</v>
      </c>
      <c r="H130" s="23">
        <f aca="true" t="shared" si="56" ref="H130:H137">(+F130-G130)/G130</f>
        <v>-0.05515595835979142</v>
      </c>
      <c r="I130" s="24">
        <f aca="true" t="shared" si="57" ref="I130:I137">K130/C130</f>
        <v>49.79769203944767</v>
      </c>
      <c r="J130" s="24">
        <f aca="true" t="shared" si="58" ref="J130:J137">K130/F130</f>
        <v>95.39028800918892</v>
      </c>
      <c r="K130" s="21">
        <v>23419555.78</v>
      </c>
      <c r="L130" s="21">
        <v>23735238.92</v>
      </c>
      <c r="M130" s="25">
        <f aca="true" t="shared" si="59" ref="M130:M137">(+K130-L130)/L130</f>
        <v>-0.013300188005859795</v>
      </c>
      <c r="N130" s="10"/>
      <c r="R130" s="2"/>
    </row>
    <row r="131" spans="1:18" ht="15">
      <c r="A131" s="19"/>
      <c r="B131" s="20">
        <f>DATE(2018,8,1)</f>
        <v>43313</v>
      </c>
      <c r="C131" s="21">
        <v>474770</v>
      </c>
      <c r="D131" s="21">
        <v>457218</v>
      </c>
      <c r="E131" s="23">
        <f t="shared" si="55"/>
        <v>0.03838868985910441</v>
      </c>
      <c r="F131" s="21">
        <f>+C131-232249</f>
        <v>242521</v>
      </c>
      <c r="G131" s="21">
        <f>+D131-220228</f>
        <v>236990</v>
      </c>
      <c r="H131" s="23">
        <f t="shared" si="56"/>
        <v>0.023338537491033377</v>
      </c>
      <c r="I131" s="24">
        <f t="shared" si="57"/>
        <v>50.1026419318828</v>
      </c>
      <c r="J131" s="24">
        <f t="shared" si="58"/>
        <v>98.08318170385245</v>
      </c>
      <c r="K131" s="21">
        <v>23787231.31</v>
      </c>
      <c r="L131" s="21">
        <v>21406025.88</v>
      </c>
      <c r="M131" s="25">
        <f t="shared" si="59"/>
        <v>0.11123995847472085</v>
      </c>
      <c r="N131" s="10"/>
      <c r="R131" s="2"/>
    </row>
    <row r="132" spans="1:18" ht="15">
      <c r="A132" s="19"/>
      <c r="B132" s="20">
        <f>DATE(2018,9,1)</f>
        <v>43344</v>
      </c>
      <c r="C132" s="21">
        <v>439040</v>
      </c>
      <c r="D132" s="21">
        <v>469781</v>
      </c>
      <c r="E132" s="23">
        <f t="shared" si="55"/>
        <v>-0.06543687377735583</v>
      </c>
      <c r="F132" s="21">
        <f>+C132-213778</f>
        <v>225262</v>
      </c>
      <c r="G132" s="21">
        <f>+D132-233419</f>
        <v>236362</v>
      </c>
      <c r="H132" s="23">
        <f t="shared" si="56"/>
        <v>-0.046961863582132495</v>
      </c>
      <c r="I132" s="24">
        <f t="shared" si="57"/>
        <v>49.36747344205539</v>
      </c>
      <c r="J132" s="24">
        <f t="shared" si="58"/>
        <v>96.21816169615825</v>
      </c>
      <c r="K132" s="21">
        <v>21674295.54</v>
      </c>
      <c r="L132" s="21">
        <v>22005324.36</v>
      </c>
      <c r="M132" s="25">
        <f t="shared" si="59"/>
        <v>-0.015043123863319427</v>
      </c>
      <c r="N132" s="10"/>
      <c r="R132" s="2"/>
    </row>
    <row r="133" spans="1:18" ht="15">
      <c r="A133" s="19"/>
      <c r="B133" s="20">
        <f>DATE(2018,10,1)</f>
        <v>43374</v>
      </c>
      <c r="C133" s="21">
        <v>422287</v>
      </c>
      <c r="D133" s="21">
        <v>443959</v>
      </c>
      <c r="E133" s="23">
        <f t="shared" si="55"/>
        <v>-0.048815318531666214</v>
      </c>
      <c r="F133" s="21">
        <f>+C133-199383</f>
        <v>222904</v>
      </c>
      <c r="G133" s="21">
        <f>+D133-215005</f>
        <v>228954</v>
      </c>
      <c r="H133" s="23">
        <f t="shared" si="56"/>
        <v>-0.026424521956375516</v>
      </c>
      <c r="I133" s="24">
        <f t="shared" si="57"/>
        <v>49.14717732253183</v>
      </c>
      <c r="J133" s="24">
        <f t="shared" si="58"/>
        <v>93.10830702903492</v>
      </c>
      <c r="K133" s="21">
        <v>20754214.07</v>
      </c>
      <c r="L133" s="21">
        <v>21053075.3</v>
      </c>
      <c r="M133" s="25">
        <f t="shared" si="59"/>
        <v>-0.01419560922769323</v>
      </c>
      <c r="N133" s="10"/>
      <c r="R133" s="2"/>
    </row>
    <row r="134" spans="1:18" ht="15">
      <c r="A134" s="19"/>
      <c r="B134" s="20">
        <f>DATE(2018,11,1)</f>
        <v>43405</v>
      </c>
      <c r="C134" s="21">
        <v>425527</v>
      </c>
      <c r="D134" s="21">
        <v>438651</v>
      </c>
      <c r="E134" s="23">
        <f t="shared" si="55"/>
        <v>-0.02991900166647289</v>
      </c>
      <c r="F134" s="21">
        <f>+C134-204971</f>
        <v>220556</v>
      </c>
      <c r="G134" s="21">
        <f>+D134-216495</f>
        <v>222156</v>
      </c>
      <c r="H134" s="23">
        <f t="shared" si="56"/>
        <v>-0.007202146239579395</v>
      </c>
      <c r="I134" s="24">
        <f t="shared" si="57"/>
        <v>50.26108846207174</v>
      </c>
      <c r="J134" s="24">
        <f t="shared" si="58"/>
        <v>96.9706115000272</v>
      </c>
      <c r="K134" s="21">
        <v>21387450.19</v>
      </c>
      <c r="L134" s="21">
        <v>20908979.13</v>
      </c>
      <c r="M134" s="25">
        <f t="shared" si="59"/>
        <v>0.022883520856046807</v>
      </c>
      <c r="N134" s="10"/>
      <c r="R134" s="2"/>
    </row>
    <row r="135" spans="1:18" ht="15">
      <c r="A135" s="19"/>
      <c r="B135" s="20">
        <f>DATE(2018,12,1)</f>
        <v>43435</v>
      </c>
      <c r="C135" s="21">
        <v>480889</v>
      </c>
      <c r="D135" s="21">
        <v>489188</v>
      </c>
      <c r="E135" s="23">
        <f t="shared" si="55"/>
        <v>-0.016964847870348413</v>
      </c>
      <c r="F135" s="21">
        <f>+C135-230072</f>
        <v>250817</v>
      </c>
      <c r="G135" s="21">
        <f>+D135-242094</f>
        <v>247094</v>
      </c>
      <c r="H135" s="23">
        <f t="shared" si="56"/>
        <v>0.015067140440480142</v>
      </c>
      <c r="I135" s="24">
        <f t="shared" si="57"/>
        <v>47.909385949772194</v>
      </c>
      <c r="J135" s="24">
        <f t="shared" si="58"/>
        <v>91.85620073599476</v>
      </c>
      <c r="K135" s="21">
        <v>23039096.7</v>
      </c>
      <c r="L135" s="21">
        <v>22430640.24</v>
      </c>
      <c r="M135" s="25">
        <f t="shared" si="59"/>
        <v>0.02712612986030402</v>
      </c>
      <c r="N135" s="10"/>
      <c r="R135" s="2"/>
    </row>
    <row r="136" spans="1:18" ht="15">
      <c r="A136" s="19"/>
      <c r="B136" s="20">
        <f>DATE(2019,1,1)</f>
        <v>43466</v>
      </c>
      <c r="C136" s="21">
        <v>389075</v>
      </c>
      <c r="D136" s="21">
        <v>417488</v>
      </c>
      <c r="E136" s="23">
        <f t="shared" si="55"/>
        <v>-0.06805704595102134</v>
      </c>
      <c r="F136" s="21">
        <f>+C136-191824</f>
        <v>197251</v>
      </c>
      <c r="G136" s="21">
        <f>+D136-207200</f>
        <v>210288</v>
      </c>
      <c r="H136" s="23">
        <f t="shared" si="56"/>
        <v>-0.061995929392071825</v>
      </c>
      <c r="I136" s="24">
        <f t="shared" si="57"/>
        <v>48.97389277131658</v>
      </c>
      <c r="J136" s="24">
        <f t="shared" si="58"/>
        <v>96.60035857866373</v>
      </c>
      <c r="K136" s="21">
        <v>19054517.33</v>
      </c>
      <c r="L136" s="21">
        <v>20053049.41</v>
      </c>
      <c r="M136" s="25">
        <f t="shared" si="59"/>
        <v>-0.04979452549007617</v>
      </c>
      <c r="N136" s="10"/>
      <c r="R136" s="2"/>
    </row>
    <row r="137" spans="1:18" ht="15">
      <c r="A137" s="19"/>
      <c r="B137" s="20">
        <f>DATE(2019,2,1)</f>
        <v>43497</v>
      </c>
      <c r="C137" s="21">
        <v>399766</v>
      </c>
      <c r="D137" s="21">
        <v>430711</v>
      </c>
      <c r="E137" s="23">
        <f t="shared" si="55"/>
        <v>-0.07184631922565246</v>
      </c>
      <c r="F137" s="21">
        <f>+C137-193480</f>
        <v>206286</v>
      </c>
      <c r="G137" s="21">
        <f>+D137-217330</f>
        <v>213381</v>
      </c>
      <c r="H137" s="23">
        <f t="shared" si="56"/>
        <v>-0.03325038311752218</v>
      </c>
      <c r="I137" s="24">
        <f t="shared" si="57"/>
        <v>52.2607120415443</v>
      </c>
      <c r="J137" s="24">
        <f t="shared" si="58"/>
        <v>101.27713858429559</v>
      </c>
      <c r="K137" s="21">
        <v>20892055.81</v>
      </c>
      <c r="L137" s="21">
        <v>20531016.93</v>
      </c>
      <c r="M137" s="25">
        <f t="shared" si="59"/>
        <v>0.017585046139261012</v>
      </c>
      <c r="N137" s="10"/>
      <c r="R137" s="2"/>
    </row>
    <row r="138" spans="1:18" ht="15" thickBot="1">
      <c r="A138" s="38"/>
      <c r="B138" s="45"/>
      <c r="C138" s="21"/>
      <c r="D138" s="21"/>
      <c r="E138" s="23"/>
      <c r="F138" s="21"/>
      <c r="G138" s="21"/>
      <c r="H138" s="23"/>
      <c r="I138" s="24"/>
      <c r="J138" s="24"/>
      <c r="K138" s="21"/>
      <c r="L138" s="21"/>
      <c r="M138" s="25"/>
      <c r="N138" s="10"/>
      <c r="R138" s="2"/>
    </row>
    <row r="139" spans="1:18" ht="16.5" thickBot="1" thickTop="1">
      <c r="A139" s="39" t="s">
        <v>14</v>
      </c>
      <c r="B139" s="40"/>
      <c r="C139" s="41">
        <f>SUM(C130:C138)</f>
        <v>3501648</v>
      </c>
      <c r="D139" s="41">
        <f>SUM(D130:D138)</f>
        <v>3651562</v>
      </c>
      <c r="E139" s="280">
        <f>(+C139-D139)/D139</f>
        <v>-0.04105475957959909</v>
      </c>
      <c r="F139" s="41">
        <f>SUM(F130:F138)</f>
        <v>1811110</v>
      </c>
      <c r="G139" s="41">
        <f>SUM(G130:G138)</f>
        <v>1855070</v>
      </c>
      <c r="H139" s="42">
        <f>(+F139-G139)/G139</f>
        <v>-0.023697218972868948</v>
      </c>
      <c r="I139" s="43">
        <f>K139/C139</f>
        <v>49.69329205277058</v>
      </c>
      <c r="J139" s="43">
        <f>K139/F139</f>
        <v>96.07832584989315</v>
      </c>
      <c r="K139" s="41">
        <f>SUM(K130:K138)</f>
        <v>174008416.73</v>
      </c>
      <c r="L139" s="41">
        <f>SUM(L130:L138)</f>
        <v>172123350.17</v>
      </c>
      <c r="M139" s="44">
        <f>(+K139-L139)/L139</f>
        <v>0.010951835170174125</v>
      </c>
      <c r="N139" s="10"/>
      <c r="R139" s="2"/>
    </row>
    <row r="140" spans="1:18" ht="15.75" customHeight="1" thickTop="1">
      <c r="A140" s="19"/>
      <c r="B140" s="45"/>
      <c r="C140" s="21"/>
      <c r="D140" s="21"/>
      <c r="E140" s="23"/>
      <c r="F140" s="21"/>
      <c r="G140" s="21"/>
      <c r="H140" s="23"/>
      <c r="I140" s="24"/>
      <c r="J140" s="24"/>
      <c r="K140" s="21"/>
      <c r="L140" s="21"/>
      <c r="M140" s="25"/>
      <c r="N140" s="10"/>
      <c r="R140" s="2"/>
    </row>
    <row r="141" spans="1:18" ht="15">
      <c r="A141" s="19" t="s">
        <v>63</v>
      </c>
      <c r="B141" s="20">
        <f>DATE(2018,7,1)</f>
        <v>43282</v>
      </c>
      <c r="C141" s="21">
        <v>83462</v>
      </c>
      <c r="D141" s="21">
        <v>79906</v>
      </c>
      <c r="E141" s="23">
        <f aca="true" t="shared" si="60" ref="E141:E148">(+C141-D141)/D141</f>
        <v>0.044502290190974396</v>
      </c>
      <c r="F141" s="21">
        <f>+C141-37670</f>
        <v>45792</v>
      </c>
      <c r="G141" s="21">
        <f>+D141-36860</f>
        <v>43046</v>
      </c>
      <c r="H141" s="23">
        <f aca="true" t="shared" si="61" ref="H141:H148">(+F141-G141)/G141</f>
        <v>0.06379222227384658</v>
      </c>
      <c r="I141" s="24">
        <f aca="true" t="shared" si="62" ref="I141:I148">K141/C141</f>
        <v>43.09257506410103</v>
      </c>
      <c r="J141" s="24">
        <f aca="true" t="shared" si="63" ref="J141:J148">K141/F141</f>
        <v>78.5419396401118</v>
      </c>
      <c r="K141" s="21">
        <v>3596592.5</v>
      </c>
      <c r="L141" s="21">
        <v>3314806.15</v>
      </c>
      <c r="M141" s="25">
        <f aca="true" t="shared" si="64" ref="M141:M148">(+K141-L141)/L141</f>
        <v>0.08500839483479301</v>
      </c>
      <c r="N141" s="10"/>
      <c r="R141" s="2"/>
    </row>
    <row r="142" spans="1:18" ht="15">
      <c r="A142" s="19"/>
      <c r="B142" s="20">
        <f>DATE(2018,8,1)</f>
        <v>43313</v>
      </c>
      <c r="C142" s="21">
        <v>82775</v>
      </c>
      <c r="D142" s="21">
        <v>79783</v>
      </c>
      <c r="E142" s="23">
        <f t="shared" si="60"/>
        <v>0.03750172342478974</v>
      </c>
      <c r="F142" s="21">
        <f>+C142-37255</f>
        <v>45520</v>
      </c>
      <c r="G142" s="21">
        <f>+D142-35821</f>
        <v>43962</v>
      </c>
      <c r="H142" s="23">
        <f t="shared" si="61"/>
        <v>0.03543969792093171</v>
      </c>
      <c r="I142" s="24">
        <f t="shared" si="62"/>
        <v>43.96489386892178</v>
      </c>
      <c r="J142" s="24">
        <f t="shared" si="63"/>
        <v>79.94714608963093</v>
      </c>
      <c r="K142" s="21">
        <v>3639194.09</v>
      </c>
      <c r="L142" s="21">
        <v>3234719.93</v>
      </c>
      <c r="M142" s="25">
        <f t="shared" si="64"/>
        <v>0.12504147770221322</v>
      </c>
      <c r="N142" s="10"/>
      <c r="R142" s="2"/>
    </row>
    <row r="143" spans="1:18" ht="15">
      <c r="A143" s="19"/>
      <c r="B143" s="20">
        <f>DATE(2018,9,1)</f>
        <v>43344</v>
      </c>
      <c r="C143" s="21">
        <v>77092</v>
      </c>
      <c r="D143" s="21">
        <v>84353</v>
      </c>
      <c r="E143" s="23">
        <f t="shared" si="60"/>
        <v>-0.08607874053086434</v>
      </c>
      <c r="F143" s="21">
        <f>+C143-35421</f>
        <v>41671</v>
      </c>
      <c r="G143" s="21">
        <f>+D143-38205</f>
        <v>46148</v>
      </c>
      <c r="H143" s="23">
        <f t="shared" si="61"/>
        <v>-0.09701395510097946</v>
      </c>
      <c r="I143" s="24">
        <f t="shared" si="62"/>
        <v>44.389417838426816</v>
      </c>
      <c r="J143" s="24">
        <f t="shared" si="63"/>
        <v>82.12111540399799</v>
      </c>
      <c r="K143" s="21">
        <v>3422069</v>
      </c>
      <c r="L143" s="21">
        <v>3468398</v>
      </c>
      <c r="M143" s="25">
        <f t="shared" si="64"/>
        <v>-0.0133574635898187</v>
      </c>
      <c r="N143" s="10"/>
      <c r="R143" s="2"/>
    </row>
    <row r="144" spans="1:18" ht="15">
      <c r="A144" s="19"/>
      <c r="B144" s="20">
        <f>DATE(2018,10,1)</f>
        <v>43374</v>
      </c>
      <c r="C144" s="21">
        <v>82223</v>
      </c>
      <c r="D144" s="21">
        <v>80014</v>
      </c>
      <c r="E144" s="23">
        <f t="shared" si="60"/>
        <v>0.027607668657984853</v>
      </c>
      <c r="F144" s="21">
        <f>+C144-37480</f>
        <v>44743</v>
      </c>
      <c r="G144" s="21">
        <f>+D144-36610</f>
        <v>43404</v>
      </c>
      <c r="H144" s="23">
        <f t="shared" si="61"/>
        <v>0.030849691272693762</v>
      </c>
      <c r="I144" s="24">
        <f t="shared" si="62"/>
        <v>41.2611183002323</v>
      </c>
      <c r="J144" s="24">
        <f t="shared" si="63"/>
        <v>75.8244402476365</v>
      </c>
      <c r="K144" s="21">
        <v>3392612.93</v>
      </c>
      <c r="L144" s="21">
        <v>3370291.8</v>
      </c>
      <c r="M144" s="25">
        <f t="shared" si="64"/>
        <v>0.00662290725093903</v>
      </c>
      <c r="N144" s="10"/>
      <c r="R144" s="2"/>
    </row>
    <row r="145" spans="1:18" ht="15">
      <c r="A145" s="19"/>
      <c r="B145" s="20">
        <f>DATE(2018,11,1)</f>
        <v>43405</v>
      </c>
      <c r="C145" s="21">
        <v>76303</v>
      </c>
      <c r="D145" s="21">
        <v>81471</v>
      </c>
      <c r="E145" s="23">
        <f t="shared" si="60"/>
        <v>-0.06343361441494519</v>
      </c>
      <c r="F145" s="21">
        <f>+C145-35181</f>
        <v>41122</v>
      </c>
      <c r="G145" s="21">
        <f>+D145-37675</f>
        <v>43796</v>
      </c>
      <c r="H145" s="23">
        <f t="shared" si="61"/>
        <v>-0.061055804183030415</v>
      </c>
      <c r="I145" s="24">
        <f t="shared" si="62"/>
        <v>44.11983604838604</v>
      </c>
      <c r="J145" s="24">
        <f t="shared" si="63"/>
        <v>81.86556709304023</v>
      </c>
      <c r="K145" s="21">
        <v>3366475.85</v>
      </c>
      <c r="L145" s="21">
        <v>3424537.07</v>
      </c>
      <c r="M145" s="25">
        <f t="shared" si="64"/>
        <v>-0.016954472623068945</v>
      </c>
      <c r="N145" s="10"/>
      <c r="R145" s="2"/>
    </row>
    <row r="146" spans="1:18" ht="15">
      <c r="A146" s="19"/>
      <c r="B146" s="20">
        <f>DATE(2018,12,1)</f>
        <v>43435</v>
      </c>
      <c r="C146" s="21">
        <v>85578</v>
      </c>
      <c r="D146" s="21">
        <v>87056</v>
      </c>
      <c r="E146" s="23">
        <f t="shared" si="60"/>
        <v>-0.016977577651167065</v>
      </c>
      <c r="F146" s="21">
        <f>+C146-40324</f>
        <v>45254</v>
      </c>
      <c r="G146" s="21">
        <f>+D146-40605</f>
        <v>46451</v>
      </c>
      <c r="H146" s="23">
        <f t="shared" si="61"/>
        <v>-0.025769090008826507</v>
      </c>
      <c r="I146" s="24">
        <f t="shared" si="62"/>
        <v>43.98300918460352</v>
      </c>
      <c r="J146" s="24">
        <f t="shared" si="63"/>
        <v>83.17448092986255</v>
      </c>
      <c r="K146" s="21">
        <v>3763977.96</v>
      </c>
      <c r="L146" s="21">
        <v>3766957.15</v>
      </c>
      <c r="M146" s="25">
        <f t="shared" si="64"/>
        <v>-0.0007908744064157842</v>
      </c>
      <c r="N146" s="10"/>
      <c r="R146" s="2"/>
    </row>
    <row r="147" spans="1:18" ht="15">
      <c r="A147" s="19"/>
      <c r="B147" s="20">
        <f>DATE(2019,1,1)</f>
        <v>43466</v>
      </c>
      <c r="C147" s="21">
        <v>73768</v>
      </c>
      <c r="D147" s="21">
        <v>80564</v>
      </c>
      <c r="E147" s="23">
        <f t="shared" si="60"/>
        <v>-0.08435529516905814</v>
      </c>
      <c r="F147" s="21">
        <f>+C147-34302</f>
        <v>39466</v>
      </c>
      <c r="G147" s="21">
        <f>+D147-37104</f>
        <v>43460</v>
      </c>
      <c r="H147" s="23">
        <f t="shared" si="61"/>
        <v>-0.09190059825126554</v>
      </c>
      <c r="I147" s="24">
        <f t="shared" si="62"/>
        <v>45.209043623251276</v>
      </c>
      <c r="J147" s="24">
        <f t="shared" si="63"/>
        <v>84.50262833831653</v>
      </c>
      <c r="K147" s="21">
        <v>3334980.73</v>
      </c>
      <c r="L147" s="21">
        <v>3247765.74</v>
      </c>
      <c r="M147" s="25">
        <f t="shared" si="64"/>
        <v>0.026853842605039535</v>
      </c>
      <c r="N147" s="10"/>
      <c r="R147" s="2"/>
    </row>
    <row r="148" spans="1:18" ht="15">
      <c r="A148" s="19"/>
      <c r="B148" s="20">
        <f>DATE(2019,2,1)</f>
        <v>43497</v>
      </c>
      <c r="C148" s="21">
        <v>79948</v>
      </c>
      <c r="D148" s="21">
        <v>82056</v>
      </c>
      <c r="E148" s="23">
        <f t="shared" si="60"/>
        <v>-0.02568977283806181</v>
      </c>
      <c r="F148" s="21">
        <f>+C148-38167</f>
        <v>41781</v>
      </c>
      <c r="G148" s="21">
        <f>+D148-38030</f>
        <v>44026</v>
      </c>
      <c r="H148" s="23">
        <f t="shared" si="61"/>
        <v>-0.05099259528460455</v>
      </c>
      <c r="I148" s="24">
        <f t="shared" si="62"/>
        <v>44.5241386901486</v>
      </c>
      <c r="J148" s="24">
        <f t="shared" si="63"/>
        <v>85.19699959311649</v>
      </c>
      <c r="K148" s="21">
        <v>3559615.84</v>
      </c>
      <c r="L148" s="21">
        <v>3559309.69</v>
      </c>
      <c r="M148" s="25">
        <f t="shared" si="64"/>
        <v>8.601386972874138E-05</v>
      </c>
      <c r="N148" s="10"/>
      <c r="R148" s="2"/>
    </row>
    <row r="149" spans="1:18" ht="15" thickBot="1">
      <c r="A149" s="38"/>
      <c r="B149" s="45"/>
      <c r="C149" s="21"/>
      <c r="D149" s="21"/>
      <c r="E149" s="23"/>
      <c r="F149" s="21"/>
      <c r="G149" s="21"/>
      <c r="H149" s="23"/>
      <c r="I149" s="24"/>
      <c r="J149" s="24"/>
      <c r="K149" s="21"/>
      <c r="L149" s="21"/>
      <c r="M149" s="25"/>
      <c r="N149" s="10"/>
      <c r="R149" s="2"/>
    </row>
    <row r="150" spans="1:18" ht="16.5" thickBot="1" thickTop="1">
      <c r="A150" s="26" t="s">
        <v>14</v>
      </c>
      <c r="B150" s="27"/>
      <c r="C150" s="28">
        <f>SUM(C141:C149)</f>
        <v>641149</v>
      </c>
      <c r="D150" s="28">
        <f>SUM(D141:D149)</f>
        <v>655203</v>
      </c>
      <c r="E150" s="280">
        <f>(+C150-D150)/D150</f>
        <v>-0.021449840736382463</v>
      </c>
      <c r="F150" s="28">
        <f>SUM(F141:F149)</f>
        <v>345349</v>
      </c>
      <c r="G150" s="28">
        <f>SUM(G141:G149)</f>
        <v>354293</v>
      </c>
      <c r="H150" s="42">
        <f>(+F150-G150)/G150</f>
        <v>-0.02524464214647199</v>
      </c>
      <c r="I150" s="43">
        <f>K150/C150</f>
        <v>43.789382655201834</v>
      </c>
      <c r="J150" s="43">
        <f>K150/F150</f>
        <v>81.29607701195023</v>
      </c>
      <c r="K150" s="28">
        <f>SUM(K141:K149)</f>
        <v>28075518.900000002</v>
      </c>
      <c r="L150" s="28">
        <f>SUM(L141:L149)</f>
        <v>27386785.529999997</v>
      </c>
      <c r="M150" s="44">
        <f>(+K150-L150)/L150</f>
        <v>0.0251483829398508</v>
      </c>
      <c r="N150" s="10"/>
      <c r="R150" s="2"/>
    </row>
    <row r="151" spans="1:18" ht="15.75" thickBot="1" thickTop="1">
      <c r="A151" s="63"/>
      <c r="B151" s="34"/>
      <c r="C151" s="35"/>
      <c r="D151" s="35"/>
      <c r="E151" s="29"/>
      <c r="F151" s="35"/>
      <c r="G151" s="35"/>
      <c r="H151" s="29"/>
      <c r="I151" s="36"/>
      <c r="J151" s="36"/>
      <c r="K151" s="35"/>
      <c r="L151" s="35"/>
      <c r="M151" s="37"/>
      <c r="N151" s="10"/>
      <c r="R151" s="2"/>
    </row>
    <row r="152" spans="1:18" ht="16.5" thickBot="1" thickTop="1">
      <c r="A152" s="64" t="s">
        <v>20</v>
      </c>
      <c r="B152" s="65"/>
      <c r="C152" s="28">
        <f>C150+C139+C62+C84+C95+C40+C18+C106+C117+C51+C128+C29+C73</f>
        <v>24928056</v>
      </c>
      <c r="D152" s="28">
        <f>D150+D139+D62+D84+D95+D40+D18+D106+D117+D51+D128+D29+D73</f>
        <v>26157527</v>
      </c>
      <c r="E152" s="279">
        <f>(+C152-D152)/D152</f>
        <v>-0.04700257023532844</v>
      </c>
      <c r="F152" s="28">
        <f>F150+F139+F62+F84+F95+F40+F18+F106+F117+F51+F128+F29+F73</f>
        <v>13057146</v>
      </c>
      <c r="G152" s="28">
        <f>G150+G139+G62+G84+G95+G40+G18+G106+G117+G51+G128+G29+G73</f>
        <v>13519654</v>
      </c>
      <c r="H152" s="30">
        <f>(+F152-G152)/G152</f>
        <v>-0.03421004709144184</v>
      </c>
      <c r="I152" s="31">
        <f>K152/C152</f>
        <v>45.504764047385</v>
      </c>
      <c r="J152" s="31">
        <f>K152/F152</f>
        <v>86.87544019497064</v>
      </c>
      <c r="K152" s="28">
        <f>K150+K139+K62+K84+K95+K40+K18+K106+K117+K51+K128+K29+K73</f>
        <v>1134345306.44</v>
      </c>
      <c r="L152" s="28">
        <f>L150+L139+L62+L84+L95+L40+L18+L106+L117+L51+L128+L29+L73</f>
        <v>1135815413.48</v>
      </c>
      <c r="M152" s="32">
        <f>(+K152-L152)/L152</f>
        <v>-0.0012943186212764387</v>
      </c>
      <c r="N152" s="10"/>
      <c r="R152" s="2"/>
    </row>
    <row r="153" spans="1:18" ht="16.5" thickBot="1" thickTop="1">
      <c r="A153" s="64"/>
      <c r="B153" s="65"/>
      <c r="C153" s="28"/>
      <c r="D153" s="28"/>
      <c r="E153" s="29"/>
      <c r="F153" s="28"/>
      <c r="G153" s="28"/>
      <c r="H153" s="30"/>
      <c r="I153" s="31"/>
      <c r="J153" s="31"/>
      <c r="K153" s="28"/>
      <c r="L153" s="28"/>
      <c r="M153" s="32"/>
      <c r="N153" s="10"/>
      <c r="R153" s="2"/>
    </row>
    <row r="154" spans="1:18" ht="16.5" thickBot="1" thickTop="1">
      <c r="A154" s="64" t="s">
        <v>21</v>
      </c>
      <c r="B154" s="65"/>
      <c r="C154" s="28">
        <f>+C16+C27+C38+C49+C60+C71+C82+C93+C104+C115+C126+C137+C148</f>
        <v>2886103</v>
      </c>
      <c r="D154" s="28">
        <f>+D16+D27+D38+D49+D60+D71+D82+D93+D104+D115+D126+D137+D148</f>
        <v>3157654</v>
      </c>
      <c r="E154" s="279">
        <f>(+C154-D154)/D154</f>
        <v>-0.08599770589177914</v>
      </c>
      <c r="F154" s="28">
        <f>+F16+F27+F38+F49+F60+F71+F82+F93+F104+F115+F126+F137+F148</f>
        <v>1501006</v>
      </c>
      <c r="G154" s="28">
        <f>+G16+G27+G38+G49+G60+G71+G82+G93+G104+G115+G126+G137+G148</f>
        <v>1610186</v>
      </c>
      <c r="H154" s="30">
        <f>(+F154-G154)/G154</f>
        <v>-0.06780583112758402</v>
      </c>
      <c r="I154" s="31">
        <f>K154/C154</f>
        <v>46.52601454279352</v>
      </c>
      <c r="J154" s="31">
        <f>K154/F154</f>
        <v>89.45924943004891</v>
      </c>
      <c r="K154" s="28">
        <f>+K16+K27+K38+K49+K60+K71+K82+K93+K104+K115+K126+K137+K148</f>
        <v>134278870.15</v>
      </c>
      <c r="L154" s="28">
        <f>+L16+L27+L38+L49+L60+L71+L82+L93+L104+L115+L126+L137+L148</f>
        <v>139661457.55</v>
      </c>
      <c r="M154" s="44">
        <f>(+K154-L154)/L154</f>
        <v>-0.03854024936030038</v>
      </c>
      <c r="N154" s="10"/>
      <c r="R154" s="2"/>
    </row>
    <row r="155" spans="1:18" ht="15" thickTop="1">
      <c r="A155" s="66"/>
      <c r="B155" s="67"/>
      <c r="C155" s="68"/>
      <c r="D155" s="67"/>
      <c r="E155" s="67"/>
      <c r="F155" s="67"/>
      <c r="G155" s="67"/>
      <c r="H155" s="67"/>
      <c r="I155" s="67"/>
      <c r="J155" s="67"/>
      <c r="K155" s="68"/>
      <c r="L155" s="68"/>
      <c r="M155" s="67"/>
      <c r="R155" s="2"/>
    </row>
    <row r="156" spans="1:18" ht="17.25">
      <c r="A156" s="264" t="s">
        <v>22</v>
      </c>
      <c r="B156" s="70"/>
      <c r="C156" s="71"/>
      <c r="D156" s="71"/>
      <c r="E156" s="71"/>
      <c r="F156" s="71"/>
      <c r="G156" s="71"/>
      <c r="H156" s="71"/>
      <c r="I156" s="71"/>
      <c r="J156" s="71"/>
      <c r="K156" s="198"/>
      <c r="L156" s="198"/>
      <c r="M156" s="71"/>
      <c r="N156" s="2"/>
      <c r="O156" s="2"/>
      <c r="P156" s="2"/>
      <c r="Q156" s="2"/>
      <c r="R156" s="2"/>
    </row>
    <row r="157" spans="1:18" ht="17.25">
      <c r="A157" s="69"/>
      <c r="B157" s="70"/>
      <c r="C157" s="71"/>
      <c r="D157" s="71"/>
      <c r="E157" s="71"/>
      <c r="F157" s="71"/>
      <c r="G157" s="71"/>
      <c r="H157" s="71"/>
      <c r="I157" s="71"/>
      <c r="J157" s="71"/>
      <c r="K157" s="198"/>
      <c r="L157" s="198"/>
      <c r="M157" s="71"/>
      <c r="N157" s="2"/>
      <c r="O157" s="2"/>
      <c r="P157" s="2"/>
      <c r="Q157" s="2"/>
      <c r="R157" s="2"/>
    </row>
    <row r="158" spans="1:18" ht="15">
      <c r="A158" s="72"/>
      <c r="B158" s="73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ht="15">
      <c r="A159" s="2"/>
      <c r="B159" s="73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ht="15">
      <c r="A160" s="2"/>
      <c r="B160" s="73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ht="15">
      <c r="A161" s="2"/>
      <c r="B161" s="73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ht="15">
      <c r="A162" s="2"/>
      <c r="B162" s="73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ht="15">
      <c r="A163" s="2"/>
      <c r="B163" s="73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ht="15">
      <c r="A164" s="2"/>
      <c r="B164" s="73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ht="15">
      <c r="A165" s="2"/>
      <c r="B165" s="73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ht="15">
      <c r="A166" s="2"/>
      <c r="B166" s="73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ht="15">
      <c r="A167" s="2"/>
      <c r="B167" s="73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4"/>
      <c r="N167" s="2"/>
      <c r="O167" s="2"/>
      <c r="P167" s="2"/>
      <c r="Q167" s="2"/>
      <c r="R167" s="2"/>
    </row>
    <row r="168" spans="1:18" ht="15">
      <c r="A168" s="2"/>
      <c r="B168" s="73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4"/>
      <c r="N168" s="2"/>
      <c r="O168" s="2"/>
      <c r="P168" s="2"/>
      <c r="Q168" s="2"/>
      <c r="R168" s="2"/>
    </row>
    <row r="169" spans="1:18" ht="15">
      <c r="A169" s="2"/>
      <c r="B169" s="70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4"/>
      <c r="N169" s="2"/>
      <c r="O169" s="2"/>
      <c r="P169" s="2"/>
      <c r="Q169" s="2"/>
      <c r="R169" s="2"/>
    </row>
    <row r="170" spans="1:18" ht="15">
      <c r="A170" s="76"/>
      <c r="B170" s="70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ht="15">
      <c r="A171" s="76"/>
      <c r="B171" s="70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ht="15">
      <c r="A172" s="76"/>
      <c r="B172" s="70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ht="15">
      <c r="A173" s="2"/>
      <c r="B173" s="70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ht="15">
      <c r="A174" s="76"/>
      <c r="B174" s="73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ht="15">
      <c r="A175" s="2"/>
      <c r="B175" s="73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ht="15">
      <c r="A176" s="2"/>
      <c r="B176" s="73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ht="15">
      <c r="A177" s="2"/>
      <c r="B177" s="77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ht="15">
      <c r="A178" s="2"/>
      <c r="B178" s="77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ht="15">
      <c r="A179" s="2"/>
      <c r="B179" s="77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ht="15">
      <c r="A180" s="2"/>
      <c r="B180" s="77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ht="15">
      <c r="A181" s="2"/>
      <c r="B181" s="77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ht="15">
      <c r="A182" s="2"/>
      <c r="B182" s="77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ht="15">
      <c r="A183" s="2"/>
      <c r="B183" s="77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ht="15">
      <c r="A184" s="2"/>
      <c r="B184" s="77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ht="15">
      <c r="A185" s="2"/>
      <c r="B185" s="77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ht="15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ht="15">
      <c r="A187" s="76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ht="15">
      <c r="A188" s="2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ht="15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ht="15">
      <c r="A190" s="76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ht="15">
      <c r="A191" s="76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ht="15">
      <c r="A192" s="76"/>
      <c r="B192" s="77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ht="15">
      <c r="A193" s="2"/>
      <c r="B193" s="77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ht="15">
      <c r="A194" s="2"/>
      <c r="B194" s="77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ht="15">
      <c r="A195" s="2"/>
      <c r="B195" s="77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ht="15">
      <c r="A196" s="2"/>
      <c r="B196" s="77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ht="15">
      <c r="A197" s="2"/>
      <c r="B197" s="77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ht="15">
      <c r="A198" s="2"/>
      <c r="B198" s="77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ht="15">
      <c r="A199" s="2"/>
      <c r="B199" s="77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ht="15">
      <c r="A200" s="2"/>
      <c r="B200" s="77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ht="15">
      <c r="A201" s="2"/>
      <c r="B201" s="77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ht="15">
      <c r="A202" s="2"/>
      <c r="B202" s="77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ht="15">
      <c r="A203" s="2"/>
      <c r="B203" s="77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">
      <c r="A205" s="76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ht="15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ht="15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ht="15">
      <c r="A208" s="76"/>
      <c r="B208" s="77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ht="15">
      <c r="A209" s="2"/>
      <c r="B209" s="77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ht="15">
      <c r="A210" s="2"/>
      <c r="B210" s="77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ht="15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ht="15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">
      <c r="A214" s="76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ht="15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ht="15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">
      <c r="A217" s="76"/>
      <c r="B217" s="76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ht="15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ht="15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ht="15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ht="15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ht="15">
      <c r="A223" s="2"/>
      <c r="B223" s="2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ht="15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ht="15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ht="15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ht="15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ht="15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ht="15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ht="15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ht="15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ht="15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ht="15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ht="15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ht="15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ht="15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ht="15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ht="15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ht="15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ht="15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ht="15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ht="15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ht="15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ht="15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ht="15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ht="15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ht="15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ht="15">
      <c r="A249" s="2"/>
      <c r="B249" s="2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ht="15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ht="15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ht="15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ht="15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ht="15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ht="15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ht="15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ht="15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ht="15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ht="15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ht="15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ht="15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ht="15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ht="15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ht="15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ht="15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ht="15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ht="15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ht="15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ht="15">
      <c r="A269" s="2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ht="15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ht="15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ht="15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ht="15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ht="15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ht="15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ht="15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ht="15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ht="15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ht="15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ht="15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ht="15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ht="15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ht="15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ht="15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ht="15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ht="15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ht="15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ht="15">
      <c r="A288" s="2"/>
      <c r="B288" s="2"/>
      <c r="C288" s="74"/>
      <c r="D288" s="74"/>
      <c r="E288" s="74"/>
      <c r="F288" s="74"/>
      <c r="G288" s="74"/>
      <c r="H288" s="74"/>
      <c r="I288" s="74"/>
      <c r="J288" s="74"/>
      <c r="K288" s="192"/>
      <c r="L288" s="192"/>
      <c r="M288" s="75"/>
      <c r="N288" s="2"/>
      <c r="O288" s="2"/>
      <c r="P288" s="2"/>
      <c r="Q288" s="2"/>
      <c r="R288" s="2"/>
    </row>
    <row r="289" spans="1:18" ht="15">
      <c r="A289" s="2"/>
      <c r="B289" s="2"/>
      <c r="C289" s="74"/>
      <c r="D289" s="74"/>
      <c r="E289" s="74"/>
      <c r="F289" s="74"/>
      <c r="G289" s="74"/>
      <c r="H289" s="74"/>
      <c r="I289" s="74"/>
      <c r="J289" s="74"/>
      <c r="K289" s="192"/>
      <c r="L289" s="192"/>
      <c r="M289" s="75"/>
      <c r="N289" s="2"/>
      <c r="O289" s="2"/>
      <c r="P289" s="2"/>
      <c r="Q289" s="2"/>
      <c r="R289" s="2"/>
    </row>
    <row r="290" spans="1:18" ht="15">
      <c r="A290" s="2"/>
      <c r="B290" s="2"/>
      <c r="C290" s="74"/>
      <c r="D290" s="74"/>
      <c r="E290" s="74"/>
      <c r="F290" s="74"/>
      <c r="G290" s="74"/>
      <c r="H290" s="74"/>
      <c r="I290" s="74"/>
      <c r="J290" s="74"/>
      <c r="K290" s="192"/>
      <c r="L290" s="192"/>
      <c r="M290" s="75"/>
      <c r="N290" s="2"/>
      <c r="O290" s="2"/>
      <c r="P290" s="2"/>
      <c r="Q290" s="2"/>
      <c r="R290" s="2"/>
    </row>
    <row r="291" spans="1:18" ht="15">
      <c r="A291" s="2"/>
      <c r="B291" s="2"/>
      <c r="C291" s="74"/>
      <c r="D291" s="74"/>
      <c r="E291" s="74"/>
      <c r="F291" s="74"/>
      <c r="G291" s="74"/>
      <c r="H291" s="74"/>
      <c r="I291" s="74"/>
      <c r="J291" s="74"/>
      <c r="K291" s="192"/>
      <c r="L291" s="192"/>
      <c r="M291" s="75"/>
      <c r="N291" s="2"/>
      <c r="O291" s="2"/>
      <c r="P291" s="2"/>
      <c r="Q291" s="2"/>
      <c r="R291" s="2"/>
    </row>
    <row r="292" spans="1:18" ht="15">
      <c r="A292" s="2"/>
      <c r="B292" s="2"/>
      <c r="C292" s="74"/>
      <c r="D292" s="74"/>
      <c r="E292" s="74"/>
      <c r="F292" s="74"/>
      <c r="G292" s="74"/>
      <c r="H292" s="74"/>
      <c r="I292" s="74"/>
      <c r="J292" s="74"/>
      <c r="K292" s="192"/>
      <c r="L292" s="192"/>
      <c r="M292" s="75"/>
      <c r="N292" s="2"/>
      <c r="O292" s="2"/>
      <c r="P292" s="2"/>
      <c r="Q292" s="2"/>
      <c r="R292" s="2"/>
    </row>
    <row r="293" spans="1:18" ht="15">
      <c r="A293" s="2"/>
      <c r="B293" s="2"/>
      <c r="C293" s="74"/>
      <c r="D293" s="74"/>
      <c r="E293" s="74"/>
      <c r="F293" s="74"/>
      <c r="G293" s="74"/>
      <c r="H293" s="74"/>
      <c r="I293" s="74"/>
      <c r="J293" s="74"/>
      <c r="K293" s="192"/>
      <c r="L293" s="192"/>
      <c r="M293" s="75"/>
      <c r="N293" s="2"/>
      <c r="O293" s="2"/>
      <c r="P293" s="2"/>
      <c r="Q293" s="2"/>
      <c r="R293" s="2"/>
    </row>
    <row r="294" spans="1:18" ht="15">
      <c r="A294" s="2"/>
      <c r="B294" s="2"/>
      <c r="C294" s="74"/>
      <c r="D294" s="74"/>
      <c r="E294" s="74"/>
      <c r="F294" s="74"/>
      <c r="G294" s="74"/>
      <c r="H294" s="74"/>
      <c r="I294" s="74"/>
      <c r="J294" s="74"/>
      <c r="K294" s="192"/>
      <c r="L294" s="192"/>
      <c r="M294" s="75"/>
      <c r="N294" s="2"/>
      <c r="O294" s="2"/>
      <c r="P294" s="2"/>
      <c r="Q294" s="2"/>
      <c r="R294" s="2"/>
    </row>
    <row r="295" spans="1:18" ht="15">
      <c r="A295" s="2"/>
      <c r="B295" s="2"/>
      <c r="C295" s="74"/>
      <c r="D295" s="74"/>
      <c r="E295" s="74"/>
      <c r="F295" s="74"/>
      <c r="G295" s="74"/>
      <c r="H295" s="74"/>
      <c r="I295" s="74"/>
      <c r="J295" s="74"/>
      <c r="K295" s="192"/>
      <c r="L295" s="192"/>
      <c r="M295" s="75"/>
      <c r="N295" s="2"/>
      <c r="O295" s="2"/>
      <c r="P295" s="2"/>
      <c r="Q295" s="2"/>
      <c r="R295" s="2"/>
    </row>
    <row r="296" spans="1:18" ht="15">
      <c r="A296" s="2"/>
      <c r="B296" s="2"/>
      <c r="C296" s="74"/>
      <c r="D296" s="74"/>
      <c r="E296" s="74"/>
      <c r="F296" s="74"/>
      <c r="G296" s="74"/>
      <c r="H296" s="74"/>
      <c r="I296" s="74"/>
      <c r="J296" s="74"/>
      <c r="K296" s="192"/>
      <c r="L296" s="192"/>
      <c r="M296" s="75"/>
      <c r="N296" s="2"/>
      <c r="O296" s="2"/>
      <c r="P296" s="2"/>
      <c r="Q296" s="2"/>
      <c r="R296" s="2"/>
    </row>
    <row r="297" spans="1:18" ht="15">
      <c r="A297" s="2"/>
      <c r="B297" s="2"/>
      <c r="C297" s="74"/>
      <c r="D297" s="74"/>
      <c r="E297" s="74"/>
      <c r="F297" s="74"/>
      <c r="G297" s="74"/>
      <c r="H297" s="74"/>
      <c r="I297" s="74"/>
      <c r="J297" s="74"/>
      <c r="K297" s="192"/>
      <c r="L297" s="192"/>
      <c r="M297" s="75"/>
      <c r="N297" s="2"/>
      <c r="O297" s="2"/>
      <c r="P297" s="2"/>
      <c r="Q297" s="2"/>
      <c r="R297" s="2"/>
    </row>
    <row r="298" spans="1:18" ht="15">
      <c r="A298" s="2"/>
      <c r="B298" s="2"/>
      <c r="C298" s="74"/>
      <c r="D298" s="74"/>
      <c r="E298" s="74"/>
      <c r="F298" s="74"/>
      <c r="G298" s="74"/>
      <c r="H298" s="74"/>
      <c r="I298" s="74"/>
      <c r="J298" s="74"/>
      <c r="K298" s="192"/>
      <c r="L298" s="192"/>
      <c r="M298" s="75"/>
      <c r="N298" s="2"/>
      <c r="O298" s="2"/>
      <c r="P298" s="2"/>
      <c r="Q298" s="2"/>
      <c r="R298" s="2"/>
    </row>
    <row r="299" spans="1:18" ht="15">
      <c r="A299" s="2"/>
      <c r="B299" s="2"/>
      <c r="C299" s="74"/>
      <c r="D299" s="74"/>
      <c r="E299" s="74"/>
      <c r="F299" s="74"/>
      <c r="G299" s="74"/>
      <c r="H299" s="74"/>
      <c r="I299" s="74"/>
      <c r="J299" s="74"/>
      <c r="K299" s="192"/>
      <c r="L299" s="192"/>
      <c r="M299" s="75"/>
      <c r="N299" s="2"/>
      <c r="O299" s="2"/>
      <c r="P299" s="2"/>
      <c r="Q299" s="2"/>
      <c r="R299" s="2"/>
    </row>
    <row r="300" spans="1:18" ht="15">
      <c r="A300" s="2"/>
      <c r="B300" s="2"/>
      <c r="C300" s="74"/>
      <c r="D300" s="74"/>
      <c r="E300" s="74"/>
      <c r="F300" s="74"/>
      <c r="G300" s="74"/>
      <c r="H300" s="74"/>
      <c r="I300" s="74"/>
      <c r="J300" s="74"/>
      <c r="K300" s="192"/>
      <c r="L300" s="192"/>
      <c r="M300" s="75"/>
      <c r="N300" s="2"/>
      <c r="O300" s="2"/>
      <c r="P300" s="2"/>
      <c r="Q300" s="2"/>
      <c r="R300" s="2"/>
    </row>
    <row r="301" spans="1:18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  <row r="414" spans="1:18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92"/>
      <c r="L414" s="192"/>
      <c r="M414" s="75"/>
      <c r="N414" s="2"/>
      <c r="O414" s="2"/>
      <c r="P414" s="2"/>
      <c r="Q414" s="2"/>
      <c r="R414" s="2"/>
    </row>
    <row r="415" spans="1:18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92"/>
      <c r="L415" s="192"/>
      <c r="M415" s="75"/>
      <c r="N415" s="2"/>
      <c r="O415" s="2"/>
      <c r="P415" s="2"/>
      <c r="Q415" s="2"/>
      <c r="R415" s="2"/>
    </row>
    <row r="416" spans="1:18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92"/>
      <c r="L416" s="192"/>
      <c r="M416" s="75"/>
      <c r="N416" s="2"/>
      <c r="O416" s="2"/>
      <c r="P416" s="2"/>
      <c r="Q416" s="2"/>
      <c r="R416" s="2"/>
    </row>
    <row r="417" spans="1:18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92"/>
      <c r="L417" s="192"/>
      <c r="M417" s="75"/>
      <c r="N417" s="2"/>
      <c r="O417" s="2"/>
      <c r="P417" s="2"/>
      <c r="Q417" s="2"/>
      <c r="R417" s="2"/>
    </row>
    <row r="418" spans="1:18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92"/>
      <c r="L418" s="192"/>
      <c r="M418" s="75"/>
      <c r="N418" s="2"/>
      <c r="O418" s="2"/>
      <c r="P418" s="2"/>
      <c r="Q418" s="2"/>
      <c r="R418" s="2"/>
    </row>
    <row r="419" spans="1:18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92"/>
      <c r="L419" s="192"/>
      <c r="M419" s="75"/>
      <c r="N419" s="2"/>
      <c r="O419" s="2"/>
      <c r="P419" s="2"/>
      <c r="Q419" s="2"/>
      <c r="R419" s="2"/>
    </row>
    <row r="420" spans="1:18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92"/>
      <c r="L420" s="192"/>
      <c r="M420" s="75"/>
      <c r="N420" s="2"/>
      <c r="O420" s="2"/>
      <c r="P420" s="2"/>
      <c r="Q420" s="2"/>
      <c r="R420" s="2"/>
    </row>
    <row r="421" spans="1:18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92"/>
      <c r="L421" s="192"/>
      <c r="M421" s="75"/>
      <c r="N421" s="2"/>
      <c r="O421" s="2"/>
      <c r="P421" s="2"/>
      <c r="Q421" s="2"/>
      <c r="R421" s="2"/>
    </row>
    <row r="422" spans="1:18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92"/>
      <c r="L422" s="192"/>
      <c r="M422" s="75"/>
      <c r="N422" s="2"/>
      <c r="O422" s="2"/>
      <c r="P422" s="2"/>
      <c r="Q422" s="2"/>
      <c r="R422" s="2"/>
    </row>
    <row r="423" spans="1:18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92"/>
      <c r="L423" s="192"/>
      <c r="M423" s="75"/>
      <c r="N423" s="2"/>
      <c r="O423" s="2"/>
      <c r="P423" s="2"/>
      <c r="Q423" s="2"/>
      <c r="R423" s="2"/>
    </row>
    <row r="424" spans="1:18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92"/>
      <c r="L424" s="192"/>
      <c r="M424" s="75"/>
      <c r="N424" s="2"/>
      <c r="O424" s="2"/>
      <c r="P424" s="2"/>
      <c r="Q424" s="2"/>
      <c r="R424" s="2"/>
    </row>
    <row r="425" spans="1:18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92"/>
      <c r="L425" s="192"/>
      <c r="M425" s="75"/>
      <c r="N425" s="2"/>
      <c r="O425" s="2"/>
      <c r="P425" s="2"/>
      <c r="Q425" s="2"/>
      <c r="R425" s="2"/>
    </row>
    <row r="426" spans="1:18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92"/>
      <c r="L426" s="192"/>
      <c r="M426" s="75"/>
      <c r="N426" s="2"/>
      <c r="O426" s="2"/>
      <c r="P426" s="2"/>
      <c r="Q426" s="2"/>
      <c r="R426" s="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6" r:id="rId1"/>
  <rowBreaks count="3" manualBreakCount="3">
    <brk id="51" max="12" man="1"/>
    <brk id="95" max="12" man="1"/>
    <brk id="13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showOutlineSymbols="0" zoomScalePageLayoutView="0" workbookViewId="0" topLeftCell="A1">
      <selection activeCell="A4" sqref="A4"/>
    </sheetView>
  </sheetViews>
  <sheetFormatPr defaultColWidth="9.6640625" defaultRowHeight="15"/>
  <cols>
    <col min="1" max="1" width="10.21484375" style="80" customWidth="1"/>
    <col min="2" max="2" width="9.77734375" style="80" customWidth="1"/>
    <col min="3" max="3" width="16.10546875" style="80" customWidth="1"/>
    <col min="4" max="4" width="16.21484375" style="80" customWidth="1"/>
    <col min="5" max="5" width="13.6640625" style="80" customWidth="1"/>
    <col min="6" max="6" width="14.3359375" style="80" customWidth="1"/>
    <col min="7" max="7" width="21.4453125" style="80" customWidth="1"/>
    <col min="8" max="8" width="17.88671875" style="80" customWidth="1"/>
    <col min="9" max="9" width="15.44531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53125" style="80" customWidth="1"/>
    <col min="15" max="15" width="13.88671875" style="80" customWidth="1"/>
    <col min="16" max="16" width="3.77734375" style="80" customWidth="1"/>
    <col min="17" max="16384" width="9.6640625" style="80" customWidth="1"/>
  </cols>
  <sheetData>
    <row r="1" spans="1:15" ht="22.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2.5">
      <c r="A2" s="78" t="s">
        <v>23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2.5">
      <c r="A3" s="282" t="s">
        <v>71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2.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3.25" thickBot="1">
      <c r="A5" s="78" t="s">
        <v>24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5.7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25</v>
      </c>
      <c r="P6" s="83"/>
    </row>
    <row r="7" spans="1:16" ht="15">
      <c r="A7" s="105" t="s">
        <v>26</v>
      </c>
      <c r="B7" s="84" t="s">
        <v>13</v>
      </c>
      <c r="C7" s="84" t="s">
        <v>15</v>
      </c>
      <c r="D7" s="84" t="s">
        <v>56</v>
      </c>
      <c r="E7" s="275" t="s">
        <v>62</v>
      </c>
      <c r="F7" s="84" t="s">
        <v>16</v>
      </c>
      <c r="G7" s="84" t="s">
        <v>61</v>
      </c>
      <c r="H7" s="84" t="s">
        <v>17</v>
      </c>
      <c r="I7" s="84" t="s">
        <v>55</v>
      </c>
      <c r="J7" s="84" t="s">
        <v>27</v>
      </c>
      <c r="K7" s="84" t="s">
        <v>57</v>
      </c>
      <c r="L7" s="84" t="s">
        <v>53</v>
      </c>
      <c r="M7" s="84" t="s">
        <v>19</v>
      </c>
      <c r="N7" s="84" t="s">
        <v>54</v>
      </c>
      <c r="O7" s="84" t="s">
        <v>28</v>
      </c>
      <c r="P7" s="83"/>
    </row>
    <row r="8" spans="1:16" ht="15.75" thickBot="1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" thickTop="1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">
      <c r="A10" s="88">
        <f>DATE(2018,7,1)</f>
        <v>43282</v>
      </c>
      <c r="B10" s="89">
        <f>'MONTHLY STATS'!$C$9*2</f>
        <v>522912</v>
      </c>
      <c r="C10" s="89">
        <f>'MONTHLY STATS'!$C$20*2</f>
        <v>284956</v>
      </c>
      <c r="D10" s="89">
        <f>'MONTHLY STATS'!$C$31*2</f>
        <v>145820</v>
      </c>
      <c r="E10" s="89">
        <f>'MONTHLY STATS'!$C$42*2</f>
        <v>931784</v>
      </c>
      <c r="F10" s="89">
        <f>'MONTHLY STATS'!$C$53*2</f>
        <v>578334</v>
      </c>
      <c r="G10" s="89">
        <f>'MONTHLY STATS'!$C$64*2</f>
        <v>258320</v>
      </c>
      <c r="H10" s="89">
        <f>'MONTHLY STATS'!$C$75*2</f>
        <v>328480</v>
      </c>
      <c r="I10" s="89">
        <f>'MONTHLY STATS'!$C$86*2</f>
        <v>776692</v>
      </c>
      <c r="J10" s="89">
        <f>'MONTHLY STATS'!$C$97*2</f>
        <v>827460</v>
      </c>
      <c r="K10" s="89">
        <f>'MONTHLY STATS'!$C$108*2</f>
        <v>874342</v>
      </c>
      <c r="L10" s="89">
        <f>'MONTHLY STATS'!$C$119*2</f>
        <v>127868</v>
      </c>
      <c r="M10" s="89">
        <f>'MONTHLY STATS'!$C$130*2</f>
        <v>940588</v>
      </c>
      <c r="N10" s="89">
        <f>'MONTHLY STATS'!$C$141*2</f>
        <v>166924</v>
      </c>
      <c r="O10" s="90">
        <f aca="true" t="shared" si="0" ref="O10:O15">SUM(B10:N10)</f>
        <v>6764480</v>
      </c>
      <c r="P10" s="83"/>
    </row>
    <row r="11" spans="1:16" ht="15">
      <c r="A11" s="88">
        <f>DATE(2018,8,1)</f>
        <v>43313</v>
      </c>
      <c r="B11" s="89">
        <f>'MONTHLY STATS'!$C$10*2</f>
        <v>532734</v>
      </c>
      <c r="C11" s="89">
        <f>'MONTHLY STATS'!$C$21*2</f>
        <v>275588</v>
      </c>
      <c r="D11" s="89">
        <f>'MONTHLY STATS'!$C$32*2</f>
        <v>141148</v>
      </c>
      <c r="E11" s="89">
        <f>'MONTHLY STATS'!$C$43*2</f>
        <v>909144</v>
      </c>
      <c r="F11" s="89">
        <f>'MONTHLY STATS'!$C$54*2</f>
        <v>584264</v>
      </c>
      <c r="G11" s="89">
        <f>'MONTHLY STATS'!$C$65*2</f>
        <v>241720</v>
      </c>
      <c r="H11" s="89">
        <f>'MONTHLY STATS'!$C$76*2</f>
        <v>322250</v>
      </c>
      <c r="I11" s="89">
        <f>'MONTHLY STATS'!$C$87*2</f>
        <v>750504</v>
      </c>
      <c r="J11" s="89">
        <f>'MONTHLY STATS'!$C$98*2</f>
        <v>811314</v>
      </c>
      <c r="K11" s="89">
        <f>'MONTHLY STATS'!$C$109*2</f>
        <v>856870</v>
      </c>
      <c r="L11" s="89">
        <f>'MONTHLY STATS'!$C$120*2</f>
        <v>122008</v>
      </c>
      <c r="M11" s="89">
        <f>'MONTHLY STATS'!$C$131*2</f>
        <v>949540</v>
      </c>
      <c r="N11" s="89">
        <f>'MONTHLY STATS'!$C$142*2</f>
        <v>165550</v>
      </c>
      <c r="O11" s="90">
        <f t="shared" si="0"/>
        <v>6662634</v>
      </c>
      <c r="P11" s="83"/>
    </row>
    <row r="12" spans="1:16" ht="15">
      <c r="A12" s="88">
        <f>DATE(2018,9,1)</f>
        <v>43344</v>
      </c>
      <c r="B12" s="89">
        <f>'MONTHLY STATS'!$C$11*2</f>
        <v>527226</v>
      </c>
      <c r="C12" s="89">
        <f>'MONTHLY STATS'!$C$22*2</f>
        <v>274524</v>
      </c>
      <c r="D12" s="89">
        <f>'MONTHLY STATS'!$C$33*2</f>
        <v>136402</v>
      </c>
      <c r="E12" s="89">
        <f>'MONTHLY STATS'!$C$44*2</f>
        <v>801390</v>
      </c>
      <c r="F12" s="89">
        <f>'MONTHLY STATS'!$C$55*2</f>
        <v>585910</v>
      </c>
      <c r="G12" s="89">
        <f>'MONTHLY STATS'!$C$66*2</f>
        <v>259142</v>
      </c>
      <c r="H12" s="89">
        <f>'MONTHLY STATS'!$C$77*2</f>
        <v>308386</v>
      </c>
      <c r="I12" s="89">
        <f>'MONTHLY STATS'!$C$88*2</f>
        <v>720692</v>
      </c>
      <c r="J12" s="89">
        <f>'MONTHLY STATS'!$C$99*2</f>
        <v>773024</v>
      </c>
      <c r="K12" s="89">
        <f>'MONTHLY STATS'!$C$110*2</f>
        <v>860976</v>
      </c>
      <c r="L12" s="89">
        <f>'MONTHLY STATS'!$C$121*2</f>
        <v>114782</v>
      </c>
      <c r="M12" s="89">
        <f>'MONTHLY STATS'!$C$132*2</f>
        <v>878080</v>
      </c>
      <c r="N12" s="89">
        <f>'MONTHLY STATS'!$C$143*2</f>
        <v>154184</v>
      </c>
      <c r="O12" s="90">
        <f t="shared" si="0"/>
        <v>6394718</v>
      </c>
      <c r="P12" s="83"/>
    </row>
    <row r="13" spans="1:16" ht="15">
      <c r="A13" s="88">
        <f>DATE(2018,10,1)</f>
        <v>43374</v>
      </c>
      <c r="B13" s="89">
        <f>'MONTHLY STATS'!$C$12*2</f>
        <v>528486</v>
      </c>
      <c r="C13" s="89">
        <f>'MONTHLY STATS'!$C$23*2</f>
        <v>239874</v>
      </c>
      <c r="D13" s="89">
        <f>'MONTHLY STATS'!$C$34*2</f>
        <v>125608</v>
      </c>
      <c r="E13" s="89">
        <f>'MONTHLY STATS'!$C$45*2</f>
        <v>770770</v>
      </c>
      <c r="F13" s="89">
        <f>'MONTHLY STATS'!$C$56*2</f>
        <v>566214</v>
      </c>
      <c r="G13" s="89">
        <f>'MONTHLY STATS'!$C$67*2</f>
        <v>232470</v>
      </c>
      <c r="H13" s="89">
        <f>'MONTHLY STATS'!$C$78*2</f>
        <v>306350</v>
      </c>
      <c r="I13" s="89">
        <f>'MONTHLY STATS'!$C$89*2</f>
        <v>667538</v>
      </c>
      <c r="J13" s="89">
        <f>'MONTHLY STATS'!$C$100*2</f>
        <v>707714</v>
      </c>
      <c r="K13" s="89">
        <f>'MONTHLY STATS'!$C$111*2</f>
        <v>814702</v>
      </c>
      <c r="L13" s="89">
        <f>'MONTHLY STATS'!$C$122*2</f>
        <v>109940</v>
      </c>
      <c r="M13" s="89">
        <f>'MONTHLY STATS'!$C$133*2</f>
        <v>844574</v>
      </c>
      <c r="N13" s="89">
        <f>'MONTHLY STATS'!$C$144*2</f>
        <v>164446</v>
      </c>
      <c r="O13" s="90">
        <f t="shared" si="0"/>
        <v>6078686</v>
      </c>
      <c r="P13" s="83"/>
    </row>
    <row r="14" spans="1:16" ht="15">
      <c r="A14" s="88">
        <f>DATE(2018,11,1)</f>
        <v>43405</v>
      </c>
      <c r="B14" s="89">
        <f>'MONTHLY STATS'!$C$13*2</f>
        <v>505736</v>
      </c>
      <c r="C14" s="89">
        <f>'MONTHLY STATS'!$C$24*2</f>
        <v>226774</v>
      </c>
      <c r="D14" s="89">
        <f>'MONTHLY STATS'!$C$35*2</f>
        <v>123920</v>
      </c>
      <c r="E14" s="89">
        <f>'MONTHLY STATS'!$C$46*2</f>
        <v>748692</v>
      </c>
      <c r="F14" s="89">
        <f>'MONTHLY STATS'!$C$57*2</f>
        <v>541974</v>
      </c>
      <c r="G14" s="89">
        <f>'MONTHLY STATS'!$C$68*2</f>
        <v>234588</v>
      </c>
      <c r="H14" s="89">
        <f>'MONTHLY STATS'!$C$79*2</f>
        <v>278218</v>
      </c>
      <c r="I14" s="89">
        <f>'MONTHLY STATS'!$C$90*2</f>
        <v>656318</v>
      </c>
      <c r="J14" s="89">
        <f>'MONTHLY STATS'!$C$101*2</f>
        <v>686024</v>
      </c>
      <c r="K14" s="89">
        <f>'MONTHLY STATS'!$C$112*2</f>
        <v>823882</v>
      </c>
      <c r="L14" s="89">
        <f>'MONTHLY STATS'!$C$123*2</f>
        <v>98056</v>
      </c>
      <c r="M14" s="89">
        <f>'MONTHLY STATS'!$C$134*2</f>
        <v>851054</v>
      </c>
      <c r="N14" s="89">
        <f>'MONTHLY STATS'!$C$145*2</f>
        <v>152606</v>
      </c>
      <c r="O14" s="90">
        <f t="shared" si="0"/>
        <v>5927842</v>
      </c>
      <c r="P14" s="83"/>
    </row>
    <row r="15" spans="1:16" ht="15">
      <c r="A15" s="88">
        <f>DATE(2018,12,1)</f>
        <v>43435</v>
      </c>
      <c r="B15" s="89">
        <f>'MONTHLY STATS'!$C$14*2</f>
        <v>575366</v>
      </c>
      <c r="C15" s="89">
        <f>'MONTHLY STATS'!$C$25*2</f>
        <v>261914</v>
      </c>
      <c r="D15" s="89">
        <f>'MONTHLY STATS'!$C$36*2</f>
        <v>135604</v>
      </c>
      <c r="E15" s="89">
        <f>'MONTHLY STATS'!$C$47*2</f>
        <v>824096</v>
      </c>
      <c r="F15" s="89">
        <f>'MONTHLY STATS'!$C$58*2</f>
        <v>614368</v>
      </c>
      <c r="G15" s="89">
        <f>'MONTHLY STATS'!$C$69*2</f>
        <v>282812</v>
      </c>
      <c r="H15" s="89">
        <f>'MONTHLY STATS'!$C$80*2</f>
        <v>319492</v>
      </c>
      <c r="I15" s="89">
        <f>'MONTHLY STATS'!$C$91*2</f>
        <v>718282</v>
      </c>
      <c r="J15" s="89">
        <f>'MONTHLY STATS'!$C$102*2</f>
        <v>808486</v>
      </c>
      <c r="K15" s="89">
        <f>'MONTHLY STATS'!$C$113*2</f>
        <v>945840</v>
      </c>
      <c r="L15" s="89">
        <f>'MONTHLY STATS'!$C$124*2</f>
        <v>116294</v>
      </c>
      <c r="M15" s="89">
        <f>'MONTHLY STATS'!$C$135*2</f>
        <v>961778</v>
      </c>
      <c r="N15" s="89">
        <f>'MONTHLY STATS'!$C$146*2</f>
        <v>171156</v>
      </c>
      <c r="O15" s="90">
        <f t="shared" si="0"/>
        <v>6735488</v>
      </c>
      <c r="P15" s="83"/>
    </row>
    <row r="16" spans="1:16" ht="15">
      <c r="A16" s="88">
        <f>DATE(2019,1,1)</f>
        <v>43466</v>
      </c>
      <c r="B16" s="89">
        <f>'MONTHLY STATS'!$C$15*2</f>
        <v>478572</v>
      </c>
      <c r="C16" s="89">
        <f>'MONTHLY STATS'!$C$26*2</f>
        <v>211408</v>
      </c>
      <c r="D16" s="89">
        <f>'MONTHLY STATS'!$C$37*2</f>
        <v>117486</v>
      </c>
      <c r="E16" s="89">
        <f>'MONTHLY STATS'!$C$48*2</f>
        <v>688058</v>
      </c>
      <c r="F16" s="89">
        <f>'MONTHLY STATS'!$C$59*2</f>
        <v>540938</v>
      </c>
      <c r="G16" s="89">
        <f>'MONTHLY STATS'!$C$70*2</f>
        <v>218668</v>
      </c>
      <c r="H16" s="89">
        <f>'MONTHLY STATS'!$C$81*2</f>
        <v>278602</v>
      </c>
      <c r="I16" s="89">
        <f>'MONTHLY STATS'!$C$92*2</f>
        <v>592116</v>
      </c>
      <c r="J16" s="89">
        <f>'MONTHLY STATS'!$C$103*2</f>
        <v>683976</v>
      </c>
      <c r="K16" s="89">
        <f>'MONTHLY STATS'!$C$114*2</f>
        <v>701034</v>
      </c>
      <c r="L16" s="89">
        <f>'MONTHLY STATS'!$C$125*2</f>
        <v>83514</v>
      </c>
      <c r="M16" s="89">
        <f>'MONTHLY STATS'!$C$136*2</f>
        <v>778150</v>
      </c>
      <c r="N16" s="89">
        <f>'MONTHLY STATS'!$C$147*2</f>
        <v>147536</v>
      </c>
      <c r="O16" s="90">
        <f>SUM(B16:N16)</f>
        <v>5520058</v>
      </c>
      <c r="P16" s="83"/>
    </row>
    <row r="17" spans="1:16" ht="15">
      <c r="A17" s="88">
        <f>DATE(2019,2,1)</f>
        <v>43497</v>
      </c>
      <c r="B17" s="89">
        <f>'MONTHLY STATS'!$C$16*2</f>
        <v>472816</v>
      </c>
      <c r="C17" s="89">
        <f>'MONTHLY STATS'!$C$27*2</f>
        <v>238666</v>
      </c>
      <c r="D17" s="89">
        <f>'MONTHLY STATS'!$C$38*2</f>
        <v>123136</v>
      </c>
      <c r="E17" s="89">
        <f>'MONTHLY STATS'!$C$49*2</f>
        <v>768642</v>
      </c>
      <c r="F17" s="89">
        <f>'MONTHLY STATS'!$C$60*2</f>
        <v>516124</v>
      </c>
      <c r="G17" s="89">
        <f>'MONTHLY STATS'!$C$71*2</f>
        <v>243736</v>
      </c>
      <c r="H17" s="89">
        <f>'MONTHLY STATS'!$C$82*2</f>
        <v>284426</v>
      </c>
      <c r="I17" s="89">
        <f>'MONTHLY STATS'!$C$93*2</f>
        <v>596530</v>
      </c>
      <c r="J17" s="89">
        <f>'MONTHLY STATS'!$C$104*2</f>
        <v>686888</v>
      </c>
      <c r="K17" s="89">
        <f>'MONTHLY STATS'!$C$115*2</f>
        <v>784330</v>
      </c>
      <c r="L17" s="89">
        <f>'MONTHLY STATS'!$C$126*2</f>
        <v>97484</v>
      </c>
      <c r="M17" s="89">
        <f>'MONTHLY STATS'!$C$137*2</f>
        <v>799532</v>
      </c>
      <c r="N17" s="89">
        <f>'MONTHLY STATS'!$C$148*2</f>
        <v>159896</v>
      </c>
      <c r="O17" s="90">
        <f>SUM(B17:N17)</f>
        <v>5772206</v>
      </c>
      <c r="P17" s="83"/>
    </row>
    <row r="18" spans="1:16" ht="1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">
      <c r="A23" s="91" t="s">
        <v>29</v>
      </c>
      <c r="B23" s="90">
        <f aca="true" t="shared" si="1" ref="B23:O23">SUM(B10:B21)</f>
        <v>4143848</v>
      </c>
      <c r="C23" s="90">
        <f t="shared" si="1"/>
        <v>2013704</v>
      </c>
      <c r="D23" s="90">
        <f t="shared" si="1"/>
        <v>1049124</v>
      </c>
      <c r="E23" s="90">
        <f t="shared" si="1"/>
        <v>6442576</v>
      </c>
      <c r="F23" s="90">
        <f t="shared" si="1"/>
        <v>4528126</v>
      </c>
      <c r="G23" s="90">
        <f>SUM(G10:G21)</f>
        <v>1971456</v>
      </c>
      <c r="H23" s="90">
        <f t="shared" si="1"/>
        <v>2426204</v>
      </c>
      <c r="I23" s="90">
        <f>SUM(I10:I21)</f>
        <v>5478672</v>
      </c>
      <c r="J23" s="90">
        <f t="shared" si="1"/>
        <v>5984886</v>
      </c>
      <c r="K23" s="90">
        <f>SUM(K10:K21)</f>
        <v>6661976</v>
      </c>
      <c r="L23" s="90">
        <f t="shared" si="1"/>
        <v>869946</v>
      </c>
      <c r="M23" s="90">
        <f t="shared" si="1"/>
        <v>7003296</v>
      </c>
      <c r="N23" s="90">
        <f t="shared" si="1"/>
        <v>1282298</v>
      </c>
      <c r="O23" s="90">
        <f t="shared" si="1"/>
        <v>49856112</v>
      </c>
      <c r="P23" s="83"/>
    </row>
    <row r="24" spans="1:16" ht="15.75" thickBot="1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5" ht="15" thickTop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5" ht="23.25" thickBot="1">
      <c r="A26" s="96" t="s">
        <v>30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5.75" thickTop="1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25</v>
      </c>
      <c r="P27" s="83"/>
    </row>
    <row r="28" spans="1:16" ht="15">
      <c r="A28" s="105" t="s">
        <v>26</v>
      </c>
      <c r="B28" s="84" t="s">
        <v>13</v>
      </c>
      <c r="C28" s="84" t="s">
        <v>15</v>
      </c>
      <c r="D28" s="84" t="s">
        <v>56</v>
      </c>
      <c r="E28" s="275" t="s">
        <v>62</v>
      </c>
      <c r="F28" s="84" t="s">
        <v>16</v>
      </c>
      <c r="G28" s="84" t="s">
        <v>61</v>
      </c>
      <c r="H28" s="84" t="s">
        <v>17</v>
      </c>
      <c r="I28" s="84" t="s">
        <v>55</v>
      </c>
      <c r="J28" s="84" t="s">
        <v>27</v>
      </c>
      <c r="K28" s="106" t="s">
        <v>57</v>
      </c>
      <c r="L28" s="106" t="s">
        <v>53</v>
      </c>
      <c r="M28" s="106" t="s">
        <v>19</v>
      </c>
      <c r="N28" s="106" t="s">
        <v>54</v>
      </c>
      <c r="O28" s="106" t="s">
        <v>28</v>
      </c>
      <c r="P28" s="83"/>
    </row>
    <row r="29" spans="1:16" ht="15.75" thickBot="1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" thickTop="1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">
      <c r="A31" s="88">
        <f>DATE(2018,7,1)</f>
        <v>43282</v>
      </c>
      <c r="B31" s="89">
        <f>'MONTHLY STATS'!$K$9*0.21</f>
        <v>2808760.5189</v>
      </c>
      <c r="C31" s="89">
        <f>'MONTHLY STATS'!$K$20*0.21</f>
        <v>1548718.5546</v>
      </c>
      <c r="D31" s="89">
        <f>'MONTHLY STATS'!$K$31*0.21</f>
        <v>685642.4085</v>
      </c>
      <c r="E31" s="89">
        <f>'MONTHLY STATS'!$K$42*0.21</f>
        <v>4237819.6182</v>
      </c>
      <c r="F31" s="89">
        <f>'MONTHLY STATS'!$K$53*0.21</f>
        <v>3127962.4383</v>
      </c>
      <c r="G31" s="89">
        <f>'MONTHLY STATS'!$K$64*0.21</f>
        <v>1095967.4355</v>
      </c>
      <c r="H31" s="89">
        <f>'MONTHLY STATS'!$K$75*0.21</f>
        <v>1213029.2600999998</v>
      </c>
      <c r="I31" s="89">
        <f>'MONTHLY STATS'!$K$86*0.21</f>
        <v>2819522.3153999997</v>
      </c>
      <c r="J31" s="89">
        <f>'MONTHLY STATS'!$K$97*0.21</f>
        <v>3702149.0814</v>
      </c>
      <c r="K31" s="89">
        <f>'MONTHLY STATS'!$K$108*0.21</f>
        <v>4113304.1313</v>
      </c>
      <c r="L31" s="89">
        <f>'MONTHLY STATS'!$K$119*0.21</f>
        <v>592155.4359</v>
      </c>
      <c r="M31" s="89">
        <f>'MONTHLY STATS'!$K$130*0.21</f>
        <v>4918106.7138</v>
      </c>
      <c r="N31" s="89">
        <f>'MONTHLY STATS'!$K$141*0.21</f>
        <v>755284.4249999999</v>
      </c>
      <c r="O31" s="90">
        <f aca="true" t="shared" si="2" ref="O31:O36">SUM(B31:N31)</f>
        <v>31618422.3369</v>
      </c>
      <c r="P31" s="83"/>
    </row>
    <row r="32" spans="1:16" ht="15">
      <c r="A32" s="88">
        <f>DATE(2018,8,1)</f>
        <v>43313</v>
      </c>
      <c r="B32" s="89">
        <f>'MONTHLY STATS'!$K$10*0.21</f>
        <v>2931159.3863999997</v>
      </c>
      <c r="C32" s="89">
        <f>'MONTHLY STATS'!$K$21*0.21</f>
        <v>1490706.2645999999</v>
      </c>
      <c r="D32" s="89">
        <f>'MONTHLY STATS'!$K$32*0.21</f>
        <v>656176.9746</v>
      </c>
      <c r="E32" s="89">
        <f>'MONTHLY STATS'!$K$43*0.21</f>
        <v>4286184.1554</v>
      </c>
      <c r="F32" s="89">
        <f>'MONTHLY STATS'!$K$54*0.21</f>
        <v>3063779.8274999997</v>
      </c>
      <c r="G32" s="89">
        <f>'MONTHLY STATS'!$K$65*0.21</f>
        <v>1105283.0607</v>
      </c>
      <c r="H32" s="89">
        <f>'MONTHLY STATS'!$K$76*0.21</f>
        <v>1168175.9922</v>
      </c>
      <c r="I32" s="89">
        <f>'MONTHLY STATS'!$K$87*0.21</f>
        <v>2941388.9526</v>
      </c>
      <c r="J32" s="89">
        <f>'MONTHLY STATS'!$K$98*0.21</f>
        <v>3737965.8162</v>
      </c>
      <c r="K32" s="89">
        <f>'MONTHLY STATS'!$K$109*0.21</f>
        <v>4005327.3666</v>
      </c>
      <c r="L32" s="89">
        <f>'MONTHLY STATS'!$K$120*0.21</f>
        <v>583714.4480999999</v>
      </c>
      <c r="M32" s="89">
        <f>'MONTHLY STATS'!$K$131*0.21</f>
        <v>4995318.575099999</v>
      </c>
      <c r="N32" s="89">
        <f>'MONTHLY STATS'!$K$142*0.21</f>
        <v>764230.7588999999</v>
      </c>
      <c r="O32" s="90">
        <f t="shared" si="2"/>
        <v>31729411.578900002</v>
      </c>
      <c r="P32" s="83"/>
    </row>
    <row r="33" spans="1:16" ht="15">
      <c r="A33" s="88">
        <f>DATE(2018,9,1)</f>
        <v>43344</v>
      </c>
      <c r="B33" s="89">
        <f>'MONTHLY STATS'!$K$11*0.21</f>
        <v>2842581.483</v>
      </c>
      <c r="C33" s="89">
        <f>'MONTHLY STATS'!$K$22*0.21</f>
        <v>1368145.2162</v>
      </c>
      <c r="D33" s="89">
        <f>'MONTHLY STATS'!$K$33*0.21</f>
        <v>656634.2244</v>
      </c>
      <c r="E33" s="89">
        <f>'MONTHLY STATS'!$K$44*0.21</f>
        <v>4079116.23</v>
      </c>
      <c r="F33" s="89">
        <f>'MONTHLY STATS'!$K$55*0.21</f>
        <v>3198835.7646</v>
      </c>
      <c r="G33" s="89">
        <f>'MONTHLY STATS'!$K$66*0.21</f>
        <v>1062033.5712</v>
      </c>
      <c r="H33" s="89">
        <f>'MONTHLY STATS'!$K$77*0.21</f>
        <v>1128829.0229999998</v>
      </c>
      <c r="I33" s="89">
        <f>'MONTHLY STATS'!$K$88*0.21</f>
        <v>2791439.5508999997</v>
      </c>
      <c r="J33" s="89">
        <f>'MONTHLY STATS'!$K$99*0.21</f>
        <v>3486018.837</v>
      </c>
      <c r="K33" s="89">
        <f>'MONTHLY STATS'!$K$110*0.21</f>
        <v>3820579.0245</v>
      </c>
      <c r="L33" s="89">
        <f>'MONTHLY STATS'!$K$121*0.21</f>
        <v>549592.9467</v>
      </c>
      <c r="M33" s="89">
        <f>'MONTHLY STATS'!$K$132*0.21</f>
        <v>4551602.063399999</v>
      </c>
      <c r="N33" s="89">
        <f>'MONTHLY STATS'!$K$143*0.21</f>
        <v>718634.49</v>
      </c>
      <c r="O33" s="90">
        <f t="shared" si="2"/>
        <v>30254042.4249</v>
      </c>
      <c r="P33" s="83"/>
    </row>
    <row r="34" spans="1:16" ht="15">
      <c r="A34" s="88">
        <f>DATE(2018,10,1)</f>
        <v>43374</v>
      </c>
      <c r="B34" s="89">
        <f>'MONTHLY STATS'!$K$12*0.21</f>
        <v>2932705.0998</v>
      </c>
      <c r="C34" s="89">
        <f>'MONTHLY STATS'!$K$23*0.21</f>
        <v>1332895.5927</v>
      </c>
      <c r="D34" s="89">
        <f>'MONTHLY STATS'!$K$34*0.21</f>
        <v>597855.2538</v>
      </c>
      <c r="E34" s="89">
        <f>'MONTHLY STATS'!$K$45*0.21</f>
        <v>3812123.9772</v>
      </c>
      <c r="F34" s="89">
        <f>'MONTHLY STATS'!$K$56*0.21</f>
        <v>3083020.5231</v>
      </c>
      <c r="G34" s="89">
        <f>'MONTHLY STATS'!$K$67*0.21</f>
        <v>1037313.7824</v>
      </c>
      <c r="H34" s="89">
        <f>'MONTHLY STATS'!$K$78*0.21</f>
        <v>1103831.1479999998</v>
      </c>
      <c r="I34" s="89">
        <f>'MONTHLY STATS'!$K$89*0.21</f>
        <v>2792473.4586</v>
      </c>
      <c r="J34" s="89">
        <f>'MONTHLY STATS'!$K$100*0.21</f>
        <v>3165607.3155</v>
      </c>
      <c r="K34" s="89">
        <f>'MONTHLY STATS'!$K$111*0.21</f>
        <v>3519336.1875</v>
      </c>
      <c r="L34" s="89">
        <f>'MONTHLY STATS'!$K$122*0.21</f>
        <v>532447.4147999999</v>
      </c>
      <c r="M34" s="89">
        <f>'MONTHLY STATS'!$K$133*0.21</f>
        <v>4358384.9547</v>
      </c>
      <c r="N34" s="89">
        <f>'MONTHLY STATS'!$K$144*0.21</f>
        <v>712448.7153</v>
      </c>
      <c r="O34" s="90">
        <f t="shared" si="2"/>
        <v>28980443.4234</v>
      </c>
      <c r="P34" s="83"/>
    </row>
    <row r="35" spans="1:16" ht="15">
      <c r="A35" s="88">
        <f>DATE(2018,11,1)</f>
        <v>43405</v>
      </c>
      <c r="B35" s="89">
        <f>'MONTHLY STATS'!$K$13*0.21</f>
        <v>2874984.1974</v>
      </c>
      <c r="C35" s="89">
        <f>'MONTHLY STATS'!$K$24*0.21</f>
        <v>1213355.4699000001</v>
      </c>
      <c r="D35" s="89">
        <f>'MONTHLY STATS'!$K$35*0.21</f>
        <v>598998.7520999999</v>
      </c>
      <c r="E35" s="89">
        <f>'MONTHLY STATS'!$K$46*0.21</f>
        <v>3727875.3497999995</v>
      </c>
      <c r="F35" s="89">
        <f>'MONTHLY STATS'!$K$57*0.21</f>
        <v>2897852.8362000003</v>
      </c>
      <c r="G35" s="89">
        <f>'MONTHLY STATS'!$K$68*0.21</f>
        <v>1029320.0547</v>
      </c>
      <c r="H35" s="89">
        <f>'MONTHLY STATS'!$K$79*0.21</f>
        <v>1065057.3108</v>
      </c>
      <c r="I35" s="89">
        <f>'MONTHLY STATS'!$K$90*0.21</f>
        <v>2691780.5754</v>
      </c>
      <c r="J35" s="89">
        <f>'MONTHLY STATS'!$K$101*0.21</f>
        <v>3111514.0497</v>
      </c>
      <c r="K35" s="89">
        <f>'MONTHLY STATS'!$K$112*0.21</f>
        <v>4096717.6866</v>
      </c>
      <c r="L35" s="89">
        <f>'MONTHLY STATS'!$K$123*0.21</f>
        <v>504987.9849</v>
      </c>
      <c r="M35" s="89">
        <f>'MONTHLY STATS'!$K$134*0.21</f>
        <v>4491364.5399</v>
      </c>
      <c r="N35" s="89">
        <f>'MONTHLY STATS'!$K$145*0.21</f>
        <v>706959.9285</v>
      </c>
      <c r="O35" s="90">
        <f t="shared" si="2"/>
        <v>29010768.735900003</v>
      </c>
      <c r="P35" s="83"/>
    </row>
    <row r="36" spans="1:16" ht="15">
      <c r="A36" s="88">
        <f>DATE(2018,12,1)</f>
        <v>43435</v>
      </c>
      <c r="B36" s="89">
        <f>'MONTHLY STATS'!$K$14*0.21</f>
        <v>3213490.6629</v>
      </c>
      <c r="C36" s="89">
        <f>'MONTHLY STATS'!$K$25*0.21</f>
        <v>1414575.9431999999</v>
      </c>
      <c r="D36" s="89">
        <f>'MONTHLY STATS'!$K$36*0.21</f>
        <v>682107.8145</v>
      </c>
      <c r="E36" s="89">
        <f>'MONTHLY STATS'!$K$47*0.21</f>
        <v>4059527.6378999995</v>
      </c>
      <c r="F36" s="89">
        <f>'MONTHLY STATS'!$K$58*0.21</f>
        <v>3273280.9893</v>
      </c>
      <c r="G36" s="89">
        <f>'MONTHLY STATS'!$K$69*0.21</f>
        <v>1156960.9149</v>
      </c>
      <c r="H36" s="89">
        <f>'MONTHLY STATS'!$K$80*0.21</f>
        <v>1172315.1552</v>
      </c>
      <c r="I36" s="89">
        <f>'MONTHLY STATS'!$K$91*0.21</f>
        <v>2931099.2991</v>
      </c>
      <c r="J36" s="89">
        <f>'MONTHLY STATS'!$K$102*0.21</f>
        <v>3548006.0825999994</v>
      </c>
      <c r="K36" s="89">
        <f>'MONTHLY STATS'!$K$113*0.21</f>
        <v>4317409.861799999</v>
      </c>
      <c r="L36" s="89">
        <f>'MONTHLY STATS'!$K$124*0.21</f>
        <v>548503.9833</v>
      </c>
      <c r="M36" s="89">
        <f>'MONTHLY STATS'!$K$135*0.21</f>
        <v>4838210.307</v>
      </c>
      <c r="N36" s="89">
        <f>'MONTHLY STATS'!$K$146*0.21</f>
        <v>790435.3716</v>
      </c>
      <c r="O36" s="90">
        <f t="shared" si="2"/>
        <v>31945924.0233</v>
      </c>
      <c r="P36" s="83"/>
    </row>
    <row r="37" spans="1:16" ht="15">
      <c r="A37" s="88">
        <f>DATE(2019,1,1)</f>
        <v>43466</v>
      </c>
      <c r="B37" s="89">
        <f>'MONTHLY STATS'!$K$15*0.21</f>
        <v>2622449.7726</v>
      </c>
      <c r="C37" s="89">
        <f>'MONTHLY STATS'!$K$26*0.21</f>
        <v>1092520.7097</v>
      </c>
      <c r="D37" s="89">
        <f>'MONTHLY STATS'!$K$37*0.21</f>
        <v>581745.9585</v>
      </c>
      <c r="E37" s="89">
        <f>'MONTHLY STATS'!$K$48*0.21</f>
        <v>3446640.3551999996</v>
      </c>
      <c r="F37" s="89">
        <f>'MONTHLY STATS'!$K$59*0.21</f>
        <v>2628303.6758999997</v>
      </c>
      <c r="G37" s="89">
        <f>'MONTHLY STATS'!$K$70*0.21</f>
        <v>1002437.9147999999</v>
      </c>
      <c r="H37" s="89">
        <f>'MONTHLY STATS'!$K$81*0.21</f>
        <v>1005572.7800999999</v>
      </c>
      <c r="I37" s="89">
        <f>'MONTHLY STATS'!$K$92*0.21</f>
        <v>2623713.7416000003</v>
      </c>
      <c r="J37" s="89">
        <f>'MONTHLY STATS'!$K$103*0.21</f>
        <v>2961270.2405999997</v>
      </c>
      <c r="K37" s="89">
        <f>'MONTHLY STATS'!$K$114*0.21</f>
        <v>3376836.8823</v>
      </c>
      <c r="L37" s="89">
        <f>'MONTHLY STATS'!$K$125*0.21</f>
        <v>431652.4737</v>
      </c>
      <c r="M37" s="89">
        <f>'MONTHLY STATS'!$K$136*0.21</f>
        <v>4001448.6392999995</v>
      </c>
      <c r="N37" s="89">
        <f>'MONTHLY STATS'!$K$147*0.21</f>
        <v>700345.9532999999</v>
      </c>
      <c r="O37" s="90">
        <f>SUM(B37:N37)</f>
        <v>26474939.0976</v>
      </c>
      <c r="P37" s="83"/>
    </row>
    <row r="38" spans="1:16" ht="15">
      <c r="A38" s="88">
        <f>DATE(2019,2,1)</f>
        <v>43497</v>
      </c>
      <c r="B38" s="89">
        <f>'MONTHLY STATS'!$K$16*0.21</f>
        <v>2623993.1045999997</v>
      </c>
      <c r="C38" s="89">
        <f>'MONTHLY STATS'!$K$27*0.21</f>
        <v>1309996.2687</v>
      </c>
      <c r="D38" s="89">
        <f>'MONTHLY STATS'!$K$38*0.21</f>
        <v>610229.6844</v>
      </c>
      <c r="E38" s="89">
        <f>'MONTHLY STATS'!$K$49*0.21</f>
        <v>3904587.6744</v>
      </c>
      <c r="F38" s="89">
        <f>'MONTHLY STATS'!$K$60*0.21</f>
        <v>2567812.317</v>
      </c>
      <c r="G38" s="89">
        <f>'MONTHLY STATS'!$K$71*0.21</f>
        <v>1068621.8466</v>
      </c>
      <c r="H38" s="89">
        <f>'MONTHLY STATS'!$K$82*0.21</f>
        <v>1091789.7417</v>
      </c>
      <c r="I38" s="89">
        <f>'MONTHLY STATS'!$K$93*0.21</f>
        <v>2572574.9784</v>
      </c>
      <c r="J38" s="89">
        <f>'MONTHLY STATS'!$K$104*0.21</f>
        <v>3136267.9572</v>
      </c>
      <c r="K38" s="89">
        <f>'MONTHLY STATS'!$K$115*0.21</f>
        <v>3665360.6388000003</v>
      </c>
      <c r="L38" s="89">
        <f>'MONTHLY STATS'!$K$126*0.21</f>
        <v>512477.47319999995</v>
      </c>
      <c r="M38" s="89">
        <f>'MONTHLY STATS'!$K$137*0.21</f>
        <v>4387331.7201</v>
      </c>
      <c r="N38" s="89">
        <f>'MONTHLY STATS'!$K$148*0.21</f>
        <v>747519.3263999999</v>
      </c>
      <c r="O38" s="90">
        <f>SUM(B38:N38)</f>
        <v>28198562.7315</v>
      </c>
      <c r="P38" s="83"/>
    </row>
    <row r="39" spans="1:16" ht="1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">
      <c r="A44" s="91" t="s">
        <v>29</v>
      </c>
      <c r="B44" s="90">
        <f aca="true" t="shared" si="3" ref="B44:O44">SUM(B31:B42)</f>
        <v>22850124.2256</v>
      </c>
      <c r="C44" s="90">
        <f t="shared" si="3"/>
        <v>10770914.019599998</v>
      </c>
      <c r="D44" s="90">
        <f t="shared" si="3"/>
        <v>5069391.0708</v>
      </c>
      <c r="E44" s="90">
        <f t="shared" si="3"/>
        <v>31553874.998099998</v>
      </c>
      <c r="F44" s="90">
        <f t="shared" si="3"/>
        <v>23840848.3719</v>
      </c>
      <c r="G44" s="90">
        <f t="shared" si="3"/>
        <v>8557938.5808</v>
      </c>
      <c r="H44" s="90">
        <f t="shared" si="3"/>
        <v>8948600.4111</v>
      </c>
      <c r="I44" s="90">
        <f>SUM(I31:I42)</f>
        <v>22163992.871999998</v>
      </c>
      <c r="J44" s="90">
        <f t="shared" si="3"/>
        <v>26848799.380200006</v>
      </c>
      <c r="K44" s="90">
        <f>SUM(K31:K42)</f>
        <v>30914871.7794</v>
      </c>
      <c r="L44" s="90">
        <f t="shared" si="3"/>
        <v>4255532.1606</v>
      </c>
      <c r="M44" s="90">
        <f t="shared" si="3"/>
        <v>36541767.5133</v>
      </c>
      <c r="N44" s="90">
        <f t="shared" si="3"/>
        <v>5895858.969</v>
      </c>
      <c r="O44" s="90">
        <f t="shared" si="3"/>
        <v>238212514.3524</v>
      </c>
      <c r="P44" s="83"/>
    </row>
    <row r="45" spans="1:16" ht="15.75" thickBot="1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5" ht="15" thickTop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5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5" ht="15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</row>
    <row r="49" spans="1:9" ht="15">
      <c r="A49" s="115" t="s">
        <v>31</v>
      </c>
      <c r="B49" s="98"/>
      <c r="C49" s="98"/>
      <c r="D49" s="98"/>
      <c r="E49" s="98"/>
      <c r="F49" s="98"/>
      <c r="G49" s="98"/>
      <c r="H49" s="98"/>
      <c r="I49" s="98"/>
    </row>
    <row r="50" spans="1:9" ht="15">
      <c r="A50" s="115"/>
      <c r="B50" s="98"/>
      <c r="C50" s="98"/>
      <c r="D50" s="98"/>
      <c r="E50" s="98"/>
      <c r="F50" s="98"/>
      <c r="G50" s="98"/>
      <c r="H50" s="98"/>
      <c r="I50" s="98"/>
    </row>
    <row r="51" ht="15">
      <c r="A51" s="72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7"/>
  <sheetViews>
    <sheetView showOutlineSymbols="0" zoomScalePageLayoutView="0" workbookViewId="0" topLeftCell="A112">
      <selection activeCell="A140" sqref="A140"/>
    </sheetView>
  </sheetViews>
  <sheetFormatPr defaultColWidth="9.6640625" defaultRowHeight="15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 customWidth="1"/>
  </cols>
  <sheetData>
    <row r="1" spans="1:7" ht="17.25">
      <c r="A1" s="116" t="s">
        <v>0</v>
      </c>
      <c r="B1" s="117"/>
      <c r="C1" s="200"/>
      <c r="D1" s="200"/>
      <c r="E1" s="200"/>
      <c r="F1" s="117"/>
      <c r="G1" s="210"/>
    </row>
    <row r="2" spans="1:7" ht="18" customHeight="1">
      <c r="A2" s="119" t="s">
        <v>32</v>
      </c>
      <c r="B2" s="117"/>
      <c r="C2" s="200"/>
      <c r="D2" s="200"/>
      <c r="E2" s="200"/>
      <c r="F2" s="117"/>
      <c r="G2" s="210"/>
    </row>
    <row r="3" spans="1:7" ht="18" customHeight="1">
      <c r="A3" s="283" t="s">
        <v>72</v>
      </c>
      <c r="B3" s="117"/>
      <c r="C3" s="200"/>
      <c r="D3" s="200"/>
      <c r="E3" s="200"/>
      <c r="F3" s="117"/>
      <c r="G3" s="210"/>
    </row>
    <row r="4" spans="1:7" ht="15">
      <c r="A4" s="284" t="s">
        <v>73</v>
      </c>
      <c r="B4" s="117"/>
      <c r="C4" s="200"/>
      <c r="D4" s="200"/>
      <c r="E4" s="200"/>
      <c r="F4" s="117"/>
      <c r="G4" s="210"/>
    </row>
    <row r="5" spans="1:7" ht="15">
      <c r="A5" s="117"/>
      <c r="B5" s="117"/>
      <c r="C5" s="200"/>
      <c r="D5" s="200"/>
      <c r="E5" s="200"/>
      <c r="F5" s="117"/>
      <c r="G5" s="211" t="s">
        <v>1</v>
      </c>
    </row>
    <row r="6" spans="1:8" ht="15.75" thickTop="1">
      <c r="A6" s="120"/>
      <c r="B6" s="121" t="s">
        <v>2</v>
      </c>
      <c r="C6" s="201" t="s">
        <v>33</v>
      </c>
      <c r="D6" s="201" t="s">
        <v>33</v>
      </c>
      <c r="E6" s="201" t="s">
        <v>3</v>
      </c>
      <c r="F6" s="122"/>
      <c r="G6" s="212" t="s">
        <v>34</v>
      </c>
      <c r="H6" s="123"/>
    </row>
    <row r="7" spans="1:8" ht="15.75" thickBot="1">
      <c r="A7" s="124" t="s">
        <v>5</v>
      </c>
      <c r="B7" s="125" t="s">
        <v>6</v>
      </c>
      <c r="C7" s="262" t="s">
        <v>35</v>
      </c>
      <c r="D7" s="202" t="s">
        <v>36</v>
      </c>
      <c r="E7" s="202" t="s">
        <v>36</v>
      </c>
      <c r="F7" s="126" t="s">
        <v>8</v>
      </c>
      <c r="G7" s="213" t="s">
        <v>37</v>
      </c>
      <c r="H7" s="123"/>
    </row>
    <row r="8" spans="1:8" ht="15.75" customHeight="1" thickTop="1">
      <c r="A8" s="127"/>
      <c r="B8" s="128"/>
      <c r="C8" s="203"/>
      <c r="D8" s="203"/>
      <c r="E8" s="203"/>
      <c r="F8" s="129"/>
      <c r="G8" s="214"/>
      <c r="H8" s="123"/>
    </row>
    <row r="9" spans="1:8" ht="15">
      <c r="A9" s="130" t="s">
        <v>38</v>
      </c>
      <c r="B9" s="131">
        <f>DATE(2018,7,1)</f>
        <v>43282</v>
      </c>
      <c r="C9" s="204">
        <v>10277324</v>
      </c>
      <c r="D9" s="204">
        <v>1826329</v>
      </c>
      <c r="E9" s="204">
        <v>1744231.98</v>
      </c>
      <c r="F9" s="132">
        <f aca="true" t="shared" si="0" ref="F9:F16">(+D9-E9)/E9</f>
        <v>0.04706771859555059</v>
      </c>
      <c r="G9" s="215">
        <f aca="true" t="shared" si="1" ref="G9:G16">D9/C9</f>
        <v>0.17770472157927492</v>
      </c>
      <c r="H9" s="123"/>
    </row>
    <row r="10" spans="1:8" ht="15">
      <c r="A10" s="130"/>
      <c r="B10" s="131">
        <f>DATE(2018,8,1)</f>
        <v>43313</v>
      </c>
      <c r="C10" s="204">
        <v>10565544</v>
      </c>
      <c r="D10" s="204">
        <v>1679235.5</v>
      </c>
      <c r="E10" s="204">
        <v>1558308</v>
      </c>
      <c r="F10" s="132">
        <f t="shared" si="0"/>
        <v>0.07760179630727687</v>
      </c>
      <c r="G10" s="215">
        <f t="shared" si="1"/>
        <v>0.15893507234459484</v>
      </c>
      <c r="H10" s="123"/>
    </row>
    <row r="11" spans="1:8" ht="15">
      <c r="A11" s="130"/>
      <c r="B11" s="131">
        <f>DATE(2018,9,1)</f>
        <v>43344</v>
      </c>
      <c r="C11" s="204">
        <v>9926032</v>
      </c>
      <c r="D11" s="204">
        <v>2056251</v>
      </c>
      <c r="E11" s="204">
        <v>1764006.5</v>
      </c>
      <c r="F11" s="132">
        <f t="shared" si="0"/>
        <v>0.1656708747955294</v>
      </c>
      <c r="G11" s="215">
        <f t="shared" si="1"/>
        <v>0.20715740187015314</v>
      </c>
      <c r="H11" s="123"/>
    </row>
    <row r="12" spans="1:8" ht="15">
      <c r="A12" s="130"/>
      <c r="B12" s="131">
        <f>DATE(2018,10,1)</f>
        <v>43374</v>
      </c>
      <c r="C12" s="204">
        <v>10436409</v>
      </c>
      <c r="D12" s="204">
        <v>2198521</v>
      </c>
      <c r="E12" s="204">
        <v>1651958.5</v>
      </c>
      <c r="F12" s="132">
        <f t="shared" si="0"/>
        <v>0.3308572824317318</v>
      </c>
      <c r="G12" s="215">
        <f t="shared" si="1"/>
        <v>0.21065876203203612</v>
      </c>
      <c r="H12" s="123"/>
    </row>
    <row r="13" spans="1:8" ht="15">
      <c r="A13" s="130"/>
      <c r="B13" s="131">
        <f>DATE(2018,11,1)</f>
        <v>43405</v>
      </c>
      <c r="C13" s="204">
        <v>10530469.5</v>
      </c>
      <c r="D13" s="204">
        <v>2373996</v>
      </c>
      <c r="E13" s="204">
        <v>2257240.5</v>
      </c>
      <c r="F13" s="132">
        <f t="shared" si="0"/>
        <v>0.051724882660930456</v>
      </c>
      <c r="G13" s="215">
        <f t="shared" si="1"/>
        <v>0.22544066055174464</v>
      </c>
      <c r="H13" s="123"/>
    </row>
    <row r="14" spans="1:8" ht="15">
      <c r="A14" s="130"/>
      <c r="B14" s="131">
        <f>DATE(2018,12,1)</f>
        <v>43435</v>
      </c>
      <c r="C14" s="204">
        <v>11926428</v>
      </c>
      <c r="D14" s="204">
        <v>2548450</v>
      </c>
      <c r="E14" s="204">
        <v>1815083.5</v>
      </c>
      <c r="F14" s="132">
        <f t="shared" si="0"/>
        <v>0.4040400896157119</v>
      </c>
      <c r="G14" s="215">
        <f t="shared" si="1"/>
        <v>0.21368091099866615</v>
      </c>
      <c r="H14" s="123"/>
    </row>
    <row r="15" spans="1:8" ht="15">
      <c r="A15" s="130"/>
      <c r="B15" s="131">
        <f>DATE(2019,1,1)</f>
        <v>43466</v>
      </c>
      <c r="C15" s="204">
        <v>10847299</v>
      </c>
      <c r="D15" s="204">
        <v>2049686.5</v>
      </c>
      <c r="E15" s="204">
        <v>1650734.5</v>
      </c>
      <c r="F15" s="132">
        <f t="shared" si="0"/>
        <v>0.24168150602050179</v>
      </c>
      <c r="G15" s="215">
        <f t="shared" si="1"/>
        <v>0.18895823743772527</v>
      </c>
      <c r="H15" s="123"/>
    </row>
    <row r="16" spans="1:8" ht="15">
      <c r="A16" s="130"/>
      <c r="B16" s="131">
        <f>DATE(2019,2,1)</f>
        <v>43497</v>
      </c>
      <c r="C16" s="204">
        <v>9528168</v>
      </c>
      <c r="D16" s="204">
        <v>1917312.5</v>
      </c>
      <c r="E16" s="204">
        <v>2102175.5</v>
      </c>
      <c r="F16" s="132">
        <f t="shared" si="0"/>
        <v>-0.08793889948769738</v>
      </c>
      <c r="G16" s="215">
        <f t="shared" si="1"/>
        <v>0.20122572355987006</v>
      </c>
      <c r="H16" s="123"/>
    </row>
    <row r="17" spans="1:8" ht="15" thickBot="1">
      <c r="A17" s="133"/>
      <c r="B17" s="134"/>
      <c r="C17" s="204"/>
      <c r="D17" s="204"/>
      <c r="E17" s="204"/>
      <c r="F17" s="132"/>
      <c r="G17" s="215"/>
      <c r="H17" s="123"/>
    </row>
    <row r="18" spans="1:8" ht="16.5" thickBot="1" thickTop="1">
      <c r="A18" s="135" t="s">
        <v>14</v>
      </c>
      <c r="B18" s="136"/>
      <c r="C18" s="201">
        <f>SUM(C9:C17)</f>
        <v>84037673.5</v>
      </c>
      <c r="D18" s="201">
        <f>SUM(D9:D17)</f>
        <v>16649781.5</v>
      </c>
      <c r="E18" s="201">
        <f>SUM(E9:E17)</f>
        <v>14543738.98</v>
      </c>
      <c r="F18" s="137">
        <f>(+D18-E18)/E18</f>
        <v>0.14480750258899378</v>
      </c>
      <c r="G18" s="212">
        <f>D18/C18</f>
        <v>0.19812282761492678</v>
      </c>
      <c r="H18" s="123"/>
    </row>
    <row r="19" spans="1:8" ht="15.75" customHeight="1" thickTop="1">
      <c r="A19" s="138"/>
      <c r="B19" s="139"/>
      <c r="C19" s="205"/>
      <c r="D19" s="205"/>
      <c r="E19" s="205"/>
      <c r="F19" s="140"/>
      <c r="G19" s="216"/>
      <c r="H19" s="123"/>
    </row>
    <row r="20" spans="1:8" ht="15">
      <c r="A20" s="19" t="s">
        <v>15</v>
      </c>
      <c r="B20" s="131">
        <f>DATE(2018,7,1)</f>
        <v>43282</v>
      </c>
      <c r="C20" s="204">
        <v>2618283</v>
      </c>
      <c r="D20" s="204">
        <v>544502.5</v>
      </c>
      <c r="E20" s="204">
        <v>642088</v>
      </c>
      <c r="F20" s="132">
        <f aca="true" t="shared" si="2" ref="F20:F27">(+D20-E20)/E20</f>
        <v>-0.15198150409289693</v>
      </c>
      <c r="G20" s="215">
        <f aca="true" t="shared" si="3" ref="G20:G27">D20/C20</f>
        <v>0.2079616680091495</v>
      </c>
      <c r="H20" s="123"/>
    </row>
    <row r="21" spans="1:8" ht="15">
      <c r="A21" s="19"/>
      <c r="B21" s="131">
        <f>DATE(2018,8,1)</f>
        <v>43313</v>
      </c>
      <c r="C21" s="204">
        <v>2865412</v>
      </c>
      <c r="D21" s="204">
        <v>656165</v>
      </c>
      <c r="E21" s="204">
        <v>490413</v>
      </c>
      <c r="F21" s="132">
        <f t="shared" si="2"/>
        <v>0.3379845150923813</v>
      </c>
      <c r="G21" s="215">
        <f t="shared" si="3"/>
        <v>0.22899499269215037</v>
      </c>
      <c r="H21" s="123"/>
    </row>
    <row r="22" spans="1:8" ht="15">
      <c r="A22" s="19"/>
      <c r="B22" s="131">
        <f>DATE(2018,9,1)</f>
        <v>43344</v>
      </c>
      <c r="C22" s="204">
        <v>2858660</v>
      </c>
      <c r="D22" s="204">
        <v>251895.5</v>
      </c>
      <c r="E22" s="204">
        <v>534707</v>
      </c>
      <c r="F22" s="132">
        <f t="shared" si="2"/>
        <v>-0.5289092905086337</v>
      </c>
      <c r="G22" s="215">
        <f t="shared" si="3"/>
        <v>0.08811663506677954</v>
      </c>
      <c r="H22" s="123"/>
    </row>
    <row r="23" spans="1:8" ht="15">
      <c r="A23" s="19"/>
      <c r="B23" s="131">
        <f>DATE(2018,10,1)</f>
        <v>43374</v>
      </c>
      <c r="C23" s="204">
        <v>2984353</v>
      </c>
      <c r="D23" s="204">
        <v>763257.5</v>
      </c>
      <c r="E23" s="204">
        <v>515461.5</v>
      </c>
      <c r="F23" s="132">
        <f t="shared" si="2"/>
        <v>0.4807264946072597</v>
      </c>
      <c r="G23" s="215">
        <f t="shared" si="3"/>
        <v>0.2557530895306286</v>
      </c>
      <c r="H23" s="123"/>
    </row>
    <row r="24" spans="1:8" ht="15">
      <c r="A24" s="19"/>
      <c r="B24" s="131">
        <f>DATE(2018,11,1)</f>
        <v>43405</v>
      </c>
      <c r="C24" s="204">
        <v>2329326</v>
      </c>
      <c r="D24" s="204">
        <v>497141.5</v>
      </c>
      <c r="E24" s="204">
        <v>483129.5</v>
      </c>
      <c r="F24" s="132">
        <f t="shared" si="2"/>
        <v>0.02900257591391128</v>
      </c>
      <c r="G24" s="215">
        <f t="shared" si="3"/>
        <v>0.2134271888091233</v>
      </c>
      <c r="H24" s="123"/>
    </row>
    <row r="25" spans="1:8" ht="15">
      <c r="A25" s="19"/>
      <c r="B25" s="131">
        <f>DATE(2018,12,1)</f>
        <v>43435</v>
      </c>
      <c r="C25" s="204">
        <v>2494748</v>
      </c>
      <c r="D25" s="204">
        <v>725952.5</v>
      </c>
      <c r="E25" s="204">
        <v>648728</v>
      </c>
      <c r="F25" s="132">
        <f t="shared" si="2"/>
        <v>0.11903987495529714</v>
      </c>
      <c r="G25" s="215">
        <f t="shared" si="3"/>
        <v>0.2909923166588369</v>
      </c>
      <c r="H25" s="123"/>
    </row>
    <row r="26" spans="1:8" ht="15">
      <c r="A26" s="19"/>
      <c r="B26" s="131">
        <f>DATE(2019,1,1)</f>
        <v>43466</v>
      </c>
      <c r="C26" s="204">
        <v>2141791</v>
      </c>
      <c r="D26" s="204">
        <v>538538</v>
      </c>
      <c r="E26" s="204">
        <v>641885</v>
      </c>
      <c r="F26" s="132">
        <f t="shared" si="2"/>
        <v>-0.1610054760587956</v>
      </c>
      <c r="G26" s="215">
        <f t="shared" si="3"/>
        <v>0.2514428345249373</v>
      </c>
      <c r="H26" s="123"/>
    </row>
    <row r="27" spans="1:8" ht="15">
      <c r="A27" s="19"/>
      <c r="B27" s="131">
        <f>DATE(2019,2,1)</f>
        <v>43497</v>
      </c>
      <c r="C27" s="204">
        <v>2348089</v>
      </c>
      <c r="D27" s="204">
        <v>807451</v>
      </c>
      <c r="E27" s="204">
        <v>529004</v>
      </c>
      <c r="F27" s="132">
        <f t="shared" si="2"/>
        <v>0.5263608592751662</v>
      </c>
      <c r="G27" s="215">
        <f t="shared" si="3"/>
        <v>0.34387580709249094</v>
      </c>
      <c r="H27" s="123"/>
    </row>
    <row r="28" spans="1:8" ht="15" thickBot="1">
      <c r="A28" s="133"/>
      <c r="B28" s="131"/>
      <c r="C28" s="204"/>
      <c r="D28" s="204"/>
      <c r="E28" s="204"/>
      <c r="F28" s="132"/>
      <c r="G28" s="215"/>
      <c r="H28" s="123"/>
    </row>
    <row r="29" spans="1:8" ht="16.5" thickBot="1" thickTop="1">
      <c r="A29" s="135" t="s">
        <v>14</v>
      </c>
      <c r="B29" s="136"/>
      <c r="C29" s="201">
        <f>SUM(C20:C28)</f>
        <v>20640662</v>
      </c>
      <c r="D29" s="201">
        <f>SUM(D20:D28)</f>
        <v>4784903.5</v>
      </c>
      <c r="E29" s="201">
        <f>SUM(E20:E28)</f>
        <v>4485416</v>
      </c>
      <c r="F29" s="137">
        <f>(+D29-E29)/E29</f>
        <v>0.06676916923647662</v>
      </c>
      <c r="G29" s="212">
        <f>D29/C29</f>
        <v>0.23181928467216797</v>
      </c>
      <c r="H29" s="123"/>
    </row>
    <row r="30" spans="1:8" ht="15.75" customHeight="1" thickTop="1">
      <c r="A30" s="255"/>
      <c r="B30" s="139"/>
      <c r="C30" s="205"/>
      <c r="D30" s="205"/>
      <c r="E30" s="205"/>
      <c r="F30" s="140"/>
      <c r="G30" s="219"/>
      <c r="H30" s="123"/>
    </row>
    <row r="31" spans="1:8" ht="15">
      <c r="A31" s="19" t="s">
        <v>56</v>
      </c>
      <c r="B31" s="131">
        <f>DATE(2018,7,1)</f>
        <v>43282</v>
      </c>
      <c r="C31" s="204">
        <v>1379575</v>
      </c>
      <c r="D31" s="204">
        <v>373264</v>
      </c>
      <c r="E31" s="204">
        <v>330815.5</v>
      </c>
      <c r="F31" s="132">
        <f aca="true" t="shared" si="4" ref="F31:F38">(+D31-E31)/E31</f>
        <v>0.12831472527738272</v>
      </c>
      <c r="G31" s="215">
        <f aca="true" t="shared" si="5" ref="G31:G38">D31/C31</f>
        <v>0.27056448543935635</v>
      </c>
      <c r="H31" s="123"/>
    </row>
    <row r="32" spans="1:8" ht="15">
      <c r="A32" s="19"/>
      <c r="B32" s="131">
        <f>DATE(2018,8,1)</f>
        <v>43313</v>
      </c>
      <c r="C32" s="204">
        <v>1464999</v>
      </c>
      <c r="D32" s="204">
        <v>339140.5</v>
      </c>
      <c r="E32" s="204">
        <v>326287.5</v>
      </c>
      <c r="F32" s="132">
        <f t="shared" si="4"/>
        <v>0.03939164080757001</v>
      </c>
      <c r="G32" s="215">
        <f t="shared" si="5"/>
        <v>0.23149537986032756</v>
      </c>
      <c r="H32" s="123"/>
    </row>
    <row r="33" spans="1:8" ht="15">
      <c r="A33" s="19"/>
      <c r="B33" s="131">
        <f>DATE(2018,9,1)</f>
        <v>43344</v>
      </c>
      <c r="C33" s="204">
        <v>1388620</v>
      </c>
      <c r="D33" s="204">
        <v>349109</v>
      </c>
      <c r="E33" s="204">
        <v>453438</v>
      </c>
      <c r="F33" s="132">
        <f t="shared" si="4"/>
        <v>-0.2300843775775299</v>
      </c>
      <c r="G33" s="215">
        <f t="shared" si="5"/>
        <v>0.2514071524247094</v>
      </c>
      <c r="H33" s="123"/>
    </row>
    <row r="34" spans="1:8" ht="15">
      <c r="A34" s="19"/>
      <c r="B34" s="131">
        <f>DATE(2018,10,1)</f>
        <v>43374</v>
      </c>
      <c r="C34" s="204">
        <v>1282080</v>
      </c>
      <c r="D34" s="204">
        <v>213321.5</v>
      </c>
      <c r="E34" s="204">
        <v>325504</v>
      </c>
      <c r="F34" s="132">
        <f t="shared" si="4"/>
        <v>-0.34464246215100275</v>
      </c>
      <c r="G34" s="215">
        <f t="shared" si="5"/>
        <v>0.16638704293023837</v>
      </c>
      <c r="H34" s="123"/>
    </row>
    <row r="35" spans="1:8" ht="15">
      <c r="A35" s="19"/>
      <c r="B35" s="131">
        <f>DATE(2018,11,1)</f>
        <v>43405</v>
      </c>
      <c r="C35" s="204">
        <v>1337192</v>
      </c>
      <c r="D35" s="204">
        <v>301353.5</v>
      </c>
      <c r="E35" s="204">
        <v>300283</v>
      </c>
      <c r="F35" s="132">
        <f t="shared" si="4"/>
        <v>0.003564970377943473</v>
      </c>
      <c r="G35" s="215">
        <f t="shared" si="5"/>
        <v>0.22536292469592997</v>
      </c>
      <c r="H35" s="123"/>
    </row>
    <row r="36" spans="1:8" ht="15">
      <c r="A36" s="19"/>
      <c r="B36" s="131">
        <f>DATE(2018,12,1)</f>
        <v>43435</v>
      </c>
      <c r="C36" s="204">
        <v>1480704</v>
      </c>
      <c r="D36" s="204">
        <v>461887</v>
      </c>
      <c r="E36" s="204">
        <v>366330</v>
      </c>
      <c r="F36" s="132">
        <f t="shared" si="4"/>
        <v>0.26084950727486145</v>
      </c>
      <c r="G36" s="215">
        <f t="shared" si="5"/>
        <v>0.3119374297631397</v>
      </c>
      <c r="H36" s="123"/>
    </row>
    <row r="37" spans="1:8" ht="15">
      <c r="A37" s="19"/>
      <c r="B37" s="131">
        <f>DATE(2019,1,1)</f>
        <v>43466</v>
      </c>
      <c r="C37" s="204">
        <v>1207249</v>
      </c>
      <c r="D37" s="204">
        <v>327327.5</v>
      </c>
      <c r="E37" s="204">
        <v>337127.5</v>
      </c>
      <c r="F37" s="132">
        <f t="shared" si="4"/>
        <v>-0.02906912073325374</v>
      </c>
      <c r="G37" s="215">
        <f t="shared" si="5"/>
        <v>0.27113503510874726</v>
      </c>
      <c r="H37" s="123"/>
    </row>
    <row r="38" spans="1:8" ht="15">
      <c r="A38" s="19"/>
      <c r="B38" s="131">
        <f>DATE(2019,2,1)</f>
        <v>43497</v>
      </c>
      <c r="C38" s="204">
        <v>1297488</v>
      </c>
      <c r="D38" s="204">
        <v>275261</v>
      </c>
      <c r="E38" s="204">
        <v>389142.5</v>
      </c>
      <c r="F38" s="132">
        <f t="shared" si="4"/>
        <v>-0.2926472950140373</v>
      </c>
      <c r="G38" s="215">
        <f t="shared" si="5"/>
        <v>0.21214916823893554</v>
      </c>
      <c r="H38" s="123"/>
    </row>
    <row r="39" spans="1:8" ht="15" thickBot="1">
      <c r="A39" s="133"/>
      <c r="B39" s="131"/>
      <c r="C39" s="204"/>
      <c r="D39" s="204"/>
      <c r="E39" s="204"/>
      <c r="F39" s="132"/>
      <c r="G39" s="215"/>
      <c r="H39" s="123"/>
    </row>
    <row r="40" spans="1:8" ht="16.5" thickBot="1" thickTop="1">
      <c r="A40" s="141" t="s">
        <v>14</v>
      </c>
      <c r="B40" s="142"/>
      <c r="C40" s="206">
        <f>SUM(C31:C39)</f>
        <v>10837907</v>
      </c>
      <c r="D40" s="206">
        <f>SUM(D31:D39)</f>
        <v>2640664</v>
      </c>
      <c r="E40" s="206">
        <f>SUM(E31:E39)</f>
        <v>2828928</v>
      </c>
      <c r="F40" s="143">
        <f>(+D40-E40)/E40</f>
        <v>-0.06654959051626623</v>
      </c>
      <c r="G40" s="217">
        <f>D40/C40</f>
        <v>0.2436507344084056</v>
      </c>
      <c r="H40" s="123"/>
    </row>
    <row r="41" spans="1:8" ht="15" thickTop="1">
      <c r="A41" s="133"/>
      <c r="B41" s="134"/>
      <c r="C41" s="204"/>
      <c r="D41" s="204"/>
      <c r="E41" s="204"/>
      <c r="F41" s="132"/>
      <c r="G41" s="218"/>
      <c r="H41" s="123"/>
    </row>
    <row r="42" spans="1:8" ht="15">
      <c r="A42" s="177" t="s">
        <v>65</v>
      </c>
      <c r="B42" s="131">
        <f>DATE(2018,7,1)</f>
        <v>43282</v>
      </c>
      <c r="C42" s="204">
        <v>14770922.01</v>
      </c>
      <c r="D42" s="204">
        <v>2640847.24</v>
      </c>
      <c r="E42" s="204">
        <v>3444933.46</v>
      </c>
      <c r="F42" s="132">
        <f aca="true" t="shared" si="6" ref="F42:F49">(+D42-E42)/E42</f>
        <v>-0.23341124852960143</v>
      </c>
      <c r="G42" s="215">
        <f aca="true" t="shared" si="7" ref="G42:G49">D42/C42</f>
        <v>0.17878689212576787</v>
      </c>
      <c r="H42" s="123"/>
    </row>
    <row r="43" spans="1:8" ht="15">
      <c r="A43" s="177"/>
      <c r="B43" s="131">
        <f>DATE(2018,8,1)</f>
        <v>43313</v>
      </c>
      <c r="C43" s="204">
        <v>14974767</v>
      </c>
      <c r="D43" s="204">
        <v>3019576.86</v>
      </c>
      <c r="E43" s="204">
        <v>2738890.99</v>
      </c>
      <c r="F43" s="132">
        <f t="shared" si="6"/>
        <v>0.10248157777173877</v>
      </c>
      <c r="G43" s="215">
        <f t="shared" si="7"/>
        <v>0.20164433009208088</v>
      </c>
      <c r="H43" s="123"/>
    </row>
    <row r="44" spans="1:8" ht="15">
      <c r="A44" s="177"/>
      <c r="B44" s="131">
        <f>DATE(2018,9,1)</f>
        <v>43344</v>
      </c>
      <c r="C44" s="204">
        <v>13265110.25</v>
      </c>
      <c r="D44" s="204">
        <v>3074145.25</v>
      </c>
      <c r="E44" s="204">
        <v>3077099.69</v>
      </c>
      <c r="F44" s="132">
        <f t="shared" si="6"/>
        <v>-0.0009601378888052679</v>
      </c>
      <c r="G44" s="215">
        <f t="shared" si="7"/>
        <v>0.23174667922567774</v>
      </c>
      <c r="H44" s="123"/>
    </row>
    <row r="45" spans="1:8" ht="15">
      <c r="A45" s="177"/>
      <c r="B45" s="131">
        <f>DATE(2018,10,1)</f>
        <v>43374</v>
      </c>
      <c r="C45" s="204">
        <v>12792793</v>
      </c>
      <c r="D45" s="204">
        <v>2577292.69</v>
      </c>
      <c r="E45" s="204">
        <v>2596719.93</v>
      </c>
      <c r="F45" s="132">
        <f t="shared" si="6"/>
        <v>-0.0074814537276648935</v>
      </c>
      <c r="G45" s="215">
        <f t="shared" si="7"/>
        <v>0.20146442532135087</v>
      </c>
      <c r="H45" s="123"/>
    </row>
    <row r="46" spans="1:8" ht="15">
      <c r="A46" s="177"/>
      <c r="B46" s="131">
        <f>DATE(2018,11,1)</f>
        <v>43405</v>
      </c>
      <c r="C46" s="204">
        <v>12986186</v>
      </c>
      <c r="D46" s="204">
        <v>2885158.69</v>
      </c>
      <c r="E46" s="204">
        <v>2954256.04</v>
      </c>
      <c r="F46" s="132">
        <f t="shared" si="6"/>
        <v>-0.02338908647877389</v>
      </c>
      <c r="G46" s="215">
        <f t="shared" si="7"/>
        <v>0.22217136655827968</v>
      </c>
      <c r="H46" s="123"/>
    </row>
    <row r="47" spans="1:8" ht="15">
      <c r="A47" s="177"/>
      <c r="B47" s="131">
        <f>DATE(2018,12,1)</f>
        <v>43435</v>
      </c>
      <c r="C47" s="204">
        <v>14981777</v>
      </c>
      <c r="D47" s="204">
        <v>2894970.85</v>
      </c>
      <c r="E47" s="204">
        <v>3254600.78</v>
      </c>
      <c r="F47" s="132">
        <f t="shared" si="6"/>
        <v>-0.11049893806023108</v>
      </c>
      <c r="G47" s="215">
        <f t="shared" si="7"/>
        <v>0.1932328087649416</v>
      </c>
      <c r="H47" s="123"/>
    </row>
    <row r="48" spans="1:8" ht="15">
      <c r="A48" s="177"/>
      <c r="B48" s="131">
        <f>DATE(2019,1,1)</f>
        <v>43466</v>
      </c>
      <c r="C48" s="204">
        <v>13538543</v>
      </c>
      <c r="D48" s="204">
        <v>2972641.43</v>
      </c>
      <c r="E48" s="204">
        <v>3015386.15</v>
      </c>
      <c r="F48" s="132">
        <f t="shared" si="6"/>
        <v>-0.014175537683622955</v>
      </c>
      <c r="G48" s="215">
        <f t="shared" si="7"/>
        <v>0.21956878446964345</v>
      </c>
      <c r="H48" s="123"/>
    </row>
    <row r="49" spans="1:8" ht="15">
      <c r="A49" s="177"/>
      <c r="B49" s="131">
        <f>DATE(2019,2,1)</f>
        <v>43497</v>
      </c>
      <c r="C49" s="204">
        <v>13878631.47</v>
      </c>
      <c r="D49" s="204">
        <v>3194583.97</v>
      </c>
      <c r="E49" s="204">
        <v>2470968.89</v>
      </c>
      <c r="F49" s="132">
        <f t="shared" si="6"/>
        <v>0.2928466978797131</v>
      </c>
      <c r="G49" s="215">
        <f t="shared" si="7"/>
        <v>0.2301800416637189</v>
      </c>
      <c r="H49" s="123"/>
    </row>
    <row r="50" spans="1:8" ht="15.75" customHeight="1" thickBot="1">
      <c r="A50" s="133"/>
      <c r="B50" s="134"/>
      <c r="C50" s="204"/>
      <c r="D50" s="204"/>
      <c r="E50" s="204"/>
      <c r="F50" s="132"/>
      <c r="G50" s="215"/>
      <c r="H50" s="123"/>
    </row>
    <row r="51" spans="1:8" ht="17.25" customHeight="1" thickBot="1" thickTop="1">
      <c r="A51" s="141" t="s">
        <v>14</v>
      </c>
      <c r="B51" s="142"/>
      <c r="C51" s="206">
        <f>SUM(C42:C50)</f>
        <v>111188729.72999999</v>
      </c>
      <c r="D51" s="206">
        <f>SUM(D42:D50)</f>
        <v>23259216.979999997</v>
      </c>
      <c r="E51" s="206">
        <f>SUM(E42:E50)</f>
        <v>23552855.93</v>
      </c>
      <c r="F51" s="143">
        <f>(+D51-E51)/E51</f>
        <v>-0.012467233310164564</v>
      </c>
      <c r="G51" s="217">
        <f>D51/C51</f>
        <v>0.2091868216902958</v>
      </c>
      <c r="H51" s="123"/>
    </row>
    <row r="52" spans="1:8" ht="15.75" customHeight="1" thickTop="1">
      <c r="A52" s="133"/>
      <c r="B52" s="134"/>
      <c r="C52" s="204"/>
      <c r="D52" s="204"/>
      <c r="E52" s="204"/>
      <c r="F52" s="132"/>
      <c r="G52" s="218"/>
      <c r="H52" s="123"/>
    </row>
    <row r="53" spans="1:8" ht="15" customHeight="1">
      <c r="A53" s="130" t="s">
        <v>39</v>
      </c>
      <c r="B53" s="131">
        <f>DATE(2018,7,1)</f>
        <v>43282</v>
      </c>
      <c r="C53" s="204">
        <v>16232884.5</v>
      </c>
      <c r="D53" s="204">
        <v>3513953.5</v>
      </c>
      <c r="E53" s="204">
        <v>4591352</v>
      </c>
      <c r="F53" s="132">
        <f aca="true" t="shared" si="8" ref="F53:F60">(+D53-E53)/E53</f>
        <v>-0.23465822267602224</v>
      </c>
      <c r="G53" s="215">
        <f aca="true" t="shared" si="9" ref="G53:G60">D53/C53</f>
        <v>0.21647129319499564</v>
      </c>
      <c r="H53" s="123"/>
    </row>
    <row r="54" spans="1:8" ht="15" customHeight="1">
      <c r="A54" s="130"/>
      <c r="B54" s="131">
        <f>DATE(2018,8,1)</f>
        <v>43313</v>
      </c>
      <c r="C54" s="204">
        <v>16145647</v>
      </c>
      <c r="D54" s="204">
        <v>3570821.5</v>
      </c>
      <c r="E54" s="204">
        <v>3842200.5</v>
      </c>
      <c r="F54" s="132">
        <f t="shared" si="8"/>
        <v>-0.07063113962949097</v>
      </c>
      <c r="G54" s="215">
        <f t="shared" si="9"/>
        <v>0.22116310978432763</v>
      </c>
      <c r="H54" s="123"/>
    </row>
    <row r="55" spans="1:8" ht="15" customHeight="1">
      <c r="A55" s="130"/>
      <c r="B55" s="131">
        <f>DATE(2018,9,1)</f>
        <v>43344</v>
      </c>
      <c r="C55" s="204">
        <v>16222388</v>
      </c>
      <c r="D55" s="204">
        <v>3367544</v>
      </c>
      <c r="E55" s="204">
        <v>3686124</v>
      </c>
      <c r="F55" s="132">
        <f t="shared" si="8"/>
        <v>-0.08642682666128432</v>
      </c>
      <c r="G55" s="215">
        <f t="shared" si="9"/>
        <v>0.2075862074067024</v>
      </c>
      <c r="H55" s="123"/>
    </row>
    <row r="56" spans="1:8" ht="15" customHeight="1">
      <c r="A56" s="130"/>
      <c r="B56" s="131">
        <f>DATE(2018,10,1)</f>
        <v>43374</v>
      </c>
      <c r="C56" s="204">
        <v>17396784</v>
      </c>
      <c r="D56" s="204">
        <v>3631888</v>
      </c>
      <c r="E56" s="204">
        <v>2992221.5</v>
      </c>
      <c r="F56" s="132">
        <f t="shared" si="8"/>
        <v>0.21377645338087436</v>
      </c>
      <c r="G56" s="215">
        <f t="shared" si="9"/>
        <v>0.20876778144742156</v>
      </c>
      <c r="H56" s="123"/>
    </row>
    <row r="57" spans="1:8" ht="15" customHeight="1">
      <c r="A57" s="130"/>
      <c r="B57" s="131">
        <f>DATE(2018,11,1)</f>
        <v>43405</v>
      </c>
      <c r="C57" s="204">
        <v>15185055</v>
      </c>
      <c r="D57" s="204">
        <v>3478954.5</v>
      </c>
      <c r="E57" s="204">
        <v>3676452</v>
      </c>
      <c r="F57" s="132">
        <f t="shared" si="8"/>
        <v>-0.05371959160625516</v>
      </c>
      <c r="G57" s="215">
        <f t="shared" si="9"/>
        <v>0.22910384585370286</v>
      </c>
      <c r="H57" s="123"/>
    </row>
    <row r="58" spans="1:8" ht="15" customHeight="1">
      <c r="A58" s="130"/>
      <c r="B58" s="131">
        <f>DATE(2018,12,1)</f>
        <v>43435</v>
      </c>
      <c r="C58" s="204">
        <v>16988835</v>
      </c>
      <c r="D58" s="204">
        <v>3863144</v>
      </c>
      <c r="E58" s="204">
        <v>3464937</v>
      </c>
      <c r="F58" s="132">
        <f t="shared" si="8"/>
        <v>0.11492474466346718</v>
      </c>
      <c r="G58" s="215">
        <f t="shared" si="9"/>
        <v>0.22739310847388888</v>
      </c>
      <c r="H58" s="123"/>
    </row>
    <row r="59" spans="1:8" ht="15" customHeight="1">
      <c r="A59" s="130"/>
      <c r="B59" s="131">
        <f>DATE(2019,1,1)</f>
        <v>43466</v>
      </c>
      <c r="C59" s="204">
        <v>14501861</v>
      </c>
      <c r="D59" s="204">
        <v>2474875.5</v>
      </c>
      <c r="E59" s="204">
        <v>2865998</v>
      </c>
      <c r="F59" s="132">
        <f t="shared" si="8"/>
        <v>-0.13646991379617152</v>
      </c>
      <c r="G59" s="215">
        <f t="shared" si="9"/>
        <v>0.17065916574431378</v>
      </c>
      <c r="H59" s="123"/>
    </row>
    <row r="60" spans="1:8" ht="15" customHeight="1">
      <c r="A60" s="130"/>
      <c r="B60" s="131">
        <f>DATE(2019,2,1)</f>
        <v>43497</v>
      </c>
      <c r="C60" s="204">
        <v>15264920</v>
      </c>
      <c r="D60" s="204">
        <v>2417434</v>
      </c>
      <c r="E60" s="204">
        <v>2919393.5</v>
      </c>
      <c r="F60" s="132">
        <f t="shared" si="8"/>
        <v>-0.17193965116384619</v>
      </c>
      <c r="G60" s="215">
        <f t="shared" si="9"/>
        <v>0.15836532389295194</v>
      </c>
      <c r="H60" s="123"/>
    </row>
    <row r="61" spans="1:8" ht="15" thickBot="1">
      <c r="A61" s="133"/>
      <c r="B61" s="131"/>
      <c r="C61" s="204"/>
      <c r="D61" s="204"/>
      <c r="E61" s="204"/>
      <c r="F61" s="132"/>
      <c r="G61" s="215"/>
      <c r="H61" s="123"/>
    </row>
    <row r="62" spans="1:8" ht="17.25" customHeight="1" thickBot="1" thickTop="1">
      <c r="A62" s="141" t="s">
        <v>14</v>
      </c>
      <c r="B62" s="142"/>
      <c r="C62" s="207">
        <f>SUM(C53:C61)</f>
        <v>127938374.5</v>
      </c>
      <c r="D62" s="261">
        <f>SUM(D53:D61)</f>
        <v>26318615</v>
      </c>
      <c r="E62" s="206">
        <f>SUM(E53:E61)</f>
        <v>28038678.5</v>
      </c>
      <c r="F62" s="268">
        <f>(+D62-E62)/E62</f>
        <v>-0.06134609732052814</v>
      </c>
      <c r="G62" s="267">
        <f>D62/C62</f>
        <v>0.20571322015663096</v>
      </c>
      <c r="H62" s="123"/>
    </row>
    <row r="63" spans="1:8" ht="15.75" customHeight="1" thickTop="1">
      <c r="A63" s="130"/>
      <c r="B63" s="134"/>
      <c r="C63" s="204"/>
      <c r="D63" s="204"/>
      <c r="E63" s="204"/>
      <c r="F63" s="132"/>
      <c r="G63" s="218"/>
      <c r="H63" s="123"/>
    </row>
    <row r="64" spans="1:8" ht="15">
      <c r="A64" s="130" t="s">
        <v>66</v>
      </c>
      <c r="B64" s="131">
        <f>DATE(2018,7,1)</f>
        <v>43282</v>
      </c>
      <c r="C64" s="204">
        <v>2606833</v>
      </c>
      <c r="D64" s="204">
        <v>682875.5</v>
      </c>
      <c r="E64" s="204">
        <v>703792.5</v>
      </c>
      <c r="F64" s="132">
        <f aca="true" t="shared" si="10" ref="F64:F71">(+D64-E64)/E64</f>
        <v>-0.029720407648561188</v>
      </c>
      <c r="G64" s="215">
        <f aca="true" t="shared" si="11" ref="G64:G71">D64/C64</f>
        <v>0.26195598260417907</v>
      </c>
      <c r="H64" s="123"/>
    </row>
    <row r="65" spans="1:8" ht="15">
      <c r="A65" s="130"/>
      <c r="B65" s="131">
        <f>DATE(2018,8,1)</f>
        <v>43313</v>
      </c>
      <c r="C65" s="204">
        <v>2586664</v>
      </c>
      <c r="D65" s="204">
        <v>651283.5</v>
      </c>
      <c r="E65" s="204">
        <v>551376.5</v>
      </c>
      <c r="F65" s="132">
        <f t="shared" si="10"/>
        <v>0.1811956077199518</v>
      </c>
      <c r="G65" s="215">
        <f t="shared" si="11"/>
        <v>0.2517851178197091</v>
      </c>
      <c r="H65" s="123"/>
    </row>
    <row r="66" spans="1:8" ht="15">
      <c r="A66" s="130"/>
      <c r="B66" s="131">
        <f>DATE(2018,9,1)</f>
        <v>43344</v>
      </c>
      <c r="C66" s="204">
        <v>2355213</v>
      </c>
      <c r="D66" s="204">
        <v>584999.5</v>
      </c>
      <c r="E66" s="204">
        <v>737458.5</v>
      </c>
      <c r="F66" s="132">
        <f t="shared" si="10"/>
        <v>-0.20673570105978845</v>
      </c>
      <c r="G66" s="215">
        <f t="shared" si="11"/>
        <v>0.2483849656060832</v>
      </c>
      <c r="H66" s="123"/>
    </row>
    <row r="67" spans="1:8" ht="15">
      <c r="A67" s="130"/>
      <c r="B67" s="131">
        <f>DATE(2018,10,1)</f>
        <v>43374</v>
      </c>
      <c r="C67" s="204">
        <v>2214253</v>
      </c>
      <c r="D67" s="204">
        <v>681963.5</v>
      </c>
      <c r="E67" s="204">
        <v>599085</v>
      </c>
      <c r="F67" s="132">
        <f t="shared" si="10"/>
        <v>0.13834180458532597</v>
      </c>
      <c r="G67" s="215">
        <f t="shared" si="11"/>
        <v>0.3079880664043359</v>
      </c>
      <c r="H67" s="123"/>
    </row>
    <row r="68" spans="1:8" ht="15">
      <c r="A68" s="130"/>
      <c r="B68" s="131">
        <f>DATE(2018,11,1)</f>
        <v>43405</v>
      </c>
      <c r="C68" s="204">
        <v>2440196</v>
      </c>
      <c r="D68" s="204">
        <v>534840</v>
      </c>
      <c r="E68" s="204">
        <v>713063.5</v>
      </c>
      <c r="F68" s="132">
        <f t="shared" si="10"/>
        <v>-0.2499405733149993</v>
      </c>
      <c r="G68" s="215">
        <f t="shared" si="11"/>
        <v>0.21917911512026084</v>
      </c>
      <c r="H68" s="123"/>
    </row>
    <row r="69" spans="1:8" ht="15">
      <c r="A69" s="130"/>
      <c r="B69" s="131">
        <f>DATE(2018,12,1)</f>
        <v>43435</v>
      </c>
      <c r="C69" s="204">
        <v>2873950</v>
      </c>
      <c r="D69" s="204">
        <v>680547.57</v>
      </c>
      <c r="E69" s="204">
        <v>726564.5</v>
      </c>
      <c r="F69" s="132">
        <f t="shared" si="10"/>
        <v>-0.06333495512098382</v>
      </c>
      <c r="G69" s="215">
        <f t="shared" si="11"/>
        <v>0.23679868125750272</v>
      </c>
      <c r="H69" s="123"/>
    </row>
    <row r="70" spans="1:8" ht="15">
      <c r="A70" s="130"/>
      <c r="B70" s="131">
        <f>DATE(2019,1,1)</f>
        <v>43466</v>
      </c>
      <c r="C70" s="204">
        <v>2395817</v>
      </c>
      <c r="D70" s="204">
        <v>696823.5</v>
      </c>
      <c r="E70" s="204">
        <v>498012.5</v>
      </c>
      <c r="F70" s="132">
        <f t="shared" si="10"/>
        <v>0.3992088551994177</v>
      </c>
      <c r="G70" s="215">
        <f t="shared" si="11"/>
        <v>0.2908500524038355</v>
      </c>
      <c r="H70" s="123"/>
    </row>
    <row r="71" spans="1:8" ht="15">
      <c r="A71" s="130"/>
      <c r="B71" s="131">
        <f>DATE(2019,2,1)</f>
        <v>43497</v>
      </c>
      <c r="C71" s="204">
        <v>2579795</v>
      </c>
      <c r="D71" s="204">
        <v>505834.5</v>
      </c>
      <c r="E71" s="204">
        <v>615710.5</v>
      </c>
      <c r="F71" s="132">
        <f t="shared" si="10"/>
        <v>-0.17845399745497276</v>
      </c>
      <c r="G71" s="215">
        <f t="shared" si="11"/>
        <v>0.1960754633604608</v>
      </c>
      <c r="H71" s="123"/>
    </row>
    <row r="72" spans="1:8" ht="15.75" customHeight="1" thickBot="1">
      <c r="A72" s="130"/>
      <c r="B72" s="131"/>
      <c r="C72" s="204"/>
      <c r="D72" s="204"/>
      <c r="E72" s="204"/>
      <c r="F72" s="132"/>
      <c r="G72" s="215"/>
      <c r="H72" s="123"/>
    </row>
    <row r="73" spans="1:8" ht="16.5" thickBot="1" thickTop="1">
      <c r="A73" s="141" t="s">
        <v>14</v>
      </c>
      <c r="B73" s="142"/>
      <c r="C73" s="207">
        <f>SUM(C64:C72)</f>
        <v>20052721</v>
      </c>
      <c r="D73" s="261">
        <f>SUM(D64:D72)</f>
        <v>5019167.57</v>
      </c>
      <c r="E73" s="207">
        <f>SUM(E64:E72)</f>
        <v>5145063.5</v>
      </c>
      <c r="F73" s="268">
        <f>(+D73-E73)/E73</f>
        <v>-0.02446926651148226</v>
      </c>
      <c r="G73" s="267">
        <f>D73/C73</f>
        <v>0.25029857893100893</v>
      </c>
      <c r="H73" s="123"/>
    </row>
    <row r="74" spans="1:8" ht="15.75" customHeight="1" thickTop="1">
      <c r="A74" s="130"/>
      <c r="B74" s="134"/>
      <c r="C74" s="204"/>
      <c r="D74" s="204"/>
      <c r="E74" s="204"/>
      <c r="F74" s="132"/>
      <c r="G74" s="218"/>
      <c r="H74" s="123"/>
    </row>
    <row r="75" spans="1:8" ht="15">
      <c r="A75" s="130" t="s">
        <v>17</v>
      </c>
      <c r="B75" s="131">
        <f>DATE(2018,7,1)</f>
        <v>43282</v>
      </c>
      <c r="C75" s="204">
        <v>1436883</v>
      </c>
      <c r="D75" s="204">
        <v>395162.5</v>
      </c>
      <c r="E75" s="204">
        <v>362602</v>
      </c>
      <c r="F75" s="132">
        <f aca="true" t="shared" si="12" ref="F75:F82">(+D75-E75)/E75</f>
        <v>0.08979680200329838</v>
      </c>
      <c r="G75" s="215">
        <f aca="true" t="shared" si="13" ref="G75:G82">D75/C75</f>
        <v>0.2750136928337241</v>
      </c>
      <c r="H75" s="123"/>
    </row>
    <row r="76" spans="1:8" ht="15">
      <c r="A76" s="130"/>
      <c r="B76" s="131">
        <f>DATE(2018,8,1)</f>
        <v>43313</v>
      </c>
      <c r="C76" s="204">
        <v>1346022</v>
      </c>
      <c r="D76" s="204">
        <v>271146</v>
      </c>
      <c r="E76" s="204">
        <v>327445</v>
      </c>
      <c r="F76" s="132">
        <f t="shared" si="12"/>
        <v>-0.17193421796026814</v>
      </c>
      <c r="G76" s="215">
        <f t="shared" si="13"/>
        <v>0.20144247270846985</v>
      </c>
      <c r="H76" s="123"/>
    </row>
    <row r="77" spans="1:8" ht="15">
      <c r="A77" s="130"/>
      <c r="B77" s="131">
        <f>DATE(2018,9,1)</f>
        <v>43344</v>
      </c>
      <c r="C77" s="204">
        <v>1317459</v>
      </c>
      <c r="D77" s="204">
        <v>347747</v>
      </c>
      <c r="E77" s="204">
        <v>332251.5</v>
      </c>
      <c r="F77" s="132">
        <f t="shared" si="12"/>
        <v>0.04663786318496681</v>
      </c>
      <c r="G77" s="215">
        <f t="shared" si="13"/>
        <v>0.2639528061214808</v>
      </c>
      <c r="H77" s="123"/>
    </row>
    <row r="78" spans="1:8" ht="15">
      <c r="A78" s="130"/>
      <c r="B78" s="131">
        <f>DATE(2018,10,1)</f>
        <v>43374</v>
      </c>
      <c r="C78" s="204">
        <v>1265550</v>
      </c>
      <c r="D78" s="204">
        <v>240203.5</v>
      </c>
      <c r="E78" s="204">
        <v>339253.5</v>
      </c>
      <c r="F78" s="132">
        <f t="shared" si="12"/>
        <v>-0.29196456337222754</v>
      </c>
      <c r="G78" s="215">
        <f t="shared" si="13"/>
        <v>0.18980166725929437</v>
      </c>
      <c r="H78" s="123"/>
    </row>
    <row r="79" spans="1:8" ht="15">
      <c r="A79" s="130"/>
      <c r="B79" s="131">
        <f>DATE(2018,11,1)</f>
        <v>43405</v>
      </c>
      <c r="C79" s="204">
        <v>1401653</v>
      </c>
      <c r="D79" s="204">
        <v>171704.5</v>
      </c>
      <c r="E79" s="204">
        <v>333725</v>
      </c>
      <c r="F79" s="132">
        <f t="shared" si="12"/>
        <v>-0.4854910480185782</v>
      </c>
      <c r="G79" s="215">
        <f t="shared" si="13"/>
        <v>0.12250143223750815</v>
      </c>
      <c r="H79" s="123"/>
    </row>
    <row r="80" spans="1:8" ht="15">
      <c r="A80" s="130"/>
      <c r="B80" s="131">
        <f>DATE(2018,12,1)</f>
        <v>43435</v>
      </c>
      <c r="C80" s="204">
        <v>1462254</v>
      </c>
      <c r="D80" s="204">
        <v>334648.5</v>
      </c>
      <c r="E80" s="204">
        <v>307903.75</v>
      </c>
      <c r="F80" s="132">
        <f t="shared" si="12"/>
        <v>0.08686074787981633</v>
      </c>
      <c r="G80" s="215">
        <f t="shared" si="13"/>
        <v>0.22885798226573495</v>
      </c>
      <c r="H80" s="123"/>
    </row>
    <row r="81" spans="1:8" ht="15">
      <c r="A81" s="130"/>
      <c r="B81" s="131">
        <f>DATE(2019,1,1)</f>
        <v>43466</v>
      </c>
      <c r="C81" s="204">
        <v>1349219</v>
      </c>
      <c r="D81" s="204">
        <v>312324</v>
      </c>
      <c r="E81" s="204">
        <v>242105.5</v>
      </c>
      <c r="F81" s="132">
        <f t="shared" si="12"/>
        <v>0.29003265105501524</v>
      </c>
      <c r="G81" s="215">
        <f t="shared" si="13"/>
        <v>0.23148502948742938</v>
      </c>
      <c r="H81" s="123"/>
    </row>
    <row r="82" spans="1:8" ht="15">
      <c r="A82" s="130"/>
      <c r="B82" s="131">
        <f>DATE(2019,2,1)</f>
        <v>43497</v>
      </c>
      <c r="C82" s="204">
        <v>1249766</v>
      </c>
      <c r="D82" s="204">
        <v>300723</v>
      </c>
      <c r="E82" s="204">
        <v>272009.5</v>
      </c>
      <c r="F82" s="132">
        <f t="shared" si="12"/>
        <v>0.10556065137430862</v>
      </c>
      <c r="G82" s="215">
        <f t="shared" si="13"/>
        <v>0.2406234447088495</v>
      </c>
      <c r="H82" s="123"/>
    </row>
    <row r="83" spans="1:8" ht="15.75" customHeight="1" thickBot="1">
      <c r="A83" s="130"/>
      <c r="B83" s="131"/>
      <c r="C83" s="204"/>
      <c r="D83" s="204"/>
      <c r="E83" s="204"/>
      <c r="F83" s="132"/>
      <c r="G83" s="215"/>
      <c r="H83" s="123"/>
    </row>
    <row r="84" spans="1:8" ht="16.5" thickBot="1" thickTop="1">
      <c r="A84" s="141" t="s">
        <v>14</v>
      </c>
      <c r="B84" s="142"/>
      <c r="C84" s="207">
        <f>SUM(C75:C83)</f>
        <v>10828806</v>
      </c>
      <c r="D84" s="261">
        <f>SUM(D75:D83)</f>
        <v>2373659</v>
      </c>
      <c r="E84" s="207">
        <f>SUM(E75:E83)</f>
        <v>2517295.75</v>
      </c>
      <c r="F84" s="269">
        <f>(+D84-E84)/E84</f>
        <v>-0.05705994220186484</v>
      </c>
      <c r="G84" s="267">
        <f>D84/C84</f>
        <v>0.21919858939203454</v>
      </c>
      <c r="H84" s="123"/>
    </row>
    <row r="85" spans="1:8" ht="15.75" customHeight="1" thickTop="1">
      <c r="A85" s="130"/>
      <c r="B85" s="139"/>
      <c r="C85" s="205"/>
      <c r="D85" s="205"/>
      <c r="E85" s="205"/>
      <c r="F85" s="140"/>
      <c r="G85" s="216"/>
      <c r="H85" s="123"/>
    </row>
    <row r="86" spans="1:8" ht="15">
      <c r="A86" s="130" t="s">
        <v>55</v>
      </c>
      <c r="B86" s="131">
        <f>DATE(2018,7,1)</f>
        <v>43282</v>
      </c>
      <c r="C86" s="204">
        <v>13110915</v>
      </c>
      <c r="D86" s="204">
        <v>2057880.1</v>
      </c>
      <c r="E86" s="204">
        <v>2414267.38</v>
      </c>
      <c r="F86" s="132">
        <f aca="true" t="shared" si="14" ref="F86:F93">(+D86-E86)/E86</f>
        <v>-0.14761715415299187</v>
      </c>
      <c r="G86" s="215">
        <f aca="true" t="shared" si="15" ref="G86:G93">D86/C86</f>
        <v>0.1569593045184108</v>
      </c>
      <c r="H86" s="123"/>
    </row>
    <row r="87" spans="1:8" ht="15">
      <c r="A87" s="130"/>
      <c r="B87" s="131">
        <f>DATE(2018,8,1)</f>
        <v>43313</v>
      </c>
      <c r="C87" s="204">
        <v>13239234</v>
      </c>
      <c r="D87" s="204">
        <v>2105874.34</v>
      </c>
      <c r="E87" s="204">
        <v>2346748.3</v>
      </c>
      <c r="F87" s="132">
        <f t="shared" si="14"/>
        <v>-0.10264158282334751</v>
      </c>
      <c r="G87" s="215">
        <f t="shared" si="15"/>
        <v>0.15906315576867966</v>
      </c>
      <c r="H87" s="123"/>
    </row>
    <row r="88" spans="1:8" ht="15">
      <c r="A88" s="130"/>
      <c r="B88" s="131">
        <f>DATE(2018,9,1)</f>
        <v>43344</v>
      </c>
      <c r="C88" s="204">
        <v>12390658</v>
      </c>
      <c r="D88" s="204">
        <v>2555133.64</v>
      </c>
      <c r="E88" s="204">
        <v>2183188.72</v>
      </c>
      <c r="F88" s="132">
        <f t="shared" si="14"/>
        <v>0.17036773623491416</v>
      </c>
      <c r="G88" s="215">
        <f t="shared" si="15"/>
        <v>0.20621452387758585</v>
      </c>
      <c r="H88" s="123"/>
    </row>
    <row r="89" spans="1:8" ht="15">
      <c r="A89" s="130"/>
      <c r="B89" s="131">
        <f>DATE(2018,10,1)</f>
        <v>43374</v>
      </c>
      <c r="C89" s="204">
        <v>12275724</v>
      </c>
      <c r="D89" s="204">
        <v>2662687.6</v>
      </c>
      <c r="E89" s="204">
        <v>1755251.41</v>
      </c>
      <c r="F89" s="132">
        <f t="shared" si="14"/>
        <v>0.5169835983780809</v>
      </c>
      <c r="G89" s="215">
        <f t="shared" si="15"/>
        <v>0.21690676655812724</v>
      </c>
      <c r="H89" s="123"/>
    </row>
    <row r="90" spans="1:8" ht="15">
      <c r="A90" s="130"/>
      <c r="B90" s="131">
        <f>DATE(2018,11,1)</f>
        <v>43405</v>
      </c>
      <c r="C90" s="204">
        <v>12544158</v>
      </c>
      <c r="D90" s="204">
        <v>2453062.82</v>
      </c>
      <c r="E90" s="204">
        <v>2283849</v>
      </c>
      <c r="F90" s="132">
        <f t="shared" si="14"/>
        <v>0.07409150955251413</v>
      </c>
      <c r="G90" s="215">
        <f t="shared" si="15"/>
        <v>0.19555420300031295</v>
      </c>
      <c r="H90" s="123"/>
    </row>
    <row r="91" spans="1:8" ht="15">
      <c r="A91" s="130"/>
      <c r="B91" s="131">
        <f>DATE(2018,12,1)</f>
        <v>43435</v>
      </c>
      <c r="C91" s="204">
        <v>13031097</v>
      </c>
      <c r="D91" s="204">
        <v>2360180.63</v>
      </c>
      <c r="E91" s="204">
        <v>2519457.53</v>
      </c>
      <c r="F91" s="132">
        <f t="shared" si="14"/>
        <v>-0.06321872788226754</v>
      </c>
      <c r="G91" s="215">
        <f t="shared" si="15"/>
        <v>0.18111910532167783</v>
      </c>
      <c r="H91" s="123"/>
    </row>
    <row r="92" spans="1:8" ht="15">
      <c r="A92" s="130"/>
      <c r="B92" s="131">
        <f>DATE(2019,1,1)</f>
        <v>43466</v>
      </c>
      <c r="C92" s="204">
        <v>10882666</v>
      </c>
      <c r="D92" s="204">
        <v>2536749.79</v>
      </c>
      <c r="E92" s="204">
        <v>2138515.99</v>
      </c>
      <c r="F92" s="132">
        <f t="shared" si="14"/>
        <v>0.1862196971461503</v>
      </c>
      <c r="G92" s="215">
        <f t="shared" si="15"/>
        <v>0.23310003173854643</v>
      </c>
      <c r="H92" s="123"/>
    </row>
    <row r="93" spans="1:8" ht="15">
      <c r="A93" s="130"/>
      <c r="B93" s="131">
        <f>DATE(2019,2,1)</f>
        <v>43497</v>
      </c>
      <c r="C93" s="204">
        <v>10918433</v>
      </c>
      <c r="D93" s="204">
        <v>1828257.84</v>
      </c>
      <c r="E93" s="204">
        <v>2359809.15</v>
      </c>
      <c r="F93" s="132">
        <f t="shared" si="14"/>
        <v>-0.22525182174160135</v>
      </c>
      <c r="G93" s="215">
        <f t="shared" si="15"/>
        <v>0.16744690744541824</v>
      </c>
      <c r="H93" s="123"/>
    </row>
    <row r="94" spans="1:8" ht="15.75" customHeight="1" thickBot="1">
      <c r="A94" s="130"/>
      <c r="B94" s="131"/>
      <c r="C94" s="204"/>
      <c r="D94" s="204"/>
      <c r="E94" s="204"/>
      <c r="F94" s="132"/>
      <c r="G94" s="215"/>
      <c r="H94" s="123"/>
    </row>
    <row r="95" spans="1:8" ht="16.5" thickBot="1" thickTop="1">
      <c r="A95" s="141" t="s">
        <v>14</v>
      </c>
      <c r="B95" s="142"/>
      <c r="C95" s="206">
        <f>SUM(C86:C94)</f>
        <v>98392885</v>
      </c>
      <c r="D95" s="206">
        <f>SUM(D86:D94)</f>
        <v>18559826.759999998</v>
      </c>
      <c r="E95" s="206">
        <f>SUM(E86:E94)</f>
        <v>18001087.48</v>
      </c>
      <c r="F95" s="143">
        <f>(+D95-E95)/E95</f>
        <v>0.03103919586084904</v>
      </c>
      <c r="G95" s="217">
        <f>D95/C95</f>
        <v>0.18862976484529342</v>
      </c>
      <c r="H95" s="123"/>
    </row>
    <row r="96" spans="1:8" ht="15.75" customHeight="1" thickTop="1">
      <c r="A96" s="138"/>
      <c r="B96" s="139"/>
      <c r="C96" s="205"/>
      <c r="D96" s="205"/>
      <c r="E96" s="205"/>
      <c r="F96" s="140"/>
      <c r="G96" s="216"/>
      <c r="H96" s="123"/>
    </row>
    <row r="97" spans="1:8" ht="15">
      <c r="A97" s="130" t="s">
        <v>18</v>
      </c>
      <c r="B97" s="131">
        <f>DATE(2018,7,1)</f>
        <v>43282</v>
      </c>
      <c r="C97" s="204">
        <v>13620105.34</v>
      </c>
      <c r="D97" s="204">
        <v>2729067.84</v>
      </c>
      <c r="E97" s="204">
        <v>2350317.5</v>
      </c>
      <c r="F97" s="132">
        <f aca="true" t="shared" si="16" ref="F97:F104">(+D97-E97)/E97</f>
        <v>0.16114858524433395</v>
      </c>
      <c r="G97" s="215">
        <f aca="true" t="shared" si="17" ref="G97:G104">D97/C97</f>
        <v>0.20037053839702534</v>
      </c>
      <c r="H97" s="123"/>
    </row>
    <row r="98" spans="1:8" ht="15">
      <c r="A98" s="130"/>
      <c r="B98" s="131">
        <f>DATE(2018,8,1)</f>
        <v>43313</v>
      </c>
      <c r="C98" s="204">
        <v>12049552</v>
      </c>
      <c r="D98" s="204">
        <v>2970026</v>
      </c>
      <c r="E98" s="204">
        <v>1942234.5</v>
      </c>
      <c r="F98" s="132">
        <f t="shared" si="16"/>
        <v>0.5291799213740668</v>
      </c>
      <c r="G98" s="215">
        <f t="shared" si="17"/>
        <v>0.2464843506215003</v>
      </c>
      <c r="H98" s="123"/>
    </row>
    <row r="99" spans="1:8" ht="15">
      <c r="A99" s="130"/>
      <c r="B99" s="131">
        <f>DATE(2018,9,1)</f>
        <v>43344</v>
      </c>
      <c r="C99" s="204">
        <v>11797906</v>
      </c>
      <c r="D99" s="204">
        <v>2637413.5</v>
      </c>
      <c r="E99" s="204">
        <v>2639234.26</v>
      </c>
      <c r="F99" s="132">
        <f t="shared" si="16"/>
        <v>-0.0006898819205233326</v>
      </c>
      <c r="G99" s="215">
        <f t="shared" si="17"/>
        <v>0.22354928917046804</v>
      </c>
      <c r="H99" s="123"/>
    </row>
    <row r="100" spans="1:8" ht="15">
      <c r="A100" s="130"/>
      <c r="B100" s="131">
        <f>DATE(2018,10,1)</f>
        <v>43374</v>
      </c>
      <c r="C100" s="204">
        <v>11119336</v>
      </c>
      <c r="D100" s="204">
        <v>1894492</v>
      </c>
      <c r="E100" s="204">
        <v>2495709.5</v>
      </c>
      <c r="F100" s="132">
        <f t="shared" si="16"/>
        <v>-0.2409004333236701</v>
      </c>
      <c r="G100" s="215">
        <f t="shared" si="17"/>
        <v>0.17037815927138095</v>
      </c>
      <c r="H100" s="123"/>
    </row>
    <row r="101" spans="1:8" ht="15">
      <c r="A101" s="130"/>
      <c r="B101" s="131">
        <f>DATE(2018,11,1)</f>
        <v>43405</v>
      </c>
      <c r="C101" s="204">
        <v>11602598.5</v>
      </c>
      <c r="D101" s="204">
        <v>2412367</v>
      </c>
      <c r="E101" s="204">
        <v>2041604</v>
      </c>
      <c r="F101" s="132">
        <f t="shared" si="16"/>
        <v>0.1816037782057637</v>
      </c>
      <c r="G101" s="215">
        <f t="shared" si="17"/>
        <v>0.20791609741559186</v>
      </c>
      <c r="H101" s="123"/>
    </row>
    <row r="102" spans="1:8" ht="15">
      <c r="A102" s="130"/>
      <c r="B102" s="131">
        <f>DATE(2018,12,1)</f>
        <v>43435</v>
      </c>
      <c r="C102" s="204">
        <v>12657489</v>
      </c>
      <c r="D102" s="204">
        <v>2615552.5</v>
      </c>
      <c r="E102" s="204">
        <v>2741297</v>
      </c>
      <c r="F102" s="132">
        <f t="shared" si="16"/>
        <v>-0.04587044016025991</v>
      </c>
      <c r="G102" s="215">
        <f t="shared" si="17"/>
        <v>0.20664070891153846</v>
      </c>
      <c r="H102" s="123"/>
    </row>
    <row r="103" spans="1:8" ht="15">
      <c r="A103" s="130"/>
      <c r="B103" s="131">
        <f>DATE(2019,1,1)</f>
        <v>43466</v>
      </c>
      <c r="C103" s="204">
        <v>10915541</v>
      </c>
      <c r="D103" s="204">
        <v>2030867</v>
      </c>
      <c r="E103" s="204">
        <v>2741722.5</v>
      </c>
      <c r="F103" s="132">
        <f t="shared" si="16"/>
        <v>-0.25927332178949547</v>
      </c>
      <c r="G103" s="215">
        <f t="shared" si="17"/>
        <v>0.18605280306308225</v>
      </c>
      <c r="H103" s="123"/>
    </row>
    <row r="104" spans="1:8" ht="15">
      <c r="A104" s="130"/>
      <c r="B104" s="131">
        <f>DATE(2019,2,1)</f>
        <v>43497</v>
      </c>
      <c r="C104" s="204">
        <v>10957943</v>
      </c>
      <c r="D104" s="204">
        <v>2349346</v>
      </c>
      <c r="E104" s="204">
        <v>2377846.5</v>
      </c>
      <c r="F104" s="132">
        <f t="shared" si="16"/>
        <v>-0.011985845175456027</v>
      </c>
      <c r="G104" s="215">
        <f t="shared" si="17"/>
        <v>0.21439662535203916</v>
      </c>
      <c r="H104" s="123"/>
    </row>
    <row r="105" spans="1:8" ht="15.75" customHeight="1" thickBot="1">
      <c r="A105" s="130"/>
      <c r="B105" s="131"/>
      <c r="C105" s="204"/>
      <c r="D105" s="204"/>
      <c r="E105" s="204"/>
      <c r="F105" s="132"/>
      <c r="G105" s="215"/>
      <c r="H105" s="123"/>
    </row>
    <row r="106" spans="1:8" ht="16.5" thickBot="1" thickTop="1">
      <c r="A106" s="141" t="s">
        <v>14</v>
      </c>
      <c r="B106" s="142"/>
      <c r="C106" s="206">
        <f>SUM(C97:C105)</f>
        <v>94720470.84</v>
      </c>
      <c r="D106" s="206">
        <f>SUM(D97:D105)</f>
        <v>19639131.84</v>
      </c>
      <c r="E106" s="206">
        <f>SUM(E97:E105)</f>
        <v>19329965.759999998</v>
      </c>
      <c r="F106" s="143">
        <f>(+D106-E106)/E106</f>
        <v>0.01599413490114749</v>
      </c>
      <c r="G106" s="217">
        <f>D106/C106</f>
        <v>0.2073377767850631</v>
      </c>
      <c r="H106" s="123"/>
    </row>
    <row r="107" spans="1:8" ht="15.75" customHeight="1" thickTop="1">
      <c r="A107" s="138"/>
      <c r="B107" s="139"/>
      <c r="C107" s="205"/>
      <c r="D107" s="205"/>
      <c r="E107" s="205"/>
      <c r="F107" s="140"/>
      <c r="G107" s="216"/>
      <c r="H107" s="123"/>
    </row>
    <row r="108" spans="1:8" ht="15">
      <c r="A108" s="130" t="s">
        <v>58</v>
      </c>
      <c r="B108" s="131">
        <f>DATE(2018,7,1)</f>
        <v>43282</v>
      </c>
      <c r="C108" s="204">
        <v>12908644</v>
      </c>
      <c r="D108" s="204">
        <v>2887936.73</v>
      </c>
      <c r="E108" s="204">
        <v>2354816.66</v>
      </c>
      <c r="F108" s="132">
        <f aca="true" t="shared" si="18" ref="F108:F115">(+D108-E108)/E108</f>
        <v>0.22639557425247697</v>
      </c>
      <c r="G108" s="215">
        <f aca="true" t="shared" si="19" ref="G108:G115">D108/C108</f>
        <v>0.22372115382529723</v>
      </c>
      <c r="H108" s="123"/>
    </row>
    <row r="109" spans="1:8" ht="15">
      <c r="A109" s="130"/>
      <c r="B109" s="131">
        <f>DATE(2018,8,1)</f>
        <v>43313</v>
      </c>
      <c r="C109" s="204">
        <v>11947559</v>
      </c>
      <c r="D109" s="204">
        <v>2450226.84</v>
      </c>
      <c r="E109" s="204">
        <v>1981472</v>
      </c>
      <c r="F109" s="132">
        <f t="shared" si="18"/>
        <v>0.23656899517126653</v>
      </c>
      <c r="G109" s="215">
        <f t="shared" si="19"/>
        <v>0.2050817945322555</v>
      </c>
      <c r="H109" s="123"/>
    </row>
    <row r="110" spans="1:8" ht="15">
      <c r="A110" s="130"/>
      <c r="B110" s="131">
        <f>DATE(2018,9,1)</f>
        <v>43344</v>
      </c>
      <c r="C110" s="204">
        <v>12029316</v>
      </c>
      <c r="D110" s="204">
        <v>1932757.4</v>
      </c>
      <c r="E110" s="204">
        <v>2416134</v>
      </c>
      <c r="F110" s="132">
        <f t="shared" si="18"/>
        <v>-0.20006199987252365</v>
      </c>
      <c r="G110" s="215">
        <f t="shared" si="19"/>
        <v>0.1606705983947882</v>
      </c>
      <c r="H110" s="123"/>
    </row>
    <row r="111" spans="1:8" ht="15">
      <c r="A111" s="130"/>
      <c r="B111" s="131">
        <f>DATE(2018,10,1)</f>
        <v>43374</v>
      </c>
      <c r="C111" s="204">
        <v>13251865</v>
      </c>
      <c r="D111" s="204">
        <v>1108774.5</v>
      </c>
      <c r="E111" s="204">
        <v>2118997.32</v>
      </c>
      <c r="F111" s="132">
        <f t="shared" si="18"/>
        <v>-0.476745680829837</v>
      </c>
      <c r="G111" s="215">
        <f t="shared" si="19"/>
        <v>0.08366931748851954</v>
      </c>
      <c r="H111" s="123"/>
    </row>
    <row r="112" spans="1:8" ht="15">
      <c r="A112" s="130"/>
      <c r="B112" s="131">
        <f>DATE(2018,11,1)</f>
        <v>43405</v>
      </c>
      <c r="C112" s="204">
        <v>14843812</v>
      </c>
      <c r="D112" s="204">
        <v>4255264.95</v>
      </c>
      <c r="E112" s="204">
        <v>2312922.92</v>
      </c>
      <c r="F112" s="132">
        <f t="shared" si="18"/>
        <v>0.839778106397078</v>
      </c>
      <c r="G112" s="215">
        <f t="shared" si="19"/>
        <v>0.2866692834697718</v>
      </c>
      <c r="H112" s="123"/>
    </row>
    <row r="113" spans="1:8" ht="15">
      <c r="A113" s="130"/>
      <c r="B113" s="131">
        <f>DATE(2018,12,1)</f>
        <v>43435</v>
      </c>
      <c r="C113" s="204">
        <v>15844873</v>
      </c>
      <c r="D113" s="204">
        <v>3211966.31</v>
      </c>
      <c r="E113" s="204">
        <v>2152431.25</v>
      </c>
      <c r="F113" s="132">
        <f t="shared" si="18"/>
        <v>0.49225036107425035</v>
      </c>
      <c r="G113" s="215">
        <f t="shared" si="19"/>
        <v>0.20271328839303415</v>
      </c>
      <c r="H113" s="123"/>
    </row>
    <row r="114" spans="1:8" ht="15">
      <c r="A114" s="130"/>
      <c r="B114" s="131">
        <f>DATE(2019,1,1)</f>
        <v>43466</v>
      </c>
      <c r="C114" s="204">
        <v>12543073</v>
      </c>
      <c r="D114" s="204">
        <v>2271310.91</v>
      </c>
      <c r="E114" s="204">
        <v>2163065</v>
      </c>
      <c r="F114" s="132">
        <f t="shared" si="18"/>
        <v>0.050042837362723795</v>
      </c>
      <c r="G114" s="215">
        <f t="shared" si="19"/>
        <v>0.18108089700187507</v>
      </c>
      <c r="H114" s="123"/>
    </row>
    <row r="115" spans="1:8" ht="15">
      <c r="A115" s="130"/>
      <c r="B115" s="131">
        <f>DATE(2019,2,1)</f>
        <v>43497</v>
      </c>
      <c r="C115" s="204">
        <v>12034314</v>
      </c>
      <c r="D115" s="204">
        <v>2581578.12</v>
      </c>
      <c r="E115" s="204">
        <v>2130295.34</v>
      </c>
      <c r="F115" s="132">
        <f t="shared" si="18"/>
        <v>0.2118404765416237</v>
      </c>
      <c r="G115" s="215">
        <f t="shared" si="19"/>
        <v>0.2145180955059009</v>
      </c>
      <c r="H115" s="123"/>
    </row>
    <row r="116" spans="1:8" ht="15" thickBot="1">
      <c r="A116" s="133"/>
      <c r="B116" s="131"/>
      <c r="C116" s="204"/>
      <c r="D116" s="204"/>
      <c r="E116" s="204"/>
      <c r="F116" s="132"/>
      <c r="G116" s="215"/>
      <c r="H116" s="123"/>
    </row>
    <row r="117" spans="1:8" ht="16.5" thickBot="1" thickTop="1">
      <c r="A117" s="141" t="s">
        <v>14</v>
      </c>
      <c r="B117" s="142"/>
      <c r="C117" s="207">
        <f>SUM(C108:C116)</f>
        <v>105403456</v>
      </c>
      <c r="D117" s="207">
        <f>SUM(D108:D116)</f>
        <v>20699815.76</v>
      </c>
      <c r="E117" s="207">
        <f>SUM(E108:E116)</f>
        <v>17630134.490000002</v>
      </c>
      <c r="F117" s="143">
        <f>(+D117-E117)/E117</f>
        <v>0.1741155900847583</v>
      </c>
      <c r="G117" s="267">
        <f>D117/C117</f>
        <v>0.19638649950908632</v>
      </c>
      <c r="H117" s="123"/>
    </row>
    <row r="118" spans="1:8" ht="15.75" customHeight="1" thickTop="1">
      <c r="A118" s="138"/>
      <c r="B118" s="139"/>
      <c r="C118" s="205"/>
      <c r="D118" s="205"/>
      <c r="E118" s="205"/>
      <c r="F118" s="140"/>
      <c r="G118" s="219"/>
      <c r="H118" s="123"/>
    </row>
    <row r="119" spans="1:8" ht="15">
      <c r="A119" s="130" t="s">
        <v>59</v>
      </c>
      <c r="B119" s="131">
        <f>DATE(2018,7,1)</f>
        <v>43282</v>
      </c>
      <c r="C119" s="204">
        <v>623996.5</v>
      </c>
      <c r="D119" s="204">
        <v>154554.5</v>
      </c>
      <c r="E119" s="204">
        <v>185261.5</v>
      </c>
      <c r="F119" s="132">
        <f aca="true" t="shared" si="20" ref="F119:F126">(+D119-E119)/E119</f>
        <v>-0.16574949463326163</v>
      </c>
      <c r="G119" s="215">
        <f aca="true" t="shared" si="21" ref="G119:G126">D119/C119</f>
        <v>0.24768488284790058</v>
      </c>
      <c r="H119" s="123"/>
    </row>
    <row r="120" spans="1:8" ht="15">
      <c r="A120" s="130"/>
      <c r="B120" s="131">
        <f>DATE(2018,8,1)</f>
        <v>43313</v>
      </c>
      <c r="C120" s="204">
        <v>653768</v>
      </c>
      <c r="D120" s="204">
        <v>228200</v>
      </c>
      <c r="E120" s="204">
        <v>131840.5</v>
      </c>
      <c r="F120" s="132">
        <f t="shared" si="20"/>
        <v>0.7308793580121434</v>
      </c>
      <c r="G120" s="215">
        <f t="shared" si="21"/>
        <v>0.34905348686384163</v>
      </c>
      <c r="H120" s="123"/>
    </row>
    <row r="121" spans="1:8" ht="15">
      <c r="A121" s="130"/>
      <c r="B121" s="131">
        <f>DATE(2018,9,1)</f>
        <v>43344</v>
      </c>
      <c r="C121" s="204">
        <v>648238</v>
      </c>
      <c r="D121" s="204">
        <v>133253.5</v>
      </c>
      <c r="E121" s="204">
        <v>130165.5</v>
      </c>
      <c r="F121" s="132">
        <f t="shared" si="20"/>
        <v>0.023723644129972996</v>
      </c>
      <c r="G121" s="215">
        <f t="shared" si="21"/>
        <v>0.20556261743372034</v>
      </c>
      <c r="H121" s="123"/>
    </row>
    <row r="122" spans="1:8" ht="15">
      <c r="A122" s="130"/>
      <c r="B122" s="131">
        <f>DATE(2018,10,1)</f>
        <v>43374</v>
      </c>
      <c r="C122" s="204">
        <v>607581</v>
      </c>
      <c r="D122" s="204">
        <v>183569.5</v>
      </c>
      <c r="E122" s="204">
        <v>213032.5</v>
      </c>
      <c r="F122" s="132">
        <f t="shared" si="20"/>
        <v>-0.1383028411157922</v>
      </c>
      <c r="G122" s="215">
        <f t="shared" si="21"/>
        <v>0.30213173222994133</v>
      </c>
      <c r="H122" s="123"/>
    </row>
    <row r="123" spans="1:8" ht="15">
      <c r="A123" s="130"/>
      <c r="B123" s="131">
        <f>DATE(2018,11,1)</f>
        <v>43405</v>
      </c>
      <c r="C123" s="204">
        <v>590853</v>
      </c>
      <c r="D123" s="204">
        <v>134566.5</v>
      </c>
      <c r="E123" s="204">
        <v>120661.5</v>
      </c>
      <c r="F123" s="132">
        <f t="shared" si="20"/>
        <v>0.11523974092813366</v>
      </c>
      <c r="G123" s="215">
        <f t="shared" si="21"/>
        <v>0.22774954176419515</v>
      </c>
      <c r="H123" s="123"/>
    </row>
    <row r="124" spans="1:8" ht="15">
      <c r="A124" s="130"/>
      <c r="B124" s="131">
        <f>DATE(2018,12,1)</f>
        <v>43435</v>
      </c>
      <c r="C124" s="204">
        <v>630365</v>
      </c>
      <c r="D124" s="204">
        <v>155643.5</v>
      </c>
      <c r="E124" s="204">
        <v>179648.5</v>
      </c>
      <c r="F124" s="132">
        <f t="shared" si="20"/>
        <v>-0.133622045271739</v>
      </c>
      <c r="G124" s="215">
        <f t="shared" si="21"/>
        <v>0.24691012349987707</v>
      </c>
      <c r="H124" s="123"/>
    </row>
    <row r="125" spans="1:8" ht="15">
      <c r="A125" s="130"/>
      <c r="B125" s="131">
        <f>DATE(2019,1,1)</f>
        <v>43466</v>
      </c>
      <c r="C125" s="204">
        <v>555811</v>
      </c>
      <c r="D125" s="204">
        <v>147951.5</v>
      </c>
      <c r="E125" s="204">
        <v>161078</v>
      </c>
      <c r="F125" s="132">
        <f t="shared" si="20"/>
        <v>-0.08149157551000137</v>
      </c>
      <c r="G125" s="215">
        <f t="shared" si="21"/>
        <v>0.26619030569744034</v>
      </c>
      <c r="H125" s="123"/>
    </row>
    <row r="126" spans="1:8" ht="15">
      <c r="A126" s="130"/>
      <c r="B126" s="131">
        <f>DATE(2019,2,1)</f>
        <v>43497</v>
      </c>
      <c r="C126" s="204">
        <v>613996</v>
      </c>
      <c r="D126" s="204">
        <v>187673.5</v>
      </c>
      <c r="E126" s="204">
        <v>179952.5</v>
      </c>
      <c r="F126" s="132">
        <f t="shared" si="20"/>
        <v>0.04290576679957211</v>
      </c>
      <c r="G126" s="215">
        <f t="shared" si="21"/>
        <v>0.30565915738864746</v>
      </c>
      <c r="H126" s="123"/>
    </row>
    <row r="127" spans="1:8" ht="15" thickBot="1">
      <c r="A127" s="133"/>
      <c r="B127" s="134"/>
      <c r="C127" s="204"/>
      <c r="D127" s="204"/>
      <c r="E127" s="204"/>
      <c r="F127" s="132"/>
      <c r="G127" s="215"/>
      <c r="H127" s="123"/>
    </row>
    <row r="128" spans="1:8" ht="16.5" thickBot="1" thickTop="1">
      <c r="A128" s="144" t="s">
        <v>14</v>
      </c>
      <c r="B128" s="145"/>
      <c r="C128" s="207">
        <f>SUM(C119:C127)</f>
        <v>4924608.5</v>
      </c>
      <c r="D128" s="207">
        <f>SUM(D119:D127)</f>
        <v>1325412.5</v>
      </c>
      <c r="E128" s="207">
        <f>SUM(E119:E127)</f>
        <v>1301640.5</v>
      </c>
      <c r="F128" s="143">
        <f>(+D128-E128)/E128</f>
        <v>0.018263107209709594</v>
      </c>
      <c r="G128" s="217">
        <f>D128/C128</f>
        <v>0.269140683975183</v>
      </c>
      <c r="H128" s="123"/>
    </row>
    <row r="129" spans="1:8" ht="15.75" customHeight="1" thickTop="1">
      <c r="A129" s="130"/>
      <c r="B129" s="134"/>
      <c r="C129" s="204"/>
      <c r="D129" s="204"/>
      <c r="E129" s="204"/>
      <c r="F129" s="132"/>
      <c r="G129" s="218"/>
      <c r="H129" s="123"/>
    </row>
    <row r="130" spans="1:8" ht="15">
      <c r="A130" s="130" t="s">
        <v>40</v>
      </c>
      <c r="B130" s="131">
        <f>DATE(2018,7,1)</f>
        <v>43282</v>
      </c>
      <c r="C130" s="204">
        <v>18395528</v>
      </c>
      <c r="D130" s="204">
        <v>4013253.36</v>
      </c>
      <c r="E130" s="204">
        <v>3485005.33</v>
      </c>
      <c r="F130" s="132">
        <f aca="true" t="shared" si="22" ref="F130:F137">(+D130-E130)/E130</f>
        <v>0.15157739514848886</v>
      </c>
      <c r="G130" s="215">
        <f aca="true" t="shared" si="23" ref="G130:G137">D130/C130</f>
        <v>0.21816461914004315</v>
      </c>
      <c r="H130" s="123"/>
    </row>
    <row r="131" spans="1:8" ht="15">
      <c r="A131" s="130"/>
      <c r="B131" s="131">
        <f>DATE(2018,8,1)</f>
        <v>43313</v>
      </c>
      <c r="C131" s="204">
        <v>18105989</v>
      </c>
      <c r="D131" s="204">
        <v>4154776.6</v>
      </c>
      <c r="E131" s="204">
        <v>2756152.9</v>
      </c>
      <c r="F131" s="132">
        <f t="shared" si="22"/>
        <v>0.5074550472145433</v>
      </c>
      <c r="G131" s="215">
        <f t="shared" si="23"/>
        <v>0.229469740647694</v>
      </c>
      <c r="H131" s="123"/>
    </row>
    <row r="132" spans="1:8" ht="15">
      <c r="A132" s="130"/>
      <c r="B132" s="131">
        <f>DATE(2018,9,1)</f>
        <v>43344</v>
      </c>
      <c r="C132" s="204">
        <v>15238679</v>
      </c>
      <c r="D132" s="204">
        <v>3317290.2</v>
      </c>
      <c r="E132" s="204">
        <v>3555670.84</v>
      </c>
      <c r="F132" s="132">
        <f t="shared" si="22"/>
        <v>-0.06704238123459136</v>
      </c>
      <c r="G132" s="215">
        <f t="shared" si="23"/>
        <v>0.2176888298519839</v>
      </c>
      <c r="H132" s="123"/>
    </row>
    <row r="133" spans="1:8" ht="15">
      <c r="A133" s="130"/>
      <c r="B133" s="131">
        <f>DATE(2018,10,1)</f>
        <v>43374</v>
      </c>
      <c r="C133" s="204">
        <v>14568891</v>
      </c>
      <c r="D133" s="204">
        <v>3010473</v>
      </c>
      <c r="E133" s="204">
        <v>3109647.95</v>
      </c>
      <c r="F133" s="132">
        <f t="shared" si="22"/>
        <v>-0.03189266167573734</v>
      </c>
      <c r="G133" s="215">
        <f t="shared" si="23"/>
        <v>0.2066370734738835</v>
      </c>
      <c r="H133" s="123"/>
    </row>
    <row r="134" spans="1:8" ht="15">
      <c r="A134" s="130"/>
      <c r="B134" s="131">
        <f>DATE(2018,11,1)</f>
        <v>43405</v>
      </c>
      <c r="C134" s="204">
        <v>15484724</v>
      </c>
      <c r="D134" s="204">
        <v>3636412.28</v>
      </c>
      <c r="E134" s="204">
        <v>3185542.02</v>
      </c>
      <c r="F134" s="132">
        <f t="shared" si="22"/>
        <v>0.1415364346692874</v>
      </c>
      <c r="G134" s="215">
        <f t="shared" si="23"/>
        <v>0.23483868876190495</v>
      </c>
      <c r="H134" s="123"/>
    </row>
    <row r="135" spans="1:8" ht="15">
      <c r="A135" s="130"/>
      <c r="B135" s="131">
        <f>DATE(2018,12,1)</f>
        <v>43435</v>
      </c>
      <c r="C135" s="204">
        <v>17368026</v>
      </c>
      <c r="D135" s="204">
        <v>3158388.6</v>
      </c>
      <c r="E135" s="204">
        <v>3702278.99</v>
      </c>
      <c r="F135" s="132">
        <f t="shared" si="22"/>
        <v>-0.14690691638017267</v>
      </c>
      <c r="G135" s="215">
        <f t="shared" si="23"/>
        <v>0.18185075264166464</v>
      </c>
      <c r="H135" s="123"/>
    </row>
    <row r="136" spans="1:8" ht="15">
      <c r="A136" s="130"/>
      <c r="B136" s="131">
        <f>DATE(2019,1,1)</f>
        <v>43466</v>
      </c>
      <c r="C136" s="204">
        <v>14705779</v>
      </c>
      <c r="D136" s="204">
        <v>3469211.92</v>
      </c>
      <c r="E136" s="204">
        <v>3099858.41</v>
      </c>
      <c r="F136" s="132">
        <f t="shared" si="22"/>
        <v>0.11915173570782536</v>
      </c>
      <c r="G136" s="215">
        <f t="shared" si="23"/>
        <v>0.23590806852190557</v>
      </c>
      <c r="H136" s="123"/>
    </row>
    <row r="137" spans="1:8" ht="15">
      <c r="A137" s="130"/>
      <c r="B137" s="131">
        <f>DATE(2019,2,1)</f>
        <v>43497</v>
      </c>
      <c r="C137" s="204">
        <v>15048855</v>
      </c>
      <c r="D137" s="204">
        <v>3743256.73</v>
      </c>
      <c r="E137" s="204">
        <v>2392361.25</v>
      </c>
      <c r="F137" s="132">
        <f t="shared" si="22"/>
        <v>0.5646703565358283</v>
      </c>
      <c r="G137" s="215">
        <f t="shared" si="23"/>
        <v>0.24874030150466597</v>
      </c>
      <c r="H137" s="123"/>
    </row>
    <row r="138" spans="1:8" ht="15" thickBot="1">
      <c r="A138" s="133"/>
      <c r="B138" s="134"/>
      <c r="C138" s="204"/>
      <c r="D138" s="204"/>
      <c r="E138" s="204"/>
      <c r="F138" s="132"/>
      <c r="G138" s="215"/>
      <c r="H138" s="123"/>
    </row>
    <row r="139" spans="1:8" ht="16.5" thickBot="1" thickTop="1">
      <c r="A139" s="141" t="s">
        <v>14</v>
      </c>
      <c r="B139" s="142"/>
      <c r="C139" s="206">
        <f>SUM(C130:C138)</f>
        <v>128916471</v>
      </c>
      <c r="D139" s="207">
        <f>SUM(D130:D138)</f>
        <v>28503062.69</v>
      </c>
      <c r="E139" s="206">
        <f>SUM(E130:E138)</f>
        <v>25286517.69</v>
      </c>
      <c r="F139" s="143">
        <f>(+D139-E139)/E139</f>
        <v>0.12720395269262558</v>
      </c>
      <c r="G139" s="217">
        <f>D139/C139</f>
        <v>0.2210971373083894</v>
      </c>
      <c r="H139" s="123"/>
    </row>
    <row r="140" spans="1:8" ht="15.75" customHeight="1" thickTop="1">
      <c r="A140" s="130"/>
      <c r="B140" s="134"/>
      <c r="C140" s="204"/>
      <c r="D140" s="204"/>
      <c r="E140" s="204"/>
      <c r="F140" s="132"/>
      <c r="G140" s="218"/>
      <c r="H140" s="123"/>
    </row>
    <row r="141" spans="1:8" ht="15">
      <c r="A141" s="130" t="s">
        <v>64</v>
      </c>
      <c r="B141" s="131">
        <f>DATE(2018,7,1)</f>
        <v>43282</v>
      </c>
      <c r="C141" s="204">
        <v>835189</v>
      </c>
      <c r="D141" s="204">
        <v>171143.5</v>
      </c>
      <c r="E141" s="204">
        <v>283672</v>
      </c>
      <c r="F141" s="132">
        <f aca="true" t="shared" si="24" ref="F141:F148">(+D141-E141)/E141</f>
        <v>-0.3966852562113991</v>
      </c>
      <c r="G141" s="215">
        <f aca="true" t="shared" si="25" ref="G141:G148">D141/C141</f>
        <v>0.20491589328882445</v>
      </c>
      <c r="H141" s="123"/>
    </row>
    <row r="142" spans="1:8" ht="15">
      <c r="A142" s="130"/>
      <c r="B142" s="131">
        <f>DATE(2018,8,1)</f>
        <v>43313</v>
      </c>
      <c r="C142" s="204">
        <v>795370</v>
      </c>
      <c r="D142" s="204">
        <v>217353.5</v>
      </c>
      <c r="E142" s="204">
        <v>213515</v>
      </c>
      <c r="F142" s="132">
        <f t="shared" si="24"/>
        <v>0.017977659649204975</v>
      </c>
      <c r="G142" s="215">
        <f t="shared" si="25"/>
        <v>0.27327344506330387</v>
      </c>
      <c r="H142" s="123"/>
    </row>
    <row r="143" spans="1:8" ht="15">
      <c r="A143" s="130"/>
      <c r="B143" s="131">
        <f>DATE(2018,9,1)</f>
        <v>43344</v>
      </c>
      <c r="C143" s="204">
        <v>769718</v>
      </c>
      <c r="D143" s="204">
        <v>169120</v>
      </c>
      <c r="E143" s="204">
        <v>213772.5</v>
      </c>
      <c r="F143" s="132">
        <f t="shared" si="24"/>
        <v>-0.20887859757452432</v>
      </c>
      <c r="G143" s="215">
        <f t="shared" si="25"/>
        <v>0.2197168313590172</v>
      </c>
      <c r="H143" s="123"/>
    </row>
    <row r="144" spans="1:8" ht="15">
      <c r="A144" s="130"/>
      <c r="B144" s="131">
        <f>DATE(2018,10,1)</f>
        <v>43374</v>
      </c>
      <c r="C144" s="204">
        <v>707919</v>
      </c>
      <c r="D144" s="204">
        <v>142213.5</v>
      </c>
      <c r="E144" s="204">
        <v>244828.5</v>
      </c>
      <c r="F144" s="132">
        <f t="shared" si="24"/>
        <v>-0.4191301257819249</v>
      </c>
      <c r="G144" s="215">
        <f t="shared" si="25"/>
        <v>0.2008895085454692</v>
      </c>
      <c r="H144" s="123"/>
    </row>
    <row r="145" spans="1:8" ht="15">
      <c r="A145" s="130"/>
      <c r="B145" s="131">
        <f>DATE(2018,11,1)</f>
        <v>43405</v>
      </c>
      <c r="C145" s="204">
        <v>684493</v>
      </c>
      <c r="D145" s="204">
        <v>170858.5</v>
      </c>
      <c r="E145" s="204">
        <v>214514.5</v>
      </c>
      <c r="F145" s="132">
        <f t="shared" si="24"/>
        <v>-0.20351071838966597</v>
      </c>
      <c r="G145" s="215">
        <f t="shared" si="25"/>
        <v>0.2496132173740272</v>
      </c>
      <c r="H145" s="123"/>
    </row>
    <row r="146" spans="1:8" ht="15">
      <c r="A146" s="130"/>
      <c r="B146" s="131">
        <f>DATE(2018,12,1)</f>
        <v>43435</v>
      </c>
      <c r="C146" s="204">
        <v>823658</v>
      </c>
      <c r="D146" s="204">
        <v>191894</v>
      </c>
      <c r="E146" s="204">
        <v>251086</v>
      </c>
      <c r="F146" s="132">
        <f t="shared" si="24"/>
        <v>-0.2357439283751384</v>
      </c>
      <c r="G146" s="215">
        <f t="shared" si="25"/>
        <v>0.23297776504325823</v>
      </c>
      <c r="H146" s="123"/>
    </row>
    <row r="147" spans="1:8" ht="15">
      <c r="A147" s="130"/>
      <c r="B147" s="131">
        <f>DATE(2019,1,1)</f>
        <v>43466</v>
      </c>
      <c r="C147" s="204">
        <v>677788</v>
      </c>
      <c r="D147" s="204">
        <v>225159.5</v>
      </c>
      <c r="E147" s="204">
        <v>161802.5</v>
      </c>
      <c r="F147" s="132">
        <f t="shared" si="24"/>
        <v>0.39156996956165696</v>
      </c>
      <c r="G147" s="215">
        <f t="shared" si="25"/>
        <v>0.3321975307913389</v>
      </c>
      <c r="H147" s="123"/>
    </row>
    <row r="148" spans="1:8" ht="15">
      <c r="A148" s="130"/>
      <c r="B148" s="131">
        <f>DATE(2019,2,1)</f>
        <v>43497</v>
      </c>
      <c r="C148" s="204">
        <v>688470</v>
      </c>
      <c r="D148" s="204">
        <v>203977</v>
      </c>
      <c r="E148" s="204">
        <v>227252.5</v>
      </c>
      <c r="F148" s="132">
        <f t="shared" si="24"/>
        <v>-0.10242131549707924</v>
      </c>
      <c r="G148" s="215">
        <f t="shared" si="25"/>
        <v>0.2962757999622351</v>
      </c>
      <c r="H148" s="123"/>
    </row>
    <row r="149" spans="1:8" ht="15" thickBot="1">
      <c r="A149" s="133"/>
      <c r="B149" s="134"/>
      <c r="C149" s="204"/>
      <c r="D149" s="204"/>
      <c r="E149" s="204"/>
      <c r="F149" s="132"/>
      <c r="G149" s="215"/>
      <c r="H149" s="123"/>
    </row>
    <row r="150" spans="1:8" ht="16.5" thickBot="1" thickTop="1">
      <c r="A150" s="135" t="s">
        <v>14</v>
      </c>
      <c r="B150" s="136"/>
      <c r="C150" s="201">
        <f>SUM(C141:C149)</f>
        <v>5982605</v>
      </c>
      <c r="D150" s="207">
        <f>SUM(D141:D149)</f>
        <v>1491719.5</v>
      </c>
      <c r="E150" s="207">
        <f>SUM(E141:E149)</f>
        <v>1810443.5</v>
      </c>
      <c r="F150" s="143">
        <f>(+D150-E150)/E150</f>
        <v>-0.17604747124116274</v>
      </c>
      <c r="G150" s="217">
        <f>D150/C150</f>
        <v>0.2493428030097257</v>
      </c>
      <c r="H150" s="123"/>
    </row>
    <row r="151" spans="1:8" ht="15.75" thickBot="1" thickTop="1">
      <c r="A151" s="146"/>
      <c r="B151" s="139"/>
      <c r="C151" s="205"/>
      <c r="D151" s="205"/>
      <c r="E151" s="205"/>
      <c r="F151" s="140"/>
      <c r="G151" s="216"/>
      <c r="H151" s="123"/>
    </row>
    <row r="152" spans="1:8" ht="16.5" thickBot="1" thickTop="1">
      <c r="A152" s="147" t="s">
        <v>41</v>
      </c>
      <c r="B152" s="121"/>
      <c r="C152" s="201">
        <f>C150+C139+C106+C84+C62+C40+C18+C51+C128+C29+C95+C117+C73</f>
        <v>823865370.07</v>
      </c>
      <c r="D152" s="201">
        <f>D150+D139+D106+D84+D62+D40+D18+D51+D128+D29+D95+D117+D73</f>
        <v>171264976.59999996</v>
      </c>
      <c r="E152" s="201">
        <f>E150+E139+E106+E84+E62+E40+E18+E51+E128+E29+E95+E117+E73</f>
        <v>164471766.08</v>
      </c>
      <c r="F152" s="137">
        <f>(+D152-E152)/E152</f>
        <v>0.04130320164918576</v>
      </c>
      <c r="G152" s="212">
        <f>D152/C152</f>
        <v>0.20787981000518127</v>
      </c>
      <c r="H152" s="123"/>
    </row>
    <row r="153" spans="1:8" ht="16.5" thickBot="1" thickTop="1">
      <c r="A153" s="147"/>
      <c r="B153" s="121"/>
      <c r="C153" s="201"/>
      <c r="D153" s="201"/>
      <c r="E153" s="201"/>
      <c r="F153" s="137"/>
      <c r="G153" s="212"/>
      <c r="H153" s="123"/>
    </row>
    <row r="154" spans="1:8" ht="16.5" thickBot="1" thickTop="1">
      <c r="A154" s="265" t="s">
        <v>42</v>
      </c>
      <c r="B154" s="266"/>
      <c r="C154" s="206">
        <f>+C16+C27+C38+C49+C60+C71+C82+C93+C104+C115+C126+C137+C148</f>
        <v>96408868.47</v>
      </c>
      <c r="D154" s="206">
        <f>+D16+D27+D38+D49+D60+D71+D82+D93+D104+D115+D126+D137+D148</f>
        <v>20312689.16</v>
      </c>
      <c r="E154" s="206">
        <f>+E16+E27+E38+E49+E60+E71+E82+E93+E104+E115+E126+E137+E148</f>
        <v>18965921.630000003</v>
      </c>
      <c r="F154" s="143">
        <f>(+D154-E154)/E154</f>
        <v>0.07100986476026039</v>
      </c>
      <c r="G154" s="217">
        <f>D154/C154</f>
        <v>0.21069316010404993</v>
      </c>
      <c r="H154" s="123"/>
    </row>
    <row r="155" spans="1:8" ht="15.75" thickTop="1">
      <c r="A155" s="256"/>
      <c r="B155" s="258"/>
      <c r="C155" s="259"/>
      <c r="D155" s="259"/>
      <c r="E155" s="259"/>
      <c r="F155" s="260"/>
      <c r="G155" s="257"/>
      <c r="H155" s="257"/>
    </row>
    <row r="156" spans="1:7" ht="17.25">
      <c r="A156" s="263" t="s">
        <v>43</v>
      </c>
      <c r="B156" s="117"/>
      <c r="C156" s="208"/>
      <c r="D156" s="208"/>
      <c r="E156" s="208"/>
      <c r="F156" s="148"/>
      <c r="G156" s="220"/>
    </row>
    <row r="157" ht="15">
      <c r="A157" s="7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6" r:id="rId1"/>
  <rowBreaks count="3" manualBreakCount="3">
    <brk id="51" max="7" man="1"/>
    <brk id="95" max="7" man="1"/>
    <brk id="13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59"/>
  <sheetViews>
    <sheetView showOutlineSymbols="0" zoomScalePageLayoutView="0" workbookViewId="0" topLeftCell="A1">
      <selection activeCell="A6" sqref="A6"/>
    </sheetView>
  </sheetViews>
  <sheetFormatPr defaultColWidth="9.6640625" defaultRowHeight="15"/>
  <cols>
    <col min="1" max="1" width="27.6640625" style="152" customWidth="1"/>
    <col min="2" max="2" width="9.6640625" style="152" customWidth="1"/>
    <col min="3" max="3" width="18.3359375" style="233" customWidth="1"/>
    <col min="4" max="4" width="16.44531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796875" style="152" customWidth="1"/>
    <col min="10" max="16384" width="9.6640625" style="152" customWidth="1"/>
  </cols>
  <sheetData>
    <row r="1" spans="1:9" ht="17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7.25">
      <c r="A2" s="153" t="s">
        <v>44</v>
      </c>
      <c r="B2" s="150"/>
      <c r="C2" s="222"/>
      <c r="D2" s="222"/>
      <c r="E2" s="222"/>
      <c r="F2" s="150"/>
      <c r="G2" s="234"/>
      <c r="H2" s="234"/>
      <c r="I2" s="151"/>
    </row>
    <row r="3" spans="1:9" ht="17.25">
      <c r="A3" s="149" t="s">
        <v>45</v>
      </c>
      <c r="B3" s="150"/>
      <c r="C3" s="222"/>
      <c r="D3" s="222"/>
      <c r="E3" s="222"/>
      <c r="F3" s="150"/>
      <c r="G3" s="234"/>
      <c r="H3" s="234"/>
      <c r="I3" s="151"/>
    </row>
    <row r="4" spans="1:9" ht="17.25">
      <c r="A4" s="285" t="s">
        <v>74</v>
      </c>
      <c r="B4" s="150"/>
      <c r="C4" s="222"/>
      <c r="D4" s="222"/>
      <c r="E4" s="222"/>
      <c r="F4" s="150"/>
      <c r="G4" s="234"/>
      <c r="H4" s="234"/>
      <c r="I4" s="151"/>
    </row>
    <row r="5" spans="1:9" ht="15">
      <c r="A5" s="286" t="s">
        <v>70</v>
      </c>
      <c r="B5" s="150"/>
      <c r="C5" s="222"/>
      <c r="D5" s="222"/>
      <c r="E5" s="222"/>
      <c r="F5" s="150"/>
      <c r="G5" s="234"/>
      <c r="H5" s="234"/>
      <c r="I5" s="151"/>
    </row>
    <row r="6" spans="1:9" ht="15.75" thickBot="1">
      <c r="A6" s="150"/>
      <c r="B6" s="150"/>
      <c r="C6" s="222"/>
      <c r="D6" s="222"/>
      <c r="E6" s="222"/>
      <c r="F6" s="150"/>
      <c r="G6" s="235" t="s">
        <v>46</v>
      </c>
      <c r="H6" s="235"/>
      <c r="I6" s="151"/>
    </row>
    <row r="7" spans="1:9" ht="15.75" thickTop="1">
      <c r="A7" s="154"/>
      <c r="B7" s="155" t="s">
        <v>2</v>
      </c>
      <c r="C7" s="223" t="s">
        <v>47</v>
      </c>
      <c r="D7" s="223" t="s">
        <v>33</v>
      </c>
      <c r="E7" s="223" t="s">
        <v>3</v>
      </c>
      <c r="F7" s="156"/>
      <c r="G7" s="236" t="s">
        <v>34</v>
      </c>
      <c r="H7" s="253" t="s">
        <v>34</v>
      </c>
      <c r="I7" s="157"/>
    </row>
    <row r="8" spans="1:9" ht="15.75" thickBot="1">
      <c r="A8" s="158" t="s">
        <v>5</v>
      </c>
      <c r="B8" s="159" t="s">
        <v>6</v>
      </c>
      <c r="C8" s="224" t="s">
        <v>48</v>
      </c>
      <c r="D8" s="224" t="s">
        <v>49</v>
      </c>
      <c r="E8" s="224" t="s">
        <v>49</v>
      </c>
      <c r="F8" s="160" t="s">
        <v>8</v>
      </c>
      <c r="G8" s="238" t="s">
        <v>37</v>
      </c>
      <c r="H8" s="254" t="s">
        <v>50</v>
      </c>
      <c r="I8" s="157"/>
    </row>
    <row r="9" spans="1:9" ht="15.75" customHeight="1" thickTop="1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">
      <c r="A10" s="164" t="s">
        <v>38</v>
      </c>
      <c r="B10" s="165">
        <f>DATE(18,7,1)</f>
        <v>6757</v>
      </c>
      <c r="C10" s="226">
        <v>116623713.71</v>
      </c>
      <c r="D10" s="226">
        <v>11548721.09</v>
      </c>
      <c r="E10" s="226">
        <v>12399454.65</v>
      </c>
      <c r="F10" s="166">
        <f aca="true" t="shared" si="0" ref="F10:F17">(+D10-E10)/E10</f>
        <v>-0.06861056264276917</v>
      </c>
      <c r="G10" s="241">
        <f aca="true" t="shared" si="1" ref="G10:G17">D10/C10</f>
        <v>0.0990254959528848</v>
      </c>
      <c r="H10" s="242">
        <f aca="true" t="shared" si="2" ref="H10:H17">1-G10</f>
        <v>0.9009745040471152</v>
      </c>
      <c r="I10" s="157"/>
    </row>
    <row r="11" spans="1:9" ht="15">
      <c r="A11" s="164"/>
      <c r="B11" s="165">
        <f>DATE(18,8,1)</f>
        <v>6788</v>
      </c>
      <c r="C11" s="226">
        <v>117765018.3</v>
      </c>
      <c r="D11" s="226">
        <v>12278666.34</v>
      </c>
      <c r="E11" s="226">
        <v>11441719.54</v>
      </c>
      <c r="F11" s="166">
        <f t="shared" si="0"/>
        <v>0.07314869037595732</v>
      </c>
      <c r="G11" s="241">
        <f t="shared" si="1"/>
        <v>0.10426412288851994</v>
      </c>
      <c r="H11" s="242">
        <f t="shared" si="2"/>
        <v>0.8957358771114801</v>
      </c>
      <c r="I11" s="157"/>
    </row>
    <row r="12" spans="1:9" ht="15">
      <c r="A12" s="164"/>
      <c r="B12" s="165">
        <f>DATE(18,9,1)</f>
        <v>6819</v>
      </c>
      <c r="C12" s="226">
        <v>114244738.3</v>
      </c>
      <c r="D12" s="226">
        <v>11479851.3</v>
      </c>
      <c r="E12" s="226">
        <v>11813160.59</v>
      </c>
      <c r="F12" s="166">
        <f t="shared" si="0"/>
        <v>-0.028215081599936086</v>
      </c>
      <c r="G12" s="241">
        <f t="shared" si="1"/>
        <v>0.10048472665633477</v>
      </c>
      <c r="H12" s="242">
        <f t="shared" si="2"/>
        <v>0.8995152733436652</v>
      </c>
      <c r="I12" s="157"/>
    </row>
    <row r="13" spans="1:9" ht="15">
      <c r="A13" s="164"/>
      <c r="B13" s="165">
        <f>DATE(18,10,1)</f>
        <v>6849</v>
      </c>
      <c r="C13" s="226">
        <v>118499471.82</v>
      </c>
      <c r="D13" s="226">
        <v>11766741.38</v>
      </c>
      <c r="E13" s="226">
        <v>11558139.69</v>
      </c>
      <c r="F13" s="166">
        <f t="shared" si="0"/>
        <v>0.018048033299033553</v>
      </c>
      <c r="G13" s="241">
        <f t="shared" si="1"/>
        <v>0.09929783820364713</v>
      </c>
      <c r="H13" s="242">
        <f t="shared" si="2"/>
        <v>0.9007021617963529</v>
      </c>
      <c r="I13" s="157"/>
    </row>
    <row r="14" spans="1:9" ht="15">
      <c r="A14" s="164"/>
      <c r="B14" s="165">
        <f>DATE(18,11,1)</f>
        <v>6880</v>
      </c>
      <c r="C14" s="226">
        <v>109285129.77</v>
      </c>
      <c r="D14" s="226">
        <v>11316404.94</v>
      </c>
      <c r="E14" s="226">
        <v>11896579.67</v>
      </c>
      <c r="F14" s="166">
        <f t="shared" si="0"/>
        <v>-0.04876819607765468</v>
      </c>
      <c r="G14" s="241">
        <f t="shared" si="1"/>
        <v>0.10354935720730123</v>
      </c>
      <c r="H14" s="242">
        <f t="shared" si="2"/>
        <v>0.8964506427926988</v>
      </c>
      <c r="I14" s="157"/>
    </row>
    <row r="15" spans="1:9" ht="15">
      <c r="A15" s="164"/>
      <c r="B15" s="165">
        <f>DATE(18,12,1)</f>
        <v>6910</v>
      </c>
      <c r="C15" s="226">
        <v>125344851.37</v>
      </c>
      <c r="D15" s="226">
        <v>12753886.49</v>
      </c>
      <c r="E15" s="226">
        <v>12607302.66</v>
      </c>
      <c r="F15" s="166">
        <f t="shared" si="0"/>
        <v>0.011626898627973453</v>
      </c>
      <c r="G15" s="241">
        <f t="shared" si="1"/>
        <v>0.10175038185136427</v>
      </c>
      <c r="H15" s="242">
        <f t="shared" si="2"/>
        <v>0.8982496181486357</v>
      </c>
      <c r="I15" s="157"/>
    </row>
    <row r="16" spans="1:9" ht="15">
      <c r="A16" s="164"/>
      <c r="B16" s="165">
        <f>DATE(19,1,1)</f>
        <v>6941</v>
      </c>
      <c r="C16" s="226">
        <v>102861347.3</v>
      </c>
      <c r="D16" s="226">
        <v>10438169.56</v>
      </c>
      <c r="E16" s="226">
        <v>10938098.37</v>
      </c>
      <c r="F16" s="166">
        <f t="shared" si="0"/>
        <v>-0.0457052764647973</v>
      </c>
      <c r="G16" s="241">
        <f t="shared" si="1"/>
        <v>0.10147805598498126</v>
      </c>
      <c r="H16" s="242">
        <f t="shared" si="2"/>
        <v>0.8985219440150187</v>
      </c>
      <c r="I16" s="157"/>
    </row>
    <row r="17" spans="1:9" ht="15">
      <c r="A17" s="164"/>
      <c r="B17" s="165">
        <f>DATE(19,2,1)</f>
        <v>6972</v>
      </c>
      <c r="C17" s="226">
        <v>105294414.88</v>
      </c>
      <c r="D17" s="226">
        <v>10577892.76</v>
      </c>
      <c r="E17" s="226">
        <v>11694255.24</v>
      </c>
      <c r="F17" s="166">
        <f t="shared" si="0"/>
        <v>-0.095462469143097</v>
      </c>
      <c r="G17" s="241">
        <f t="shared" si="1"/>
        <v>0.10046015044630068</v>
      </c>
      <c r="H17" s="242">
        <f t="shared" si="2"/>
        <v>0.8995398495536994</v>
      </c>
      <c r="I17" s="157"/>
    </row>
    <row r="18" spans="1:9" ht="15" thickBot="1">
      <c r="A18" s="167"/>
      <c r="B18" s="168"/>
      <c r="C18" s="226"/>
      <c r="D18" s="226"/>
      <c r="E18" s="226"/>
      <c r="F18" s="166"/>
      <c r="G18" s="241"/>
      <c r="H18" s="242"/>
      <c r="I18" s="157"/>
    </row>
    <row r="19" spans="1:9" ht="16.5" thickBot="1" thickTop="1">
      <c r="A19" s="169" t="s">
        <v>14</v>
      </c>
      <c r="B19" s="155"/>
      <c r="C19" s="223">
        <f>SUM(C10:C18)</f>
        <v>909918685.4499999</v>
      </c>
      <c r="D19" s="223">
        <f>SUM(D10:D18)</f>
        <v>92160333.86000001</v>
      </c>
      <c r="E19" s="223">
        <f>SUM(E10:E18)</f>
        <v>94348710.41</v>
      </c>
      <c r="F19" s="170">
        <f>(+D19-E19)/E19</f>
        <v>-0.02319455709028999</v>
      </c>
      <c r="G19" s="236">
        <f>D19/C19</f>
        <v>0.10128414256535699</v>
      </c>
      <c r="H19" s="237">
        <f>1-G19</f>
        <v>0.898715857434643</v>
      </c>
      <c r="I19" s="157"/>
    </row>
    <row r="20" spans="1:9" ht="15" thickTop="1">
      <c r="A20" s="171"/>
      <c r="B20" s="172"/>
      <c r="C20" s="227"/>
      <c r="D20" s="227"/>
      <c r="E20" s="227"/>
      <c r="F20" s="173"/>
      <c r="G20" s="243"/>
      <c r="H20" s="244"/>
      <c r="I20" s="157"/>
    </row>
    <row r="21" spans="1:9" ht="15">
      <c r="A21" s="19" t="s">
        <v>51</v>
      </c>
      <c r="B21" s="165">
        <f>DATE(18,7,1)</f>
        <v>6757</v>
      </c>
      <c r="C21" s="226">
        <v>65541726.2</v>
      </c>
      <c r="D21" s="226">
        <v>6830347.76</v>
      </c>
      <c r="E21" s="226">
        <v>6811001.46</v>
      </c>
      <c r="F21" s="166">
        <f aca="true" t="shared" si="3" ref="F21:F28">(+D21-E21)/E21</f>
        <v>0.0028404486643583563</v>
      </c>
      <c r="G21" s="241">
        <f aca="true" t="shared" si="4" ref="G21:G28">D21/C21</f>
        <v>0.10421373003141927</v>
      </c>
      <c r="H21" s="242">
        <f aca="true" t="shared" si="5" ref="H21:H28">1-G21</f>
        <v>0.8957862699685807</v>
      </c>
      <c r="I21" s="157"/>
    </row>
    <row r="22" spans="1:9" ht="15">
      <c r="A22" s="19"/>
      <c r="B22" s="165">
        <f>DATE(18,8,1)</f>
        <v>6788</v>
      </c>
      <c r="C22" s="226">
        <v>63796111.6</v>
      </c>
      <c r="D22" s="226">
        <v>6442436.26</v>
      </c>
      <c r="E22" s="226">
        <v>6396602.31</v>
      </c>
      <c r="F22" s="166">
        <f t="shared" si="3"/>
        <v>0.00716535869806172</v>
      </c>
      <c r="G22" s="241">
        <f t="shared" si="4"/>
        <v>0.100984779454803</v>
      </c>
      <c r="H22" s="242">
        <f t="shared" si="5"/>
        <v>0.899015220545197</v>
      </c>
      <c r="I22" s="157"/>
    </row>
    <row r="23" spans="1:9" ht="15">
      <c r="A23" s="19"/>
      <c r="B23" s="165">
        <f>DATE(18,9,1)</f>
        <v>6819</v>
      </c>
      <c r="C23" s="226">
        <v>63301750.79</v>
      </c>
      <c r="D23" s="226">
        <v>6263081.72</v>
      </c>
      <c r="E23" s="226">
        <v>6148408.09</v>
      </c>
      <c r="F23" s="166">
        <f t="shared" si="3"/>
        <v>0.0186509464436021</v>
      </c>
      <c r="G23" s="241">
        <f t="shared" si="4"/>
        <v>0.09894010263282324</v>
      </c>
      <c r="H23" s="242">
        <f t="shared" si="5"/>
        <v>0.9010598973671767</v>
      </c>
      <c r="I23" s="157"/>
    </row>
    <row r="24" spans="1:9" ht="15">
      <c r="A24" s="19"/>
      <c r="B24" s="165">
        <f>DATE(18,10,1)</f>
        <v>6849</v>
      </c>
      <c r="C24" s="226">
        <v>57076488.57</v>
      </c>
      <c r="D24" s="226">
        <v>5583864.37</v>
      </c>
      <c r="E24" s="226">
        <v>5734526.36</v>
      </c>
      <c r="F24" s="166">
        <f t="shared" si="3"/>
        <v>-0.026272787069375372</v>
      </c>
      <c r="G24" s="241">
        <f t="shared" si="4"/>
        <v>0.09783125258576152</v>
      </c>
      <c r="H24" s="242">
        <f t="shared" si="5"/>
        <v>0.9021687474142385</v>
      </c>
      <c r="I24" s="157"/>
    </row>
    <row r="25" spans="1:9" ht="15">
      <c r="A25" s="19"/>
      <c r="B25" s="165">
        <f>DATE(18,11,1)</f>
        <v>6880</v>
      </c>
      <c r="C25" s="226">
        <v>54722610.23</v>
      </c>
      <c r="D25" s="226">
        <v>5280741.69</v>
      </c>
      <c r="E25" s="226">
        <v>5714351.85</v>
      </c>
      <c r="F25" s="166">
        <f t="shared" si="3"/>
        <v>-0.07588089977343611</v>
      </c>
      <c r="G25" s="241">
        <f t="shared" si="4"/>
        <v>0.09650017913628314</v>
      </c>
      <c r="H25" s="242">
        <f t="shared" si="5"/>
        <v>0.9034998208637168</v>
      </c>
      <c r="I25" s="157"/>
    </row>
    <row r="26" spans="1:9" ht="15">
      <c r="A26" s="19"/>
      <c r="B26" s="165">
        <f>DATE(18,12,1)</f>
        <v>6910</v>
      </c>
      <c r="C26" s="226">
        <v>63275121.4</v>
      </c>
      <c r="D26" s="226">
        <v>6010123.42</v>
      </c>
      <c r="E26" s="226">
        <v>5911955.46</v>
      </c>
      <c r="F26" s="166">
        <f t="shared" si="3"/>
        <v>0.01660498978116455</v>
      </c>
      <c r="G26" s="241">
        <f t="shared" si="4"/>
        <v>0.0949839887624459</v>
      </c>
      <c r="H26" s="242">
        <f t="shared" si="5"/>
        <v>0.905016011237554</v>
      </c>
      <c r="I26" s="157"/>
    </row>
    <row r="27" spans="1:9" ht="15">
      <c r="A27" s="19"/>
      <c r="B27" s="165">
        <f>DATE(19,1,1)</f>
        <v>6941</v>
      </c>
      <c r="C27" s="226">
        <v>50059923.17</v>
      </c>
      <c r="D27" s="226">
        <v>4663941.57</v>
      </c>
      <c r="E27" s="226">
        <v>5394556.31</v>
      </c>
      <c r="F27" s="166">
        <f t="shared" si="3"/>
        <v>-0.1354355572571638</v>
      </c>
      <c r="G27" s="241">
        <f t="shared" si="4"/>
        <v>0.09316717395193717</v>
      </c>
      <c r="H27" s="242">
        <f t="shared" si="5"/>
        <v>0.9068328260480628</v>
      </c>
      <c r="I27" s="157"/>
    </row>
    <row r="28" spans="1:9" ht="15">
      <c r="A28" s="19"/>
      <c r="B28" s="165">
        <f>DATE(19,2,1)</f>
        <v>6972</v>
      </c>
      <c r="C28" s="226">
        <v>56015887.23</v>
      </c>
      <c r="D28" s="226">
        <v>5430626.47</v>
      </c>
      <c r="E28" s="226">
        <v>5898754.5</v>
      </c>
      <c r="F28" s="166">
        <f t="shared" si="3"/>
        <v>-0.0793604870316268</v>
      </c>
      <c r="G28" s="241">
        <f t="shared" si="4"/>
        <v>0.09694796848797498</v>
      </c>
      <c r="H28" s="242">
        <f t="shared" si="5"/>
        <v>0.9030520315120251</v>
      </c>
      <c r="I28" s="157"/>
    </row>
    <row r="29" spans="1:9" ht="15" thickBot="1">
      <c r="A29" s="167"/>
      <c r="B29" s="165"/>
      <c r="C29" s="226"/>
      <c r="D29" s="226"/>
      <c r="E29" s="226"/>
      <c r="F29" s="166"/>
      <c r="G29" s="241"/>
      <c r="H29" s="242"/>
      <c r="I29" s="157"/>
    </row>
    <row r="30" spans="1:9" ht="16.5" thickBot="1" thickTop="1">
      <c r="A30" s="169" t="s">
        <v>14</v>
      </c>
      <c r="B30" s="155"/>
      <c r="C30" s="223">
        <f>SUM(C21:C29)</f>
        <v>473789619.19</v>
      </c>
      <c r="D30" s="223">
        <f>SUM(D21:D29)</f>
        <v>46505163.26</v>
      </c>
      <c r="E30" s="223">
        <f>SUM(E21:E29)</f>
        <v>48010156.34</v>
      </c>
      <c r="F30" s="170">
        <f>(+D30-E30)/E30</f>
        <v>-0.031347389692753615</v>
      </c>
      <c r="G30" s="236">
        <f>D30/C30</f>
        <v>0.0981557243476675</v>
      </c>
      <c r="H30" s="237">
        <f>1-G30</f>
        <v>0.9018442756523325</v>
      </c>
      <c r="I30" s="157"/>
    </row>
    <row r="31" spans="1:9" ht="15" thickTop="1">
      <c r="A31" s="171"/>
      <c r="B31" s="172"/>
      <c r="C31" s="227"/>
      <c r="D31" s="227"/>
      <c r="E31" s="227"/>
      <c r="F31" s="173"/>
      <c r="G31" s="243"/>
      <c r="H31" s="244"/>
      <c r="I31" s="157"/>
    </row>
    <row r="32" spans="1:9" ht="15">
      <c r="A32" s="19" t="s">
        <v>60</v>
      </c>
      <c r="B32" s="165">
        <f>DATE(18,7,1)</f>
        <v>6757</v>
      </c>
      <c r="C32" s="226">
        <v>27451989.68</v>
      </c>
      <c r="D32" s="226">
        <v>2891699.85</v>
      </c>
      <c r="E32" s="226">
        <v>2951015.74</v>
      </c>
      <c r="F32" s="166">
        <f aca="true" t="shared" si="6" ref="F32:F39">(+D32-E32)/E32</f>
        <v>-0.020100160495924745</v>
      </c>
      <c r="G32" s="241">
        <f aca="true" t="shared" si="7" ref="G32:G39">D32/C32</f>
        <v>0.10533662163317556</v>
      </c>
      <c r="H32" s="242">
        <f aca="true" t="shared" si="8" ref="H32:H39">1-G32</f>
        <v>0.8946633783668244</v>
      </c>
      <c r="I32" s="157"/>
    </row>
    <row r="33" spans="1:9" ht="15">
      <c r="A33" s="19"/>
      <c r="B33" s="165">
        <f>DATE(18,8,1)</f>
        <v>6788</v>
      </c>
      <c r="C33" s="226">
        <v>25957318.24</v>
      </c>
      <c r="D33" s="226">
        <v>2785511.76</v>
      </c>
      <c r="E33" s="226">
        <v>2587760.59</v>
      </c>
      <c r="F33" s="166">
        <f t="shared" si="6"/>
        <v>0.07641787681757684</v>
      </c>
      <c r="G33" s="241">
        <f t="shared" si="7"/>
        <v>0.10731123046862179</v>
      </c>
      <c r="H33" s="242">
        <f t="shared" si="8"/>
        <v>0.8926887695313782</v>
      </c>
      <c r="I33" s="157"/>
    </row>
    <row r="34" spans="1:9" ht="15">
      <c r="A34" s="19"/>
      <c r="B34" s="165">
        <f>DATE(18,9,1)</f>
        <v>6819</v>
      </c>
      <c r="C34" s="226">
        <v>26244468.76</v>
      </c>
      <c r="D34" s="226">
        <v>2777720.64</v>
      </c>
      <c r="E34" s="226">
        <v>2789987.56</v>
      </c>
      <c r="F34" s="166">
        <f t="shared" si="6"/>
        <v>-0.004396765123927623</v>
      </c>
      <c r="G34" s="241">
        <f t="shared" si="7"/>
        <v>0.10584023115124393</v>
      </c>
      <c r="H34" s="242">
        <f t="shared" si="8"/>
        <v>0.894159768848756</v>
      </c>
      <c r="I34" s="157"/>
    </row>
    <row r="35" spans="1:9" ht="15">
      <c r="A35" s="19"/>
      <c r="B35" s="165">
        <f>DATE(18,10,1)</f>
        <v>6849</v>
      </c>
      <c r="C35" s="226">
        <v>24694763.75</v>
      </c>
      <c r="D35" s="226">
        <v>2633608.28</v>
      </c>
      <c r="E35" s="226">
        <v>2567921.26</v>
      </c>
      <c r="F35" s="166">
        <f t="shared" si="6"/>
        <v>0.025579841961353607</v>
      </c>
      <c r="G35" s="241">
        <f t="shared" si="7"/>
        <v>0.10664642539858271</v>
      </c>
      <c r="H35" s="242">
        <f t="shared" si="8"/>
        <v>0.8933535746014173</v>
      </c>
      <c r="I35" s="157"/>
    </row>
    <row r="36" spans="1:9" ht="15">
      <c r="A36" s="19"/>
      <c r="B36" s="165">
        <f>DATE(18,11,1)</f>
        <v>6880</v>
      </c>
      <c r="C36" s="226">
        <v>23994134.84</v>
      </c>
      <c r="D36" s="226">
        <v>2551021.51</v>
      </c>
      <c r="E36" s="226">
        <v>2542392.68</v>
      </c>
      <c r="F36" s="166">
        <f t="shared" si="6"/>
        <v>0.0033939800361601135</v>
      </c>
      <c r="G36" s="241">
        <f t="shared" si="7"/>
        <v>0.10631854521994509</v>
      </c>
      <c r="H36" s="242">
        <f t="shared" si="8"/>
        <v>0.8936814547800549</v>
      </c>
      <c r="I36" s="157"/>
    </row>
    <row r="37" spans="1:9" ht="15">
      <c r="A37" s="19"/>
      <c r="B37" s="165">
        <f>DATE(18,12,1)</f>
        <v>6910</v>
      </c>
      <c r="C37" s="226">
        <v>26510723.73</v>
      </c>
      <c r="D37" s="226">
        <v>2786245.45</v>
      </c>
      <c r="E37" s="226">
        <v>2721371.75</v>
      </c>
      <c r="F37" s="166">
        <f t="shared" si="6"/>
        <v>0.023838602719382308</v>
      </c>
      <c r="G37" s="241">
        <f t="shared" si="7"/>
        <v>0.10509880750056763</v>
      </c>
      <c r="H37" s="242">
        <f t="shared" si="8"/>
        <v>0.8949011924994323</v>
      </c>
      <c r="I37" s="157"/>
    </row>
    <row r="38" spans="1:9" ht="15">
      <c r="A38" s="19"/>
      <c r="B38" s="165">
        <f>DATE(19,1,1)</f>
        <v>6941</v>
      </c>
      <c r="C38" s="226">
        <v>22778766.55</v>
      </c>
      <c r="D38" s="226">
        <v>2442891.35</v>
      </c>
      <c r="E38" s="226">
        <v>2149317.95</v>
      </c>
      <c r="F38" s="166">
        <f t="shared" si="6"/>
        <v>0.1365890979508173</v>
      </c>
      <c r="G38" s="241">
        <f t="shared" si="7"/>
        <v>0.10724423311674003</v>
      </c>
      <c r="H38" s="242">
        <f t="shared" si="8"/>
        <v>0.89275576688326</v>
      </c>
      <c r="I38" s="157"/>
    </row>
    <row r="39" spans="1:9" ht="15">
      <c r="A39" s="19"/>
      <c r="B39" s="165">
        <f>DATE(19,2,1)</f>
        <v>6972</v>
      </c>
      <c r="C39" s="226">
        <v>24810301.69</v>
      </c>
      <c r="D39" s="226">
        <v>2630594.64</v>
      </c>
      <c r="E39" s="226">
        <v>2669700.18</v>
      </c>
      <c r="F39" s="166">
        <f t="shared" si="6"/>
        <v>-0.014647914508512352</v>
      </c>
      <c r="G39" s="241">
        <f t="shared" si="7"/>
        <v>0.10602832133477375</v>
      </c>
      <c r="H39" s="242">
        <f t="shared" si="8"/>
        <v>0.8939716786652263</v>
      </c>
      <c r="I39" s="157"/>
    </row>
    <row r="40" spans="1:9" ht="15" thickBot="1">
      <c r="A40" s="167"/>
      <c r="B40" s="165"/>
      <c r="C40" s="226"/>
      <c r="D40" s="226"/>
      <c r="E40" s="226"/>
      <c r="F40" s="166"/>
      <c r="G40" s="241"/>
      <c r="H40" s="242"/>
      <c r="I40" s="157"/>
    </row>
    <row r="41" spans="1:9" ht="16.5" thickBot="1" thickTop="1">
      <c r="A41" s="174" t="s">
        <v>14</v>
      </c>
      <c r="B41" s="175"/>
      <c r="C41" s="228">
        <f>SUM(C32:C40)</f>
        <v>202442467.24</v>
      </c>
      <c r="D41" s="228">
        <f>SUM(D32:D40)</f>
        <v>21499293.48</v>
      </c>
      <c r="E41" s="228">
        <f>SUM(E32:E40)</f>
        <v>20979467.71</v>
      </c>
      <c r="F41" s="176">
        <f>(+D41-E41)/E41</f>
        <v>0.024777834079756998</v>
      </c>
      <c r="G41" s="245">
        <f>D41/C41</f>
        <v>0.10619952311938638</v>
      </c>
      <c r="H41" s="246">
        <f>1-G41</f>
        <v>0.8938004768806136</v>
      </c>
      <c r="I41" s="157"/>
    </row>
    <row r="42" spans="1:9" ht="15" thickTop="1">
      <c r="A42" s="167"/>
      <c r="B42" s="168"/>
      <c r="C42" s="226"/>
      <c r="D42" s="226"/>
      <c r="E42" s="226"/>
      <c r="F42" s="166"/>
      <c r="G42" s="241"/>
      <c r="H42" s="242"/>
      <c r="I42" s="157"/>
    </row>
    <row r="43" spans="1:9" ht="15">
      <c r="A43" s="177" t="s">
        <v>65</v>
      </c>
      <c r="B43" s="165">
        <f>DATE(18,7,1)</f>
        <v>6757</v>
      </c>
      <c r="C43" s="226">
        <v>184818671</v>
      </c>
      <c r="D43" s="226">
        <v>17539246.18</v>
      </c>
      <c r="E43" s="226">
        <v>17796071.33</v>
      </c>
      <c r="F43" s="166">
        <f aca="true" t="shared" si="9" ref="F43:F50">(+D43-E43)/E43</f>
        <v>-0.014431564430012797</v>
      </c>
      <c r="G43" s="241">
        <f aca="true" t="shared" si="10" ref="G43:G50">D43/C43</f>
        <v>0.0948997527419727</v>
      </c>
      <c r="H43" s="242">
        <f aca="true" t="shared" si="11" ref="H43:H50">1-G43</f>
        <v>0.9051002472580273</v>
      </c>
      <c r="I43" s="157"/>
    </row>
    <row r="44" spans="1:9" ht="15">
      <c r="A44" s="177"/>
      <c r="B44" s="165">
        <f>DATE(18,8,1)</f>
        <v>6788</v>
      </c>
      <c r="C44" s="226">
        <v>185402170.61</v>
      </c>
      <c r="D44" s="226">
        <v>17390823.88</v>
      </c>
      <c r="E44" s="226">
        <v>17013833.45</v>
      </c>
      <c r="F44" s="166">
        <f t="shared" si="9"/>
        <v>0.02215787706561802</v>
      </c>
      <c r="G44" s="241">
        <f t="shared" si="10"/>
        <v>0.09380054086088457</v>
      </c>
      <c r="H44" s="242">
        <f t="shared" si="11"/>
        <v>0.9061994591391154</v>
      </c>
      <c r="I44" s="157"/>
    </row>
    <row r="45" spans="1:9" ht="15">
      <c r="A45" s="177"/>
      <c r="B45" s="165">
        <f>DATE(18,9,1)</f>
        <v>6819</v>
      </c>
      <c r="C45" s="226">
        <v>169616120.73</v>
      </c>
      <c r="D45" s="226">
        <v>16350217.75</v>
      </c>
      <c r="E45" s="226">
        <v>16916276.07</v>
      </c>
      <c r="F45" s="166">
        <f t="shared" si="9"/>
        <v>-0.03346234819398997</v>
      </c>
      <c r="G45" s="241">
        <f t="shared" si="10"/>
        <v>0.09639542326302089</v>
      </c>
      <c r="H45" s="242">
        <f t="shared" si="11"/>
        <v>0.9036045767369791</v>
      </c>
      <c r="I45" s="157"/>
    </row>
    <row r="46" spans="1:9" ht="15">
      <c r="A46" s="177"/>
      <c r="B46" s="165">
        <f>DATE(18,10,1)</f>
        <v>6849</v>
      </c>
      <c r="C46" s="226">
        <v>166482334.12</v>
      </c>
      <c r="D46" s="226">
        <v>15575678.63</v>
      </c>
      <c r="E46" s="226">
        <v>15553875.56</v>
      </c>
      <c r="F46" s="166">
        <f t="shared" si="9"/>
        <v>0.001401777320121513</v>
      </c>
      <c r="G46" s="241">
        <f t="shared" si="10"/>
        <v>0.09355754598426698</v>
      </c>
      <c r="H46" s="242">
        <f t="shared" si="11"/>
        <v>0.906442454015733</v>
      </c>
      <c r="I46" s="157"/>
    </row>
    <row r="47" spans="1:9" ht="15">
      <c r="A47" s="177"/>
      <c r="B47" s="165">
        <f>DATE(18,11,1)</f>
        <v>6880</v>
      </c>
      <c r="C47" s="226">
        <v>162436599.85</v>
      </c>
      <c r="D47" s="226">
        <v>14866628.69</v>
      </c>
      <c r="E47" s="226">
        <v>15514479.14</v>
      </c>
      <c r="F47" s="166">
        <f t="shared" si="9"/>
        <v>-0.041757795679372135</v>
      </c>
      <c r="G47" s="241">
        <f t="shared" si="10"/>
        <v>0.09152265378448206</v>
      </c>
      <c r="H47" s="242">
        <f t="shared" si="11"/>
        <v>0.9084773462155179</v>
      </c>
      <c r="I47" s="157"/>
    </row>
    <row r="48" spans="1:9" ht="15">
      <c r="A48" s="177"/>
      <c r="B48" s="165">
        <f>DATE(18,12,1)</f>
        <v>6910</v>
      </c>
      <c r="C48" s="226">
        <v>179551074.19</v>
      </c>
      <c r="D48" s="226">
        <v>16436113.14</v>
      </c>
      <c r="E48" s="226">
        <v>16895433.95</v>
      </c>
      <c r="F48" s="166">
        <f t="shared" si="9"/>
        <v>-0.02718609130486398</v>
      </c>
      <c r="G48" s="241">
        <f t="shared" si="10"/>
        <v>0.09154004348983952</v>
      </c>
      <c r="H48" s="242">
        <f t="shared" si="11"/>
        <v>0.9084599565101605</v>
      </c>
      <c r="I48" s="157"/>
    </row>
    <row r="49" spans="1:9" ht="15">
      <c r="A49" s="177"/>
      <c r="B49" s="165">
        <f>DATE(19,1,1)</f>
        <v>6941</v>
      </c>
      <c r="C49" s="226">
        <v>146567355.46</v>
      </c>
      <c r="D49" s="226">
        <v>13439931.69</v>
      </c>
      <c r="E49" s="226">
        <v>14722625.03</v>
      </c>
      <c r="F49" s="166">
        <f t="shared" si="9"/>
        <v>-0.08712395631799909</v>
      </c>
      <c r="G49" s="241">
        <f t="shared" si="10"/>
        <v>0.09169798859929569</v>
      </c>
      <c r="H49" s="242">
        <f t="shared" si="11"/>
        <v>0.9083020114007043</v>
      </c>
      <c r="I49" s="157"/>
    </row>
    <row r="50" spans="1:9" ht="15">
      <c r="A50" s="177"/>
      <c r="B50" s="165">
        <f>DATE(19,2,1)</f>
        <v>6972</v>
      </c>
      <c r="C50" s="226">
        <v>162305515.59</v>
      </c>
      <c r="D50" s="226">
        <v>15398690.67</v>
      </c>
      <c r="E50" s="226">
        <v>16321322.12</v>
      </c>
      <c r="F50" s="166">
        <f t="shared" si="9"/>
        <v>-0.05652921026963956</v>
      </c>
      <c r="G50" s="241">
        <f t="shared" si="10"/>
        <v>0.09487472199588481</v>
      </c>
      <c r="H50" s="242">
        <f t="shared" si="11"/>
        <v>0.9051252780041152</v>
      </c>
      <c r="I50" s="157"/>
    </row>
    <row r="51" spans="1:9" ht="15" thickBot="1">
      <c r="A51" s="167"/>
      <c r="B51" s="168"/>
      <c r="C51" s="226"/>
      <c r="D51" s="226"/>
      <c r="E51" s="226"/>
      <c r="F51" s="166"/>
      <c r="G51" s="241"/>
      <c r="H51" s="242"/>
      <c r="I51" s="157"/>
    </row>
    <row r="52" spans="1:9" ht="16.5" thickBot="1" thickTop="1">
      <c r="A52" s="174" t="s">
        <v>14</v>
      </c>
      <c r="B52" s="178"/>
      <c r="C52" s="228">
        <f>SUM(C43:C51)</f>
        <v>1357179841.55</v>
      </c>
      <c r="D52" s="228">
        <f>SUM(D43:D51)</f>
        <v>126997330.63000001</v>
      </c>
      <c r="E52" s="228">
        <f>SUM(E43:E51)</f>
        <v>130733916.65</v>
      </c>
      <c r="F52" s="176">
        <f>(+D52-E52)/E52</f>
        <v>-0.028581611533933918</v>
      </c>
      <c r="G52" s="245">
        <f>D52/C52</f>
        <v>0.09357443040486045</v>
      </c>
      <c r="H52" s="246">
        <f>1-G52</f>
        <v>0.9064255695951395</v>
      </c>
      <c r="I52" s="157"/>
    </row>
    <row r="53" spans="1:9" ht="15" thickTop="1">
      <c r="A53" s="167"/>
      <c r="B53" s="168"/>
      <c r="C53" s="226"/>
      <c r="D53" s="226"/>
      <c r="E53" s="226"/>
      <c r="F53" s="166"/>
      <c r="G53" s="241"/>
      <c r="H53" s="242"/>
      <c r="I53" s="157"/>
    </row>
    <row r="54" spans="1:9" ht="15">
      <c r="A54" s="164" t="s">
        <v>16</v>
      </c>
      <c r="B54" s="165">
        <f>DATE(18,7,1)</f>
        <v>6757</v>
      </c>
      <c r="C54" s="226">
        <v>111478358.27</v>
      </c>
      <c r="D54" s="226">
        <v>11381105.73</v>
      </c>
      <c r="E54" s="226">
        <v>12386204.68</v>
      </c>
      <c r="F54" s="166">
        <f aca="true" t="shared" si="12" ref="F54:F61">(+D54-E54)/E54</f>
        <v>-0.08114664467178814</v>
      </c>
      <c r="G54" s="241">
        <f aca="true" t="shared" si="13" ref="G54:G61">D54/C54</f>
        <v>0.10209251290223545</v>
      </c>
      <c r="H54" s="242">
        <f aca="true" t="shared" si="14" ref="H54:H61">1-G54</f>
        <v>0.8979074870977646</v>
      </c>
      <c r="I54" s="157"/>
    </row>
    <row r="55" spans="1:9" ht="15">
      <c r="A55" s="164"/>
      <c r="B55" s="165">
        <f>DATE(18,8,1)</f>
        <v>6788</v>
      </c>
      <c r="C55" s="226">
        <v>118354764.09</v>
      </c>
      <c r="D55" s="226">
        <v>11018606.25</v>
      </c>
      <c r="E55" s="226">
        <v>11735802.96</v>
      </c>
      <c r="F55" s="166">
        <f t="shared" si="12"/>
        <v>-0.0611118568064303</v>
      </c>
      <c r="G55" s="241">
        <f t="shared" si="13"/>
        <v>0.09309812186031792</v>
      </c>
      <c r="H55" s="242">
        <f t="shared" si="14"/>
        <v>0.906901878139682</v>
      </c>
      <c r="I55" s="157"/>
    </row>
    <row r="56" spans="1:9" ht="15">
      <c r="A56" s="164"/>
      <c r="B56" s="165">
        <f>DATE(18,9,1)</f>
        <v>6819</v>
      </c>
      <c r="C56" s="226">
        <v>117946300.34</v>
      </c>
      <c r="D56" s="226">
        <v>11865007.26</v>
      </c>
      <c r="E56" s="226">
        <v>11892155.97</v>
      </c>
      <c r="F56" s="166">
        <f t="shared" si="12"/>
        <v>-0.002282909008970969</v>
      </c>
      <c r="G56" s="241">
        <f t="shared" si="13"/>
        <v>0.10059668871170291</v>
      </c>
      <c r="H56" s="242">
        <f t="shared" si="14"/>
        <v>0.8994033112882971</v>
      </c>
      <c r="I56" s="157"/>
    </row>
    <row r="57" spans="1:9" ht="15">
      <c r="A57" s="164"/>
      <c r="B57" s="165">
        <f>DATE(18,10,1)</f>
        <v>6849</v>
      </c>
      <c r="C57" s="226">
        <v>111145625.37</v>
      </c>
      <c r="D57" s="226">
        <v>11049162.11</v>
      </c>
      <c r="E57" s="226">
        <v>11365393.67</v>
      </c>
      <c r="F57" s="166">
        <f t="shared" si="12"/>
        <v>-0.02782407448276277</v>
      </c>
      <c r="G57" s="241">
        <f t="shared" si="13"/>
        <v>0.09941157893725205</v>
      </c>
      <c r="H57" s="242">
        <f t="shared" si="14"/>
        <v>0.900588421062748</v>
      </c>
      <c r="I57" s="157"/>
    </row>
    <row r="58" spans="1:9" ht="15">
      <c r="A58" s="164"/>
      <c r="B58" s="165">
        <f>DATE(18,11,1)</f>
        <v>6880</v>
      </c>
      <c r="C58" s="226">
        <v>103133163.15</v>
      </c>
      <c r="D58" s="226">
        <v>10320344.72</v>
      </c>
      <c r="E58" s="226">
        <v>10423173.18</v>
      </c>
      <c r="F58" s="166">
        <f t="shared" si="12"/>
        <v>-0.00986537000050104</v>
      </c>
      <c r="G58" s="241">
        <f t="shared" si="13"/>
        <v>0.10006814883578988</v>
      </c>
      <c r="H58" s="242">
        <f t="shared" si="14"/>
        <v>0.8999318511642102</v>
      </c>
      <c r="I58" s="157"/>
    </row>
    <row r="59" spans="1:9" ht="15">
      <c r="A59" s="164"/>
      <c r="B59" s="165">
        <f>DATE(18,12,1)</f>
        <v>6910</v>
      </c>
      <c r="C59" s="226">
        <v>121311765.33</v>
      </c>
      <c r="D59" s="226">
        <v>11723908.33</v>
      </c>
      <c r="E59" s="226">
        <v>11374202.05</v>
      </c>
      <c r="F59" s="166">
        <f t="shared" si="12"/>
        <v>0.030745566015331977</v>
      </c>
      <c r="G59" s="241">
        <f t="shared" si="13"/>
        <v>0.09664279716075252</v>
      </c>
      <c r="H59" s="242">
        <f t="shared" si="14"/>
        <v>0.9033572028392475</v>
      </c>
      <c r="I59" s="157"/>
    </row>
    <row r="60" spans="1:9" ht="15">
      <c r="A60" s="164"/>
      <c r="B60" s="165">
        <f>DATE(19,1,1)</f>
        <v>6941</v>
      </c>
      <c r="C60" s="226">
        <v>101897085.93</v>
      </c>
      <c r="D60" s="226">
        <v>10040856.29</v>
      </c>
      <c r="E60" s="226">
        <v>9601370.92</v>
      </c>
      <c r="F60" s="166">
        <f t="shared" si="12"/>
        <v>0.045773189439492996</v>
      </c>
      <c r="G60" s="241">
        <f t="shared" si="13"/>
        <v>0.09853918979486559</v>
      </c>
      <c r="H60" s="242">
        <f t="shared" si="14"/>
        <v>0.9014608102051345</v>
      </c>
      <c r="I60" s="157"/>
    </row>
    <row r="61" spans="1:9" ht="15">
      <c r="A61" s="164"/>
      <c r="B61" s="165">
        <f>DATE(19,2,1)</f>
        <v>6972</v>
      </c>
      <c r="C61" s="226">
        <v>98535626.56</v>
      </c>
      <c r="D61" s="226">
        <v>9810243.7</v>
      </c>
      <c r="E61" s="226">
        <v>9958011.36</v>
      </c>
      <c r="F61" s="166">
        <f t="shared" si="12"/>
        <v>-0.014839073250464756</v>
      </c>
      <c r="G61" s="241">
        <f t="shared" si="13"/>
        <v>0.09956037265390885</v>
      </c>
      <c r="H61" s="242">
        <f t="shared" si="14"/>
        <v>0.9004396273460912</v>
      </c>
      <c r="I61" s="157"/>
    </row>
    <row r="62" spans="1:9" ht="15" thickBot="1">
      <c r="A62" s="167"/>
      <c r="B62" s="165"/>
      <c r="C62" s="226"/>
      <c r="D62" s="226"/>
      <c r="E62" s="226"/>
      <c r="F62" s="166"/>
      <c r="G62" s="241"/>
      <c r="H62" s="242"/>
      <c r="I62" s="157"/>
    </row>
    <row r="63" spans="1:9" ht="16.5" thickBot="1" thickTop="1">
      <c r="A63" s="174" t="s">
        <v>14</v>
      </c>
      <c r="B63" s="175"/>
      <c r="C63" s="228">
        <f>SUM(C54:C62)</f>
        <v>883802689.04</v>
      </c>
      <c r="D63" s="230">
        <f>SUM(D54:D62)</f>
        <v>87209234.39</v>
      </c>
      <c r="E63" s="271">
        <f>SUM(E54:E62)</f>
        <v>88736314.79</v>
      </c>
      <c r="F63" s="272">
        <f>(+D63-E63)/E63</f>
        <v>-0.01720919336817104</v>
      </c>
      <c r="G63" s="249">
        <f>D63/C63</f>
        <v>0.09867500458131442</v>
      </c>
      <c r="H63" s="270">
        <f>1-G63</f>
        <v>0.9013249954186856</v>
      </c>
      <c r="I63" s="157"/>
    </row>
    <row r="64" spans="1:9" ht="15" thickTop="1">
      <c r="A64" s="167"/>
      <c r="B64" s="168"/>
      <c r="C64" s="226"/>
      <c r="D64" s="226"/>
      <c r="E64" s="226"/>
      <c r="F64" s="166"/>
      <c r="G64" s="241"/>
      <c r="H64" s="242"/>
      <c r="I64" s="157"/>
    </row>
    <row r="65" spans="1:9" ht="15">
      <c r="A65" s="164" t="s">
        <v>66</v>
      </c>
      <c r="B65" s="165">
        <f>DATE(18,7,1)</f>
        <v>6757</v>
      </c>
      <c r="C65" s="226">
        <v>43839500.54</v>
      </c>
      <c r="D65" s="226">
        <v>4536017.05</v>
      </c>
      <c r="E65" s="226">
        <v>4991725.48</v>
      </c>
      <c r="F65" s="166">
        <f aca="true" t="shared" si="15" ref="F65:F72">(+D65-E65)/E65</f>
        <v>-0.0912927667648904</v>
      </c>
      <c r="G65" s="241">
        <f aca="true" t="shared" si="16" ref="G65:G72">D65/C65</f>
        <v>0.10346872099651891</v>
      </c>
      <c r="H65" s="242">
        <f aca="true" t="shared" si="17" ref="H65:H72">1-G65</f>
        <v>0.8965312790034811</v>
      </c>
      <c r="I65" s="157"/>
    </row>
    <row r="66" spans="1:9" ht="15">
      <c r="A66" s="164"/>
      <c r="B66" s="165">
        <f>DATE(18,8,1)</f>
        <v>6788</v>
      </c>
      <c r="C66" s="226">
        <v>43029880.97</v>
      </c>
      <c r="D66" s="226">
        <v>4611969.17</v>
      </c>
      <c r="E66" s="226">
        <v>4592418.47</v>
      </c>
      <c r="F66" s="166">
        <f t="shared" si="15"/>
        <v>0.004257168663464632</v>
      </c>
      <c r="G66" s="241">
        <f t="shared" si="16"/>
        <v>0.1071806164933484</v>
      </c>
      <c r="H66" s="242">
        <f t="shared" si="17"/>
        <v>0.8928193835066516</v>
      </c>
      <c r="I66" s="157"/>
    </row>
    <row r="67" spans="1:9" ht="15">
      <c r="A67" s="164"/>
      <c r="B67" s="165">
        <f>DATE(18,9,1)</f>
        <v>6819</v>
      </c>
      <c r="C67" s="226">
        <v>42955268.14</v>
      </c>
      <c r="D67" s="226">
        <v>4472303.22</v>
      </c>
      <c r="E67" s="226">
        <v>5151289.25</v>
      </c>
      <c r="F67" s="166">
        <f t="shared" si="15"/>
        <v>-0.13180895054572994</v>
      </c>
      <c r="G67" s="241">
        <f t="shared" si="16"/>
        <v>0.104115360319108</v>
      </c>
      <c r="H67" s="242">
        <f t="shared" si="17"/>
        <v>0.895884639680892</v>
      </c>
      <c r="I67" s="157"/>
    </row>
    <row r="68" spans="1:9" ht="15">
      <c r="A68" s="164"/>
      <c r="B68" s="165">
        <f>DATE(18,10,1)</f>
        <v>6849</v>
      </c>
      <c r="C68" s="226">
        <v>40582774.37</v>
      </c>
      <c r="D68" s="226">
        <v>4257625.94</v>
      </c>
      <c r="E68" s="226">
        <v>4567525</v>
      </c>
      <c r="F68" s="166">
        <f t="shared" si="15"/>
        <v>-0.06784835550982198</v>
      </c>
      <c r="G68" s="241">
        <f t="shared" si="16"/>
        <v>0.10491214575875239</v>
      </c>
      <c r="H68" s="242">
        <f t="shared" si="17"/>
        <v>0.8950878542412476</v>
      </c>
      <c r="I68" s="157"/>
    </row>
    <row r="69" spans="1:9" ht="15">
      <c r="A69" s="164"/>
      <c r="B69" s="165">
        <f>DATE(18,11,1)</f>
        <v>6880</v>
      </c>
      <c r="C69" s="226">
        <v>42459394.16</v>
      </c>
      <c r="D69" s="226">
        <v>4366684.07</v>
      </c>
      <c r="E69" s="226">
        <v>4348004.21</v>
      </c>
      <c r="F69" s="166">
        <f t="shared" si="15"/>
        <v>0.004296191792325872</v>
      </c>
      <c r="G69" s="241">
        <f t="shared" si="16"/>
        <v>0.1028437677076832</v>
      </c>
      <c r="H69" s="242">
        <f t="shared" si="17"/>
        <v>0.8971562322923168</v>
      </c>
      <c r="I69" s="157"/>
    </row>
    <row r="70" spans="1:9" ht="15">
      <c r="A70" s="164"/>
      <c r="B70" s="165">
        <f>DATE(18,12,1)</f>
        <v>6910</v>
      </c>
      <c r="C70" s="226">
        <v>48679067.11</v>
      </c>
      <c r="D70" s="226">
        <v>4828790.12</v>
      </c>
      <c r="E70" s="226">
        <v>4903510.72</v>
      </c>
      <c r="F70" s="166">
        <f t="shared" si="15"/>
        <v>-0.015238184286053653</v>
      </c>
      <c r="G70" s="241">
        <f t="shared" si="16"/>
        <v>0.09919643918172039</v>
      </c>
      <c r="H70" s="242">
        <f t="shared" si="17"/>
        <v>0.9008035608182796</v>
      </c>
      <c r="I70" s="157"/>
    </row>
    <row r="71" spans="1:9" ht="15">
      <c r="A71" s="164"/>
      <c r="B71" s="165">
        <f>DATE(19,1,1)</f>
        <v>6941</v>
      </c>
      <c r="C71" s="226">
        <v>39173781.12</v>
      </c>
      <c r="D71" s="226">
        <v>4076690.38</v>
      </c>
      <c r="E71" s="226">
        <v>4062330.47</v>
      </c>
      <c r="F71" s="166">
        <f t="shared" si="15"/>
        <v>0.003534894589705717</v>
      </c>
      <c r="G71" s="241">
        <f t="shared" si="16"/>
        <v>0.10406680855013671</v>
      </c>
      <c r="H71" s="242">
        <f t="shared" si="17"/>
        <v>0.8959331914498633</v>
      </c>
      <c r="I71" s="157"/>
    </row>
    <row r="72" spans="1:9" ht="15">
      <c r="A72" s="164"/>
      <c r="B72" s="165">
        <f>DATE(19,2,1)</f>
        <v>6972</v>
      </c>
      <c r="C72" s="226">
        <v>45205373.26</v>
      </c>
      <c r="D72" s="226">
        <v>4582840.96</v>
      </c>
      <c r="E72" s="226">
        <v>4744487.69</v>
      </c>
      <c r="F72" s="166">
        <f t="shared" si="15"/>
        <v>-0.03407042879270289</v>
      </c>
      <c r="G72" s="241">
        <f t="shared" si="16"/>
        <v>0.10137823514124436</v>
      </c>
      <c r="H72" s="242">
        <f t="shared" si="17"/>
        <v>0.8986217648587557</v>
      </c>
      <c r="I72" s="157"/>
    </row>
    <row r="73" spans="1:9" ht="15" thickBot="1">
      <c r="A73" s="167"/>
      <c r="B73" s="165"/>
      <c r="C73" s="226"/>
      <c r="D73" s="226"/>
      <c r="E73" s="226"/>
      <c r="F73" s="166"/>
      <c r="G73" s="241"/>
      <c r="H73" s="242"/>
      <c r="I73" s="157"/>
    </row>
    <row r="74" spans="1:9" ht="16.5" thickBot="1" thickTop="1">
      <c r="A74" s="174" t="s">
        <v>14</v>
      </c>
      <c r="B74" s="175"/>
      <c r="C74" s="228">
        <f>SUM(C65:C73)</f>
        <v>345925039.66999996</v>
      </c>
      <c r="D74" s="230">
        <f>SUM(D65:D73)</f>
        <v>35732920.91</v>
      </c>
      <c r="E74" s="271">
        <f>SUM(E65:E73)</f>
        <v>37361291.29</v>
      </c>
      <c r="F74" s="272">
        <f>(+D74-E74)/E74</f>
        <v>-0.043584424514680704</v>
      </c>
      <c r="G74" s="249">
        <f>D74/C74</f>
        <v>0.10329671695373055</v>
      </c>
      <c r="H74" s="270">
        <f>1-G74</f>
        <v>0.8967032830462695</v>
      </c>
      <c r="I74" s="157"/>
    </row>
    <row r="75" spans="1:9" ht="15" thickTop="1">
      <c r="A75" s="167"/>
      <c r="B75" s="168"/>
      <c r="C75" s="226"/>
      <c r="D75" s="226"/>
      <c r="E75" s="226"/>
      <c r="F75" s="166"/>
      <c r="G75" s="241"/>
      <c r="H75" s="242"/>
      <c r="I75" s="157"/>
    </row>
    <row r="76" spans="1:9" ht="15">
      <c r="A76" s="164" t="s">
        <v>17</v>
      </c>
      <c r="B76" s="165">
        <f>DATE(18,7,1)</f>
        <v>6757</v>
      </c>
      <c r="C76" s="226">
        <v>49505917.04</v>
      </c>
      <c r="D76" s="226">
        <v>5381167.31</v>
      </c>
      <c r="E76" s="226">
        <v>5822170.92</v>
      </c>
      <c r="F76" s="166">
        <f aca="true" t="shared" si="18" ref="F76:F83">(+D76-E76)/E76</f>
        <v>-0.07574556227559193</v>
      </c>
      <c r="G76" s="241">
        <f aca="true" t="shared" si="19" ref="G76:G83">D76/C76</f>
        <v>0.10869745743023206</v>
      </c>
      <c r="H76" s="242">
        <f aca="true" t="shared" si="20" ref="H76:H83">1-G76</f>
        <v>0.8913025425697679</v>
      </c>
      <c r="I76" s="157"/>
    </row>
    <row r="77" spans="1:9" ht="15">
      <c r="A77" s="164"/>
      <c r="B77" s="165">
        <f>DATE(18,8,1)</f>
        <v>6788</v>
      </c>
      <c r="C77" s="226">
        <v>49219766.57</v>
      </c>
      <c r="D77" s="226">
        <v>5291596.82</v>
      </c>
      <c r="E77" s="226">
        <v>5584923.33</v>
      </c>
      <c r="F77" s="166">
        <f t="shared" si="18"/>
        <v>-0.05252113460973864</v>
      </c>
      <c r="G77" s="241">
        <f t="shared" si="19"/>
        <v>0.10750958789035152</v>
      </c>
      <c r="H77" s="242">
        <f t="shared" si="20"/>
        <v>0.8924904121096485</v>
      </c>
      <c r="I77" s="157"/>
    </row>
    <row r="78" spans="1:9" ht="15">
      <c r="A78" s="164"/>
      <c r="B78" s="165">
        <f>DATE(18,9,1)</f>
        <v>6819</v>
      </c>
      <c r="C78" s="226">
        <v>46813151.35</v>
      </c>
      <c r="D78" s="226">
        <v>5027629.3</v>
      </c>
      <c r="E78" s="226">
        <v>5571414.24</v>
      </c>
      <c r="F78" s="166">
        <f t="shared" si="18"/>
        <v>-0.09760267619231995</v>
      </c>
      <c r="G78" s="241">
        <f t="shared" si="19"/>
        <v>0.10739779645276967</v>
      </c>
      <c r="H78" s="242">
        <f t="shared" si="20"/>
        <v>0.8926022035472303</v>
      </c>
      <c r="I78" s="157"/>
    </row>
    <row r="79" spans="1:9" ht="15">
      <c r="A79" s="164"/>
      <c r="B79" s="165">
        <f>DATE(18,10,1)</f>
        <v>6849</v>
      </c>
      <c r="C79" s="226">
        <v>46725704.26</v>
      </c>
      <c r="D79" s="226">
        <v>5016135.3</v>
      </c>
      <c r="E79" s="226">
        <v>5441119.06</v>
      </c>
      <c r="F79" s="166">
        <f t="shared" si="18"/>
        <v>-0.07810594756586704</v>
      </c>
      <c r="G79" s="241">
        <f t="shared" si="19"/>
        <v>0.10735280247651852</v>
      </c>
      <c r="H79" s="242">
        <f t="shared" si="20"/>
        <v>0.8926471975234815</v>
      </c>
      <c r="I79" s="157"/>
    </row>
    <row r="80" spans="1:9" ht="15">
      <c r="A80" s="164"/>
      <c r="B80" s="165">
        <f>DATE(18,11,1)</f>
        <v>6880</v>
      </c>
      <c r="C80" s="226">
        <v>42300709.46</v>
      </c>
      <c r="D80" s="226">
        <v>4899996.98</v>
      </c>
      <c r="E80" s="226">
        <v>5393254.4</v>
      </c>
      <c r="F80" s="166">
        <f t="shared" si="18"/>
        <v>-0.09145821491380045</v>
      </c>
      <c r="G80" s="241">
        <f t="shared" si="19"/>
        <v>0.11583722926996035</v>
      </c>
      <c r="H80" s="242">
        <f t="shared" si="20"/>
        <v>0.8841627707300397</v>
      </c>
      <c r="I80" s="157"/>
    </row>
    <row r="81" spans="1:9" ht="15">
      <c r="A81" s="164"/>
      <c r="B81" s="165">
        <f>DATE(18,12,1)</f>
        <v>6910</v>
      </c>
      <c r="C81" s="226">
        <v>46873294.24</v>
      </c>
      <c r="D81" s="226">
        <v>5247804.62</v>
      </c>
      <c r="E81" s="226">
        <v>5595361.43</v>
      </c>
      <c r="F81" s="166">
        <f t="shared" si="18"/>
        <v>-0.062115167062585915</v>
      </c>
      <c r="G81" s="241">
        <f t="shared" si="19"/>
        <v>0.11195723929985084</v>
      </c>
      <c r="H81" s="242">
        <f t="shared" si="20"/>
        <v>0.8880427607001492</v>
      </c>
      <c r="I81" s="157"/>
    </row>
    <row r="82" spans="1:9" ht="15">
      <c r="A82" s="164"/>
      <c r="B82" s="165">
        <f>DATE(19,1,1)</f>
        <v>6941</v>
      </c>
      <c r="C82" s="226">
        <v>41050062.55</v>
      </c>
      <c r="D82" s="226">
        <v>4476117.81</v>
      </c>
      <c r="E82" s="226">
        <v>5047120.87</v>
      </c>
      <c r="F82" s="166">
        <f t="shared" si="18"/>
        <v>-0.11313441360083784</v>
      </c>
      <c r="G82" s="241">
        <f t="shared" si="19"/>
        <v>0.1090404625948615</v>
      </c>
      <c r="H82" s="242">
        <f t="shared" si="20"/>
        <v>0.8909595374051384</v>
      </c>
      <c r="I82" s="157"/>
    </row>
    <row r="83" spans="1:9" ht="15">
      <c r="A83" s="164"/>
      <c r="B83" s="165">
        <f>DATE(19,2,1)</f>
        <v>6972</v>
      </c>
      <c r="C83" s="226">
        <v>43373573.41</v>
      </c>
      <c r="D83" s="226">
        <v>4898275.77</v>
      </c>
      <c r="E83" s="226">
        <v>5208050.55</v>
      </c>
      <c r="F83" s="166">
        <f t="shared" si="18"/>
        <v>-0.059479987190216556</v>
      </c>
      <c r="G83" s="241">
        <f t="shared" si="19"/>
        <v>0.11293226231783515</v>
      </c>
      <c r="H83" s="242">
        <f t="shared" si="20"/>
        <v>0.8870677376821648</v>
      </c>
      <c r="I83" s="157"/>
    </row>
    <row r="84" spans="1:9" ht="15" thickBot="1">
      <c r="A84" s="167"/>
      <c r="B84" s="165"/>
      <c r="C84" s="226"/>
      <c r="D84" s="226"/>
      <c r="E84" s="226"/>
      <c r="F84" s="166"/>
      <c r="G84" s="241"/>
      <c r="H84" s="242"/>
      <c r="I84" s="157"/>
    </row>
    <row r="85" spans="1:9" ht="16.5" thickBot="1" thickTop="1">
      <c r="A85" s="174" t="s">
        <v>14</v>
      </c>
      <c r="B85" s="175"/>
      <c r="C85" s="228">
        <f>SUM(C76:C84)</f>
        <v>365862178.88</v>
      </c>
      <c r="D85" s="230">
        <f>SUM(D76:D84)</f>
        <v>40238723.91</v>
      </c>
      <c r="E85" s="271">
        <f>SUM(E76:E84)</f>
        <v>43663414.8</v>
      </c>
      <c r="F85" s="272">
        <f>(+D85-E85)/E85</f>
        <v>-0.07843387663761014</v>
      </c>
      <c r="G85" s="249">
        <f>D85/C85</f>
        <v>0.10998328396004549</v>
      </c>
      <c r="H85" s="270">
        <f>1-G85</f>
        <v>0.8900167160399545</v>
      </c>
      <c r="I85" s="157"/>
    </row>
    <row r="86" spans="1:9" ht="15" thickTop="1">
      <c r="A86" s="167"/>
      <c r="B86" s="168"/>
      <c r="C86" s="226"/>
      <c r="D86" s="226"/>
      <c r="E86" s="226"/>
      <c r="F86" s="166"/>
      <c r="G86" s="241"/>
      <c r="H86" s="242"/>
      <c r="I86" s="157"/>
    </row>
    <row r="87" spans="1:9" ht="15">
      <c r="A87" s="164" t="s">
        <v>67</v>
      </c>
      <c r="B87" s="165">
        <f>DATE(18,7,1)</f>
        <v>6757</v>
      </c>
      <c r="C87" s="226">
        <v>116042592.23</v>
      </c>
      <c r="D87" s="226">
        <v>11368416.64</v>
      </c>
      <c r="E87" s="226">
        <v>10117966.68</v>
      </c>
      <c r="F87" s="166">
        <f aca="true" t="shared" si="21" ref="F87:F94">(+D87-E87)/E87</f>
        <v>0.12358708024525743</v>
      </c>
      <c r="G87" s="241">
        <f aca="true" t="shared" si="22" ref="G87:G94">D87/C87</f>
        <v>0.09796762052219109</v>
      </c>
      <c r="H87" s="242">
        <f aca="true" t="shared" si="23" ref="H87:H94">1-G87</f>
        <v>0.9020323794778089</v>
      </c>
      <c r="I87" s="157"/>
    </row>
    <row r="88" spans="1:9" ht="15">
      <c r="A88" s="164"/>
      <c r="B88" s="165">
        <f>DATE(18,8,1)</f>
        <v>6788</v>
      </c>
      <c r="C88" s="226">
        <v>116465353.84</v>
      </c>
      <c r="D88" s="226">
        <v>11900739.72</v>
      </c>
      <c r="E88" s="226">
        <v>10081520.41</v>
      </c>
      <c r="F88" s="166">
        <f t="shared" si="21"/>
        <v>0.18045088796284056</v>
      </c>
      <c r="G88" s="241">
        <f t="shared" si="22"/>
        <v>0.10218266057345454</v>
      </c>
      <c r="H88" s="242">
        <f t="shared" si="23"/>
        <v>0.8978173394265454</v>
      </c>
      <c r="I88" s="157"/>
    </row>
    <row r="89" spans="1:9" ht="15">
      <c r="A89" s="164"/>
      <c r="B89" s="165">
        <f>DATE(18,9,1)</f>
        <v>6819</v>
      </c>
      <c r="C89" s="226">
        <v>111448034.52</v>
      </c>
      <c r="D89" s="226">
        <v>10737435.65</v>
      </c>
      <c r="E89" s="226">
        <v>9642813.36</v>
      </c>
      <c r="F89" s="166">
        <f t="shared" si="21"/>
        <v>0.11351690104681245</v>
      </c>
      <c r="G89" s="241">
        <f t="shared" si="22"/>
        <v>0.09634477356415923</v>
      </c>
      <c r="H89" s="242">
        <f t="shared" si="23"/>
        <v>0.9036552264358407</v>
      </c>
      <c r="I89" s="157"/>
    </row>
    <row r="90" spans="1:9" ht="15">
      <c r="A90" s="164"/>
      <c r="B90" s="165">
        <f>DATE(18,10,1)</f>
        <v>6849</v>
      </c>
      <c r="C90" s="226">
        <v>108094900.66</v>
      </c>
      <c r="D90" s="226">
        <v>10634805.06</v>
      </c>
      <c r="E90" s="226">
        <v>9440836.54</v>
      </c>
      <c r="F90" s="166">
        <f t="shared" si="21"/>
        <v>0.12646850890186068</v>
      </c>
      <c r="G90" s="241">
        <f t="shared" si="22"/>
        <v>0.09838396626544438</v>
      </c>
      <c r="H90" s="242">
        <f t="shared" si="23"/>
        <v>0.9016160337345556</v>
      </c>
      <c r="I90" s="157"/>
    </row>
    <row r="91" spans="1:9" ht="15">
      <c r="A91" s="164"/>
      <c r="B91" s="165">
        <f>DATE(18,11,1)</f>
        <v>6880</v>
      </c>
      <c r="C91" s="226">
        <v>109404617.43</v>
      </c>
      <c r="D91" s="226">
        <v>10364939.92</v>
      </c>
      <c r="E91" s="226">
        <v>9748688.07</v>
      </c>
      <c r="F91" s="166">
        <f t="shared" si="21"/>
        <v>0.06321382380634522</v>
      </c>
      <c r="G91" s="241">
        <f t="shared" si="22"/>
        <v>0.09473951066673914</v>
      </c>
      <c r="H91" s="242">
        <f t="shared" si="23"/>
        <v>0.9052604893332609</v>
      </c>
      <c r="I91" s="157"/>
    </row>
    <row r="92" spans="1:9" ht="15">
      <c r="A92" s="164"/>
      <c r="B92" s="165">
        <f>DATE(18,12,1)</f>
        <v>6910</v>
      </c>
      <c r="C92" s="226">
        <v>117265837.39</v>
      </c>
      <c r="D92" s="226">
        <v>11597435.08</v>
      </c>
      <c r="E92" s="226">
        <v>10597064.9</v>
      </c>
      <c r="F92" s="166">
        <f t="shared" si="21"/>
        <v>0.09440068447632133</v>
      </c>
      <c r="G92" s="241">
        <f t="shared" si="22"/>
        <v>0.09889866766080832</v>
      </c>
      <c r="H92" s="242">
        <f t="shared" si="23"/>
        <v>0.9011013323391917</v>
      </c>
      <c r="I92" s="157"/>
    </row>
    <row r="93" spans="1:9" ht="15">
      <c r="A93" s="164"/>
      <c r="B93" s="165">
        <f>DATE(19,1,1)</f>
        <v>6941</v>
      </c>
      <c r="C93" s="226">
        <v>99792067.16</v>
      </c>
      <c r="D93" s="226">
        <v>9957125.17</v>
      </c>
      <c r="E93" s="226">
        <v>10120620.01</v>
      </c>
      <c r="F93" s="166">
        <f t="shared" si="21"/>
        <v>-0.016154626874485316</v>
      </c>
      <c r="G93" s="241">
        <f t="shared" si="22"/>
        <v>0.09977872443543438</v>
      </c>
      <c r="H93" s="242">
        <f t="shared" si="23"/>
        <v>0.9002212755645657</v>
      </c>
      <c r="I93" s="157"/>
    </row>
    <row r="94" spans="1:9" ht="15">
      <c r="A94" s="164"/>
      <c r="B94" s="165">
        <f>DATE(19,2,1)</f>
        <v>6972</v>
      </c>
      <c r="C94" s="226">
        <v>99240269.22</v>
      </c>
      <c r="D94" s="226">
        <v>10422099.2</v>
      </c>
      <c r="E94" s="226">
        <v>11560671.16</v>
      </c>
      <c r="F94" s="166">
        <f t="shared" si="21"/>
        <v>-0.0984866660630801</v>
      </c>
      <c r="G94" s="241">
        <f t="shared" si="22"/>
        <v>0.10501885254760698</v>
      </c>
      <c r="H94" s="242">
        <f t="shared" si="23"/>
        <v>0.894981147452393</v>
      </c>
      <c r="I94" s="157"/>
    </row>
    <row r="95" spans="1:9" ht="15" thickBot="1">
      <c r="A95" s="167"/>
      <c r="B95" s="165"/>
      <c r="C95" s="226"/>
      <c r="D95" s="226"/>
      <c r="E95" s="226"/>
      <c r="F95" s="166"/>
      <c r="G95" s="241"/>
      <c r="H95" s="242"/>
      <c r="I95" s="157"/>
    </row>
    <row r="96" spans="1:9" ht="16.5" thickBot="1" thickTop="1">
      <c r="A96" s="174" t="s">
        <v>14</v>
      </c>
      <c r="B96" s="175"/>
      <c r="C96" s="228">
        <f>SUM(C87:C95)</f>
        <v>877753672.45</v>
      </c>
      <c r="D96" s="230">
        <f>SUM(D87:D95)</f>
        <v>86982996.44</v>
      </c>
      <c r="E96" s="271">
        <f>SUM(E87:E95)</f>
        <v>81310181.13</v>
      </c>
      <c r="F96" s="176">
        <f>(+D96-E96)/E96</f>
        <v>0.06976758914028511</v>
      </c>
      <c r="G96" s="249">
        <f>D96/C96</f>
        <v>0.0990972742924694</v>
      </c>
      <c r="H96" s="270">
        <f>1-G96</f>
        <v>0.9009027257075306</v>
      </c>
      <c r="I96" s="157"/>
    </row>
    <row r="97" spans="1:9" ht="15" thickTop="1">
      <c r="A97" s="167"/>
      <c r="B97" s="179"/>
      <c r="C97" s="229"/>
      <c r="D97" s="229"/>
      <c r="E97" s="229"/>
      <c r="F97" s="180"/>
      <c r="G97" s="247"/>
      <c r="H97" s="248"/>
      <c r="I97" s="157"/>
    </row>
    <row r="98" spans="1:9" ht="15">
      <c r="A98" s="164" t="s">
        <v>18</v>
      </c>
      <c r="B98" s="165">
        <f>DATE(18,7,1)</f>
        <v>6757</v>
      </c>
      <c r="C98" s="226">
        <v>150620962.91</v>
      </c>
      <c r="D98" s="226">
        <v>14900213.5</v>
      </c>
      <c r="E98" s="226">
        <v>13990899.67</v>
      </c>
      <c r="F98" s="166">
        <f aca="true" t="shared" si="24" ref="F98:F105">(+D98-E98)/E98</f>
        <v>0.06499323499187097</v>
      </c>
      <c r="G98" s="241">
        <f aca="true" t="shared" si="25" ref="G98:G105">D98/C98</f>
        <v>0.09892523067259416</v>
      </c>
      <c r="H98" s="242">
        <f aca="true" t="shared" si="26" ref="H98:H105">1-G98</f>
        <v>0.9010747693274058</v>
      </c>
      <c r="I98" s="157"/>
    </row>
    <row r="99" spans="1:9" ht="15">
      <c r="A99" s="164"/>
      <c r="B99" s="165">
        <f>DATE(18,8,1)</f>
        <v>6788</v>
      </c>
      <c r="C99" s="226">
        <v>151491190.93</v>
      </c>
      <c r="D99" s="226">
        <v>14829811.22</v>
      </c>
      <c r="E99" s="226">
        <v>13373041.55</v>
      </c>
      <c r="F99" s="166">
        <f t="shared" si="24"/>
        <v>0.10893330919172982</v>
      </c>
      <c r="G99" s="241">
        <f t="shared" si="25"/>
        <v>0.09789223471648893</v>
      </c>
      <c r="H99" s="242">
        <f t="shared" si="26"/>
        <v>0.9021077652835111</v>
      </c>
      <c r="I99" s="157"/>
    </row>
    <row r="100" spans="1:9" ht="15">
      <c r="A100" s="164"/>
      <c r="B100" s="165">
        <f>DATE(18,9,1)</f>
        <v>6819</v>
      </c>
      <c r="C100" s="226">
        <v>146030772.52</v>
      </c>
      <c r="D100" s="226">
        <v>13962676.2</v>
      </c>
      <c r="E100" s="226">
        <v>13392030.43</v>
      </c>
      <c r="F100" s="166">
        <f t="shared" si="24"/>
        <v>0.04261084777119936</v>
      </c>
      <c r="G100" s="241">
        <f t="shared" si="25"/>
        <v>0.09561461573510273</v>
      </c>
      <c r="H100" s="242">
        <f t="shared" si="26"/>
        <v>0.9043853842648972</v>
      </c>
      <c r="I100" s="157"/>
    </row>
    <row r="101" spans="1:9" ht="15">
      <c r="A101" s="164"/>
      <c r="B101" s="165">
        <f>DATE(18,10,1)</f>
        <v>6849</v>
      </c>
      <c r="C101" s="226">
        <v>136339674.75</v>
      </c>
      <c r="D101" s="226">
        <v>13179828.55</v>
      </c>
      <c r="E101" s="226">
        <v>12769108.56</v>
      </c>
      <c r="F101" s="166">
        <f t="shared" si="24"/>
        <v>0.032165126333611516</v>
      </c>
      <c r="G101" s="241">
        <f t="shared" si="25"/>
        <v>0.0966690625760056</v>
      </c>
      <c r="H101" s="242">
        <f t="shared" si="26"/>
        <v>0.9033309374239944</v>
      </c>
      <c r="I101" s="157"/>
    </row>
    <row r="102" spans="1:9" ht="15">
      <c r="A102" s="164"/>
      <c r="B102" s="165">
        <f>DATE(18,11,1)</f>
        <v>6880</v>
      </c>
      <c r="C102" s="226">
        <v>130209291.22</v>
      </c>
      <c r="D102" s="226">
        <v>12404366.57</v>
      </c>
      <c r="E102" s="226">
        <v>12739975.57</v>
      </c>
      <c r="F102" s="166">
        <f t="shared" si="24"/>
        <v>-0.026342986150639847</v>
      </c>
      <c r="G102" s="241">
        <f t="shared" si="25"/>
        <v>0.09526483443521505</v>
      </c>
      <c r="H102" s="242">
        <f t="shared" si="26"/>
        <v>0.904735165564785</v>
      </c>
      <c r="I102" s="157"/>
    </row>
    <row r="103" spans="1:9" ht="15">
      <c r="A103" s="164"/>
      <c r="B103" s="165">
        <f>DATE(18,12,1)</f>
        <v>6910</v>
      </c>
      <c r="C103" s="226">
        <v>148668507.31</v>
      </c>
      <c r="D103" s="226">
        <v>14279714.56</v>
      </c>
      <c r="E103" s="226">
        <v>13705331.41</v>
      </c>
      <c r="F103" s="166">
        <f t="shared" si="24"/>
        <v>0.04190946813448857</v>
      </c>
      <c r="G103" s="241">
        <f t="shared" si="25"/>
        <v>0.0960507024545843</v>
      </c>
      <c r="H103" s="242">
        <f t="shared" si="26"/>
        <v>0.9039492975454158</v>
      </c>
      <c r="I103" s="157"/>
    </row>
    <row r="104" spans="1:9" ht="15">
      <c r="A104" s="164"/>
      <c r="B104" s="165">
        <f>DATE(19,1,1)</f>
        <v>6941</v>
      </c>
      <c r="C104" s="226">
        <v>125103165.66</v>
      </c>
      <c r="D104" s="226">
        <v>12070419.86</v>
      </c>
      <c r="E104" s="226">
        <v>12314929.47</v>
      </c>
      <c r="F104" s="166">
        <f t="shared" si="24"/>
        <v>-0.019854730844837007</v>
      </c>
      <c r="G104" s="241">
        <f t="shared" si="25"/>
        <v>0.09648372841982646</v>
      </c>
      <c r="H104" s="242">
        <f t="shared" si="26"/>
        <v>0.9035162715801736</v>
      </c>
      <c r="I104" s="157"/>
    </row>
    <row r="105" spans="1:9" ht="15">
      <c r="A105" s="164"/>
      <c r="B105" s="165">
        <f>DATE(19,2,1)</f>
        <v>6972</v>
      </c>
      <c r="C105" s="226">
        <v>129874405.7</v>
      </c>
      <c r="D105" s="226">
        <v>12585263.32</v>
      </c>
      <c r="E105" s="226">
        <v>12905800.56</v>
      </c>
      <c r="F105" s="166">
        <f t="shared" si="24"/>
        <v>-0.02483668010440727</v>
      </c>
      <c r="G105" s="241">
        <f t="shared" si="25"/>
        <v>0.09690333712918772</v>
      </c>
      <c r="H105" s="242">
        <f t="shared" si="26"/>
        <v>0.9030966628708123</v>
      </c>
      <c r="I105" s="157"/>
    </row>
    <row r="106" spans="1:9" ht="15.75" customHeight="1" thickBot="1">
      <c r="A106" s="164"/>
      <c r="B106" s="165"/>
      <c r="C106" s="226"/>
      <c r="D106" s="226"/>
      <c r="E106" s="226"/>
      <c r="F106" s="166"/>
      <c r="G106" s="241"/>
      <c r="H106" s="242"/>
      <c r="I106" s="157"/>
    </row>
    <row r="107" spans="1:9" ht="16.5" thickBot="1" thickTop="1">
      <c r="A107" s="174" t="s">
        <v>14</v>
      </c>
      <c r="B107" s="181"/>
      <c r="C107" s="228">
        <f>SUM(C98:C106)</f>
        <v>1118337971</v>
      </c>
      <c r="D107" s="228">
        <f>SUM(D98:D106)</f>
        <v>108212293.78</v>
      </c>
      <c r="E107" s="228">
        <f>SUM(E98:E106)</f>
        <v>105191117.22</v>
      </c>
      <c r="F107" s="176">
        <f>(+D107-E107)/E107</f>
        <v>0.02872083346810947</v>
      </c>
      <c r="G107" s="245">
        <f>D107/C107</f>
        <v>0.09676170941708997</v>
      </c>
      <c r="H107" s="246">
        <f>1-G107</f>
        <v>0.90323829058291</v>
      </c>
      <c r="I107" s="157"/>
    </row>
    <row r="108" spans="1:9" ht="15" thickTop="1">
      <c r="A108" s="171"/>
      <c r="B108" s="172"/>
      <c r="C108" s="227"/>
      <c r="D108" s="227"/>
      <c r="E108" s="227"/>
      <c r="F108" s="173"/>
      <c r="G108" s="243"/>
      <c r="H108" s="244"/>
      <c r="I108" s="157"/>
    </row>
    <row r="109" spans="1:9" ht="15">
      <c r="A109" s="164" t="s">
        <v>58</v>
      </c>
      <c r="B109" s="165">
        <f>DATE(18,7,1)</f>
        <v>6757</v>
      </c>
      <c r="C109" s="226">
        <v>178050719.09</v>
      </c>
      <c r="D109" s="226">
        <v>16699225.8</v>
      </c>
      <c r="E109" s="226">
        <v>17449857.02</v>
      </c>
      <c r="F109" s="166">
        <f aca="true" t="shared" si="27" ref="F109:F116">(+D109-E109)/E109</f>
        <v>-0.0430164682231877</v>
      </c>
      <c r="G109" s="241">
        <f aca="true" t="shared" si="28" ref="G109:G116">D109/C109</f>
        <v>0.09378915112136658</v>
      </c>
      <c r="H109" s="242">
        <f aca="true" t="shared" si="29" ref="H109:H116">1-G109</f>
        <v>0.9062108488786335</v>
      </c>
      <c r="I109" s="157"/>
    </row>
    <row r="110" spans="1:9" ht="15">
      <c r="A110" s="164"/>
      <c r="B110" s="165">
        <f>DATE(18,8,1)</f>
        <v>6788</v>
      </c>
      <c r="C110" s="226">
        <v>177417877.38</v>
      </c>
      <c r="D110" s="226">
        <v>16622760.62</v>
      </c>
      <c r="E110" s="226">
        <v>16610228.17</v>
      </c>
      <c r="F110" s="166">
        <f t="shared" si="27"/>
        <v>0.0007545019774402807</v>
      </c>
      <c r="G110" s="241">
        <f t="shared" si="28"/>
        <v>0.09369270372002463</v>
      </c>
      <c r="H110" s="242">
        <f t="shared" si="29"/>
        <v>0.9063072962799754</v>
      </c>
      <c r="I110" s="157"/>
    </row>
    <row r="111" spans="1:9" ht="15">
      <c r="A111" s="164"/>
      <c r="B111" s="165">
        <f>DATE(18,9,1)</f>
        <v>6819</v>
      </c>
      <c r="C111" s="226">
        <v>176309993.38</v>
      </c>
      <c r="D111" s="226">
        <v>16260476.05</v>
      </c>
      <c r="E111" s="226">
        <v>16301470.13</v>
      </c>
      <c r="F111" s="166">
        <f t="shared" si="27"/>
        <v>-0.002514747422967555</v>
      </c>
      <c r="G111" s="241">
        <f t="shared" si="28"/>
        <v>0.09222662730724447</v>
      </c>
      <c r="H111" s="242">
        <f t="shared" si="29"/>
        <v>0.9077733726927555</v>
      </c>
      <c r="I111" s="157"/>
    </row>
    <row r="112" spans="1:9" ht="15">
      <c r="A112" s="164"/>
      <c r="B112" s="165">
        <f>DATE(18,10,1)</f>
        <v>6849</v>
      </c>
      <c r="C112" s="226">
        <v>165733376.61</v>
      </c>
      <c r="D112" s="226">
        <v>15649969.25</v>
      </c>
      <c r="E112" s="226">
        <v>15646297.04</v>
      </c>
      <c r="F112" s="166">
        <f t="shared" si="27"/>
        <v>0.00023470153932351104</v>
      </c>
      <c r="G112" s="241">
        <f t="shared" si="28"/>
        <v>0.0944285910907804</v>
      </c>
      <c r="H112" s="242">
        <f t="shared" si="29"/>
        <v>0.9055714089092196</v>
      </c>
      <c r="I112" s="157"/>
    </row>
    <row r="113" spans="1:9" ht="15">
      <c r="A113" s="164"/>
      <c r="B113" s="165">
        <f>DATE(18,11,1)</f>
        <v>6880</v>
      </c>
      <c r="C113" s="226">
        <v>164845336.98</v>
      </c>
      <c r="D113" s="226">
        <v>15252914.51</v>
      </c>
      <c r="E113" s="226">
        <v>15321390.57</v>
      </c>
      <c r="F113" s="166">
        <f t="shared" si="27"/>
        <v>-0.004469311038521519</v>
      </c>
      <c r="G113" s="241">
        <f t="shared" si="28"/>
        <v>0.09252863799144391</v>
      </c>
      <c r="H113" s="242">
        <f t="shared" si="29"/>
        <v>0.907471362008556</v>
      </c>
      <c r="I113" s="157"/>
    </row>
    <row r="114" spans="1:9" ht="15">
      <c r="A114" s="164"/>
      <c r="B114" s="165">
        <f>DATE(18,12,1)</f>
        <v>6910</v>
      </c>
      <c r="C114" s="226">
        <v>182628317.28</v>
      </c>
      <c r="D114" s="226">
        <v>17347128.27</v>
      </c>
      <c r="E114" s="226">
        <v>17108418.35</v>
      </c>
      <c r="F114" s="166">
        <f t="shared" si="27"/>
        <v>0.013952775476758087</v>
      </c>
      <c r="G114" s="241">
        <f t="shared" si="28"/>
        <v>0.09498597221045368</v>
      </c>
      <c r="H114" s="242">
        <f t="shared" si="29"/>
        <v>0.9050140277895463</v>
      </c>
      <c r="I114" s="157"/>
    </row>
    <row r="115" spans="1:9" ht="15">
      <c r="A115" s="164"/>
      <c r="B115" s="165">
        <f>DATE(19,1,1)</f>
        <v>6941</v>
      </c>
      <c r="C115" s="226">
        <v>146589870.57</v>
      </c>
      <c r="D115" s="226">
        <v>13808864.72</v>
      </c>
      <c r="E115" s="226">
        <v>14386363.66</v>
      </c>
      <c r="F115" s="166">
        <f t="shared" si="27"/>
        <v>-0.04014210634794974</v>
      </c>
      <c r="G115" s="241">
        <f t="shared" si="28"/>
        <v>0.09420067475539487</v>
      </c>
      <c r="H115" s="242">
        <f t="shared" si="29"/>
        <v>0.9057993252446052</v>
      </c>
      <c r="I115" s="157"/>
    </row>
    <row r="116" spans="1:9" ht="15">
      <c r="A116" s="164"/>
      <c r="B116" s="165">
        <f>DATE(19,2,1)</f>
        <v>6972</v>
      </c>
      <c r="C116" s="226">
        <v>157370469.43</v>
      </c>
      <c r="D116" s="226">
        <v>14872520.16</v>
      </c>
      <c r="E116" s="226">
        <v>15815880.54</v>
      </c>
      <c r="F116" s="166">
        <f t="shared" si="27"/>
        <v>-0.05964640271619041</v>
      </c>
      <c r="G116" s="241">
        <f t="shared" si="28"/>
        <v>0.09450642305299502</v>
      </c>
      <c r="H116" s="242">
        <f t="shared" si="29"/>
        <v>0.9054935769470049</v>
      </c>
      <c r="I116" s="157"/>
    </row>
    <row r="117" spans="1:9" ht="15" thickBot="1">
      <c r="A117" s="167"/>
      <c r="B117" s="168"/>
      <c r="C117" s="226"/>
      <c r="D117" s="226"/>
      <c r="E117" s="226"/>
      <c r="F117" s="166"/>
      <c r="G117" s="241"/>
      <c r="H117" s="242"/>
      <c r="I117" s="157"/>
    </row>
    <row r="118" spans="1:9" ht="16.5" thickBot="1" thickTop="1">
      <c r="A118" s="174" t="s">
        <v>14</v>
      </c>
      <c r="B118" s="175"/>
      <c r="C118" s="228">
        <f>SUM(C109:C117)</f>
        <v>1348945960.72</v>
      </c>
      <c r="D118" s="228">
        <f>SUM(D109:D117)</f>
        <v>126513859.38</v>
      </c>
      <c r="E118" s="228">
        <f>SUM(E109:E117)</f>
        <v>128639905.47999999</v>
      </c>
      <c r="F118" s="176">
        <f>(+D118-E118)/E118</f>
        <v>-0.016527111801481666</v>
      </c>
      <c r="G118" s="249">
        <f>D118/C118</f>
        <v>0.09378719612494574</v>
      </c>
      <c r="H118" s="270">
        <f>1-G118</f>
        <v>0.9062128038750543</v>
      </c>
      <c r="I118" s="157"/>
    </row>
    <row r="119" spans="1:9" ht="15" thickTop="1">
      <c r="A119" s="167"/>
      <c r="B119" s="168"/>
      <c r="C119" s="226"/>
      <c r="D119" s="226"/>
      <c r="E119" s="226"/>
      <c r="F119" s="166"/>
      <c r="G119" s="241"/>
      <c r="H119" s="242"/>
      <c r="I119" s="157"/>
    </row>
    <row r="120" spans="1:9" ht="15">
      <c r="A120" s="164" t="s">
        <v>59</v>
      </c>
      <c r="B120" s="165">
        <f>DATE(18,7,1)</f>
        <v>6757</v>
      </c>
      <c r="C120" s="226">
        <v>24024603.44</v>
      </c>
      <c r="D120" s="226">
        <v>2665233.29</v>
      </c>
      <c r="E120" s="226">
        <v>2744349.13</v>
      </c>
      <c r="F120" s="166">
        <f aca="true" t="shared" si="30" ref="F120:F127">(+D120-E120)/E120</f>
        <v>-0.028828635225431342</v>
      </c>
      <c r="G120" s="241">
        <f aca="true" t="shared" si="31" ref="G120:G127">D120/C120</f>
        <v>0.11093766008068602</v>
      </c>
      <c r="H120" s="242">
        <f aca="true" t="shared" si="32" ref="H120:H127">1-G120</f>
        <v>0.8890623399193139</v>
      </c>
      <c r="I120" s="157"/>
    </row>
    <row r="121" spans="1:9" ht="15">
      <c r="A121" s="164"/>
      <c r="B121" s="165">
        <f>DATE(18,8,1)</f>
        <v>6788</v>
      </c>
      <c r="C121" s="226">
        <v>22943875.77</v>
      </c>
      <c r="D121" s="226">
        <v>2551392.61</v>
      </c>
      <c r="E121" s="226">
        <v>2540959.26</v>
      </c>
      <c r="F121" s="166">
        <f t="shared" si="30"/>
        <v>0.004106067406999707</v>
      </c>
      <c r="G121" s="241">
        <f t="shared" si="31"/>
        <v>0.11120146550549423</v>
      </c>
      <c r="H121" s="242">
        <f t="shared" si="32"/>
        <v>0.8887985344945057</v>
      </c>
      <c r="I121" s="157"/>
    </row>
    <row r="122" spans="1:9" ht="15">
      <c r="A122" s="164"/>
      <c r="B122" s="165">
        <f>DATE(18,9,1)</f>
        <v>6819</v>
      </c>
      <c r="C122" s="226">
        <v>21572518.82</v>
      </c>
      <c r="D122" s="226">
        <v>2483855.77</v>
      </c>
      <c r="E122" s="226">
        <v>2634253.17</v>
      </c>
      <c r="F122" s="166">
        <f t="shared" si="30"/>
        <v>-0.057092993837035</v>
      </c>
      <c r="G122" s="241">
        <f t="shared" si="31"/>
        <v>0.11513981240323239</v>
      </c>
      <c r="H122" s="242">
        <f t="shared" si="32"/>
        <v>0.8848601875967677</v>
      </c>
      <c r="I122" s="157"/>
    </row>
    <row r="123" spans="1:9" ht="15">
      <c r="A123" s="164"/>
      <c r="B123" s="165">
        <f>DATE(18,10,1)</f>
        <v>6849</v>
      </c>
      <c r="C123" s="226">
        <v>20179012.58</v>
      </c>
      <c r="D123" s="226">
        <v>2351894.38</v>
      </c>
      <c r="E123" s="226">
        <v>2351008.96</v>
      </c>
      <c r="F123" s="166">
        <f t="shared" si="30"/>
        <v>0.0003766127713949357</v>
      </c>
      <c r="G123" s="241">
        <f t="shared" si="31"/>
        <v>0.11655150967748691</v>
      </c>
      <c r="H123" s="242">
        <f t="shared" si="32"/>
        <v>0.883448490322513</v>
      </c>
      <c r="I123" s="157"/>
    </row>
    <row r="124" spans="1:9" ht="15">
      <c r="A124" s="164"/>
      <c r="B124" s="165">
        <f>DATE(18,11,1)</f>
        <v>6880</v>
      </c>
      <c r="C124" s="226">
        <v>19644269.84</v>
      </c>
      <c r="D124" s="226">
        <v>2270138.19</v>
      </c>
      <c r="E124" s="226">
        <v>2370134.99</v>
      </c>
      <c r="F124" s="166">
        <f t="shared" si="30"/>
        <v>-0.0421903395468628</v>
      </c>
      <c r="G124" s="241">
        <f t="shared" si="31"/>
        <v>0.11556236034680736</v>
      </c>
      <c r="H124" s="242">
        <f t="shared" si="32"/>
        <v>0.8844376396531927</v>
      </c>
      <c r="I124" s="157"/>
    </row>
    <row r="125" spans="1:9" ht="15">
      <c r="A125" s="164"/>
      <c r="B125" s="165">
        <f>DATE(18,12,1)</f>
        <v>6910</v>
      </c>
      <c r="C125" s="226">
        <v>22250868.33</v>
      </c>
      <c r="D125" s="226">
        <v>2456280.23</v>
      </c>
      <c r="E125" s="226">
        <v>2474390.43</v>
      </c>
      <c r="F125" s="166">
        <f t="shared" si="30"/>
        <v>-0.007319055141997209</v>
      </c>
      <c r="G125" s="241">
        <f t="shared" si="31"/>
        <v>0.11039030897901143</v>
      </c>
      <c r="H125" s="242">
        <f t="shared" si="32"/>
        <v>0.8896096910209885</v>
      </c>
      <c r="I125" s="157"/>
    </row>
    <row r="126" spans="1:9" ht="15">
      <c r="A126" s="164"/>
      <c r="B126" s="165">
        <f>DATE(19,1,1)</f>
        <v>6941</v>
      </c>
      <c r="C126" s="226">
        <v>16631867.08</v>
      </c>
      <c r="D126" s="226">
        <v>1907536.47</v>
      </c>
      <c r="E126" s="226">
        <v>2393011.98</v>
      </c>
      <c r="F126" s="166">
        <f t="shared" si="30"/>
        <v>-0.20287216029733374</v>
      </c>
      <c r="G126" s="241">
        <f t="shared" si="31"/>
        <v>0.11469166154495265</v>
      </c>
      <c r="H126" s="242">
        <f t="shared" si="32"/>
        <v>0.8853083384550473</v>
      </c>
      <c r="I126" s="157"/>
    </row>
    <row r="127" spans="1:9" ht="15">
      <c r="A127" s="164"/>
      <c r="B127" s="165">
        <f>DATE(19,2,1)</f>
        <v>6972</v>
      </c>
      <c r="C127" s="226">
        <v>19618686.47</v>
      </c>
      <c r="D127" s="226">
        <v>2252695.42</v>
      </c>
      <c r="E127" s="226">
        <v>2447889.15</v>
      </c>
      <c r="F127" s="166">
        <f t="shared" si="30"/>
        <v>-0.07973961157514015</v>
      </c>
      <c r="G127" s="241">
        <f t="shared" si="31"/>
        <v>0.11482396762111058</v>
      </c>
      <c r="H127" s="242">
        <f t="shared" si="32"/>
        <v>0.8851760323788894</v>
      </c>
      <c r="I127" s="157"/>
    </row>
    <row r="128" spans="1:9" ht="15" thickBot="1">
      <c r="A128" s="167"/>
      <c r="B128" s="168"/>
      <c r="C128" s="226"/>
      <c r="D128" s="226"/>
      <c r="E128" s="226"/>
      <c r="F128" s="166"/>
      <c r="G128" s="241"/>
      <c r="H128" s="242"/>
      <c r="I128" s="157"/>
    </row>
    <row r="129" spans="1:9" ht="16.5" thickBot="1" thickTop="1">
      <c r="A129" s="182" t="s">
        <v>14</v>
      </c>
      <c r="B129" s="183"/>
      <c r="C129" s="230">
        <f>SUM(C120:C128)</f>
        <v>166865702.33</v>
      </c>
      <c r="D129" s="230">
        <f>SUM(D120:D128)</f>
        <v>18939026.36</v>
      </c>
      <c r="E129" s="230">
        <f>SUM(E120:E128)</f>
        <v>19955997.069999997</v>
      </c>
      <c r="F129" s="176">
        <f>(+D129-E129)/E129</f>
        <v>-0.05096065640983767</v>
      </c>
      <c r="G129" s="249">
        <f>D129/C129</f>
        <v>0.11349861652543465</v>
      </c>
      <c r="H129" s="246">
        <f>1-G129</f>
        <v>0.8865013834745653</v>
      </c>
      <c r="I129" s="157"/>
    </row>
    <row r="130" spans="1:9" ht="15" thickTop="1">
      <c r="A130" s="167"/>
      <c r="B130" s="168"/>
      <c r="C130" s="226"/>
      <c r="D130" s="226"/>
      <c r="E130" s="226"/>
      <c r="F130" s="166"/>
      <c r="G130" s="241"/>
      <c r="H130" s="242"/>
      <c r="I130" s="157"/>
    </row>
    <row r="131" spans="1:9" ht="15">
      <c r="A131" s="164" t="s">
        <v>40</v>
      </c>
      <c r="B131" s="165">
        <f>DATE(18,7,1)</f>
        <v>6757</v>
      </c>
      <c r="C131" s="226">
        <v>216736742.84</v>
      </c>
      <c r="D131" s="226">
        <v>19406302.42</v>
      </c>
      <c r="E131" s="226">
        <v>20250233.59</v>
      </c>
      <c r="F131" s="166">
        <f aca="true" t="shared" si="33" ref="F131:F138">(+D131-E131)/E131</f>
        <v>-0.04167513259781603</v>
      </c>
      <c r="G131" s="241">
        <f aca="true" t="shared" si="34" ref="G131:G138">D131/C131</f>
        <v>0.08953859029950531</v>
      </c>
      <c r="H131" s="242">
        <f aca="true" t="shared" si="35" ref="H131:H138">1-G131</f>
        <v>0.9104614097004947</v>
      </c>
      <c r="I131" s="157"/>
    </row>
    <row r="132" spans="1:9" ht="15">
      <c r="A132" s="164"/>
      <c r="B132" s="165">
        <f>DATE(18,8,1)</f>
        <v>6788</v>
      </c>
      <c r="C132" s="226">
        <v>217223700.98</v>
      </c>
      <c r="D132" s="226">
        <v>19632454.71</v>
      </c>
      <c r="E132" s="226">
        <v>18649872.98</v>
      </c>
      <c r="F132" s="166">
        <f t="shared" si="33"/>
        <v>0.05268570628088001</v>
      </c>
      <c r="G132" s="241">
        <f t="shared" si="34"/>
        <v>0.09037897163812517</v>
      </c>
      <c r="H132" s="242">
        <f t="shared" si="35"/>
        <v>0.9096210283618749</v>
      </c>
      <c r="I132" s="157"/>
    </row>
    <row r="133" spans="1:9" ht="15">
      <c r="A133" s="164"/>
      <c r="B133" s="165">
        <f>DATE(18,9,1)</f>
        <v>6819</v>
      </c>
      <c r="C133" s="226">
        <v>205256989.51</v>
      </c>
      <c r="D133" s="226">
        <v>18357005.34</v>
      </c>
      <c r="E133" s="226">
        <v>18449653.52</v>
      </c>
      <c r="F133" s="166">
        <f t="shared" si="33"/>
        <v>-0.0050216758758946985</v>
      </c>
      <c r="G133" s="241">
        <f t="shared" si="34"/>
        <v>0.08943425207503425</v>
      </c>
      <c r="H133" s="242">
        <f t="shared" si="35"/>
        <v>0.9105657479249658</v>
      </c>
      <c r="I133" s="157"/>
    </row>
    <row r="134" spans="1:9" ht="15">
      <c r="A134" s="164"/>
      <c r="B134" s="165">
        <f>DATE(18,10,1)</f>
        <v>6849</v>
      </c>
      <c r="C134" s="226">
        <v>197988846.7</v>
      </c>
      <c r="D134" s="226">
        <v>17743741.07</v>
      </c>
      <c r="E134" s="226">
        <v>17943427.35</v>
      </c>
      <c r="F134" s="166">
        <f t="shared" si="33"/>
        <v>-0.011128658762062042</v>
      </c>
      <c r="G134" s="241">
        <f t="shared" si="34"/>
        <v>0.08961990215987253</v>
      </c>
      <c r="H134" s="242">
        <f t="shared" si="35"/>
        <v>0.9103800978401275</v>
      </c>
      <c r="I134" s="157"/>
    </row>
    <row r="135" spans="1:9" ht="15">
      <c r="A135" s="164"/>
      <c r="B135" s="165">
        <f>DATE(18,11,1)</f>
        <v>6880</v>
      </c>
      <c r="C135" s="226">
        <v>200122811.33</v>
      </c>
      <c r="D135" s="226">
        <v>17751037.91</v>
      </c>
      <c r="E135" s="226">
        <v>17723437.11</v>
      </c>
      <c r="F135" s="166">
        <f t="shared" si="33"/>
        <v>0.001557305156369906</v>
      </c>
      <c r="G135" s="241">
        <f t="shared" si="34"/>
        <v>0.08870072228162316</v>
      </c>
      <c r="H135" s="242">
        <f t="shared" si="35"/>
        <v>0.9112992777183768</v>
      </c>
      <c r="I135" s="157"/>
    </row>
    <row r="136" spans="1:9" ht="15">
      <c r="A136" s="164"/>
      <c r="B136" s="165">
        <f>DATE(18,12,1)</f>
        <v>6910</v>
      </c>
      <c r="C136" s="226">
        <v>215473575.27</v>
      </c>
      <c r="D136" s="226">
        <v>19880708.1</v>
      </c>
      <c r="E136" s="226">
        <v>18728361.25</v>
      </c>
      <c r="F136" s="166">
        <f t="shared" si="33"/>
        <v>0.061529507820658975</v>
      </c>
      <c r="G136" s="241">
        <f t="shared" si="34"/>
        <v>0.09226517950095924</v>
      </c>
      <c r="H136" s="242">
        <f t="shared" si="35"/>
        <v>0.9077348204990408</v>
      </c>
      <c r="I136" s="157"/>
    </row>
    <row r="137" spans="1:9" ht="15">
      <c r="A137" s="164"/>
      <c r="B137" s="165">
        <f>DATE(19,1,1)</f>
        <v>6941</v>
      </c>
      <c r="C137" s="226">
        <v>178812274.35</v>
      </c>
      <c r="D137" s="226">
        <v>15585305.41</v>
      </c>
      <c r="E137" s="226">
        <v>16953191</v>
      </c>
      <c r="F137" s="166">
        <f t="shared" si="33"/>
        <v>-0.08068602483154941</v>
      </c>
      <c r="G137" s="241">
        <f t="shared" si="34"/>
        <v>0.08716015422685104</v>
      </c>
      <c r="H137" s="242">
        <f t="shared" si="35"/>
        <v>0.9128398457731489</v>
      </c>
      <c r="I137" s="157"/>
    </row>
    <row r="138" spans="1:9" ht="15">
      <c r="A138" s="164"/>
      <c r="B138" s="165">
        <f>DATE(19,2,1)</f>
        <v>6972</v>
      </c>
      <c r="C138" s="226">
        <v>189779653.38</v>
      </c>
      <c r="D138" s="226">
        <v>17148799.08</v>
      </c>
      <c r="E138" s="226">
        <v>18138655.68</v>
      </c>
      <c r="F138" s="166">
        <f t="shared" si="33"/>
        <v>-0.05457166272203043</v>
      </c>
      <c r="G138" s="241">
        <f t="shared" si="34"/>
        <v>0.09036163136868303</v>
      </c>
      <c r="H138" s="242">
        <f t="shared" si="35"/>
        <v>0.909638368631317</v>
      </c>
      <c r="I138" s="157"/>
    </row>
    <row r="139" spans="1:9" ht="15" thickBot="1">
      <c r="A139" s="167"/>
      <c r="B139" s="168"/>
      <c r="C139" s="226"/>
      <c r="D139" s="226"/>
      <c r="E139" s="226"/>
      <c r="F139" s="166"/>
      <c r="G139" s="241"/>
      <c r="H139" s="242"/>
      <c r="I139" s="157"/>
    </row>
    <row r="140" spans="1:9" ht="16.5" thickBot="1" thickTop="1">
      <c r="A140" s="174" t="s">
        <v>14</v>
      </c>
      <c r="B140" s="175"/>
      <c r="C140" s="228">
        <f>SUM(C131:C139)</f>
        <v>1621394594.3600001</v>
      </c>
      <c r="D140" s="228">
        <f>SUM(D131:D139)</f>
        <v>145505354.03999996</v>
      </c>
      <c r="E140" s="228">
        <f>SUM(E131:E139)</f>
        <v>146836832.48</v>
      </c>
      <c r="F140" s="176">
        <f>(+D140-E140)/E140</f>
        <v>-0.009067741502673605</v>
      </c>
      <c r="G140" s="245">
        <f>D140/C140</f>
        <v>0.08974086539213738</v>
      </c>
      <c r="H140" s="246">
        <f>1-G140</f>
        <v>0.9102591346078626</v>
      </c>
      <c r="I140" s="157"/>
    </row>
    <row r="141" spans="1:9" ht="15" thickTop="1">
      <c r="A141" s="167"/>
      <c r="B141" s="168"/>
      <c r="C141" s="226"/>
      <c r="D141" s="226"/>
      <c r="E141" s="226"/>
      <c r="F141" s="166"/>
      <c r="G141" s="241"/>
      <c r="H141" s="242"/>
      <c r="I141" s="157"/>
    </row>
    <row r="142" spans="1:9" ht="15">
      <c r="A142" s="164" t="s">
        <v>64</v>
      </c>
      <c r="B142" s="165">
        <f>DATE(18,7,1)</f>
        <v>6757</v>
      </c>
      <c r="C142" s="226">
        <v>30178966.07</v>
      </c>
      <c r="D142" s="226">
        <v>3425449</v>
      </c>
      <c r="E142" s="226">
        <v>3031134.15</v>
      </c>
      <c r="F142" s="166">
        <f aca="true" t="shared" si="36" ref="F142:F149">(+D142-E142)/E142</f>
        <v>0.13008822126859682</v>
      </c>
      <c r="G142" s="241">
        <f aca="true" t="shared" si="37" ref="G142:G149">D142/C142</f>
        <v>0.11350451808238506</v>
      </c>
      <c r="H142" s="242">
        <f aca="true" t="shared" si="38" ref="H142:H149">1-G142</f>
        <v>0.886495481917615</v>
      </c>
      <c r="I142" s="157"/>
    </row>
    <row r="143" spans="1:9" ht="15">
      <c r="A143" s="164"/>
      <c r="B143" s="165">
        <f>DATE(18,8,1)</f>
        <v>6788</v>
      </c>
      <c r="C143" s="226">
        <v>31687944.14</v>
      </c>
      <c r="D143" s="226">
        <v>3421840.59</v>
      </c>
      <c r="E143" s="226">
        <v>3021204.93</v>
      </c>
      <c r="F143" s="166">
        <f t="shared" si="36"/>
        <v>0.13260790621045349</v>
      </c>
      <c r="G143" s="241">
        <f t="shared" si="37"/>
        <v>0.10798556621035497</v>
      </c>
      <c r="H143" s="242">
        <f t="shared" si="38"/>
        <v>0.8920144337896451</v>
      </c>
      <c r="I143" s="157"/>
    </row>
    <row r="144" spans="1:9" ht="15">
      <c r="A144" s="164"/>
      <c r="B144" s="165">
        <f>DATE(18,9,1)</f>
        <v>6819</v>
      </c>
      <c r="C144" s="226">
        <v>28817033.2</v>
      </c>
      <c r="D144" s="226">
        <v>3252949</v>
      </c>
      <c r="E144" s="226">
        <v>3254625.5</v>
      </c>
      <c r="F144" s="166">
        <f t="shared" si="36"/>
        <v>-0.0005151130291334594</v>
      </c>
      <c r="G144" s="241">
        <f t="shared" si="37"/>
        <v>0.11288285568550478</v>
      </c>
      <c r="H144" s="242">
        <f t="shared" si="38"/>
        <v>0.8871171443144952</v>
      </c>
      <c r="I144" s="157"/>
    </row>
    <row r="145" spans="1:9" ht="15">
      <c r="A145" s="164"/>
      <c r="B145" s="165">
        <f>DATE(18,10,1)</f>
        <v>6849</v>
      </c>
      <c r="C145" s="226">
        <v>29906173.86</v>
      </c>
      <c r="D145" s="226">
        <v>3250399.43</v>
      </c>
      <c r="E145" s="226">
        <v>3125463.3</v>
      </c>
      <c r="F145" s="166">
        <f t="shared" si="36"/>
        <v>0.03997363526872971</v>
      </c>
      <c r="G145" s="241">
        <f t="shared" si="37"/>
        <v>0.10868656904143338</v>
      </c>
      <c r="H145" s="242">
        <f t="shared" si="38"/>
        <v>0.8913134309585666</v>
      </c>
      <c r="I145" s="157"/>
    </row>
    <row r="146" spans="1:9" ht="15">
      <c r="A146" s="164"/>
      <c r="B146" s="165">
        <f>DATE(18,11,1)</f>
        <v>6880</v>
      </c>
      <c r="C146" s="226">
        <v>28831016.57</v>
      </c>
      <c r="D146" s="226">
        <v>3195617.35</v>
      </c>
      <c r="E146" s="226">
        <v>3210022.57</v>
      </c>
      <c r="F146" s="166">
        <f t="shared" si="36"/>
        <v>-0.004487575923804094</v>
      </c>
      <c r="G146" s="241">
        <f t="shared" si="37"/>
        <v>0.11083956551588219</v>
      </c>
      <c r="H146" s="242">
        <f t="shared" si="38"/>
        <v>0.8891604344841179</v>
      </c>
      <c r="I146" s="157"/>
    </row>
    <row r="147" spans="1:9" ht="15">
      <c r="A147" s="164"/>
      <c r="B147" s="165">
        <f>DATE(18,12,1)</f>
        <v>6910</v>
      </c>
      <c r="C147" s="226">
        <v>32019263.8</v>
      </c>
      <c r="D147" s="226">
        <v>3572083.96</v>
      </c>
      <c r="E147" s="226">
        <v>3515871.15</v>
      </c>
      <c r="F147" s="166">
        <f t="shared" si="36"/>
        <v>0.015988302074153103</v>
      </c>
      <c r="G147" s="241">
        <f t="shared" si="37"/>
        <v>0.11156046504729443</v>
      </c>
      <c r="H147" s="242">
        <f t="shared" si="38"/>
        <v>0.8884395349527056</v>
      </c>
      <c r="I147" s="157"/>
    </row>
    <row r="148" spans="1:9" ht="15">
      <c r="A148" s="164"/>
      <c r="B148" s="165">
        <f>DATE(19,1,1)</f>
        <v>6941</v>
      </c>
      <c r="C148" s="226">
        <v>26958137.51</v>
      </c>
      <c r="D148" s="226">
        <v>3109821.23</v>
      </c>
      <c r="E148" s="226">
        <v>3085963.24</v>
      </c>
      <c r="F148" s="166">
        <f t="shared" si="36"/>
        <v>0.007731132273629985</v>
      </c>
      <c r="G148" s="241">
        <f t="shared" si="37"/>
        <v>0.11535742144079596</v>
      </c>
      <c r="H148" s="242">
        <f t="shared" si="38"/>
        <v>0.884642578559204</v>
      </c>
      <c r="I148" s="157"/>
    </row>
    <row r="149" spans="1:9" ht="15">
      <c r="A149" s="164"/>
      <c r="B149" s="165">
        <f>DATE(19,2,1)</f>
        <v>6972</v>
      </c>
      <c r="C149" s="226">
        <v>29682847.85</v>
      </c>
      <c r="D149" s="226">
        <v>3355638.84</v>
      </c>
      <c r="E149" s="226">
        <v>3332057.19</v>
      </c>
      <c r="F149" s="166">
        <f t="shared" si="36"/>
        <v>0.007077204458186358</v>
      </c>
      <c r="G149" s="241">
        <f t="shared" si="37"/>
        <v>0.11304976048650937</v>
      </c>
      <c r="H149" s="242">
        <f t="shared" si="38"/>
        <v>0.8869502395134906</v>
      </c>
      <c r="I149" s="157"/>
    </row>
    <row r="150" spans="1:9" ht="15" thickBot="1">
      <c r="A150" s="167"/>
      <c r="B150" s="168"/>
      <c r="C150" s="226"/>
      <c r="D150" s="226"/>
      <c r="E150" s="226"/>
      <c r="F150" s="166"/>
      <c r="G150" s="241"/>
      <c r="H150" s="242"/>
      <c r="I150" s="157"/>
    </row>
    <row r="151" spans="1:9" ht="16.5" thickBot="1" thickTop="1">
      <c r="A151" s="169" t="s">
        <v>14</v>
      </c>
      <c r="B151" s="155"/>
      <c r="C151" s="223">
        <f>SUM(C142:C150)</f>
        <v>238081383</v>
      </c>
      <c r="D151" s="223">
        <f>SUM(D142:D150)</f>
        <v>26583799.4</v>
      </c>
      <c r="E151" s="223">
        <f>SUM(E142:E150)</f>
        <v>25576342.029999997</v>
      </c>
      <c r="F151" s="176">
        <f>(+D151-E151)/E151</f>
        <v>0.03939020555864849</v>
      </c>
      <c r="G151" s="245">
        <f>D151/C151</f>
        <v>0.11165845504182072</v>
      </c>
      <c r="H151" s="246">
        <f>1-G151</f>
        <v>0.8883415449581793</v>
      </c>
      <c r="I151" s="157"/>
    </row>
    <row r="152" spans="1:9" ht="15.75" thickBot="1" thickTop="1">
      <c r="A152" s="171"/>
      <c r="B152" s="172"/>
      <c r="C152" s="227"/>
      <c r="D152" s="227"/>
      <c r="E152" s="227"/>
      <c r="F152" s="173"/>
      <c r="G152" s="243"/>
      <c r="H152" s="244"/>
      <c r="I152" s="157"/>
    </row>
    <row r="153" spans="1:9" ht="16.5" thickBot="1" thickTop="1">
      <c r="A153" s="184" t="s">
        <v>41</v>
      </c>
      <c r="B153" s="155"/>
      <c r="C153" s="223">
        <f>C151+C140+C107+C85+C63+C41+C19+C52+C129+C30+C96+C118+C74</f>
        <v>9910299804.88</v>
      </c>
      <c r="D153" s="223">
        <f>D151+D140+D107+D85+D63+D41+D19+D52+D129+D30+D96+D118+D74</f>
        <v>963080329.8399999</v>
      </c>
      <c r="E153" s="223">
        <f>E151+E140+E107+E85+E63+E41+E19+E52+E129+E30+E96+E118+E74</f>
        <v>971343647.4000001</v>
      </c>
      <c r="F153" s="170">
        <f>(+D153-E153)/E153</f>
        <v>-0.008507100017711178</v>
      </c>
      <c r="G153" s="236">
        <f>D153/C153</f>
        <v>0.09717973712215677</v>
      </c>
      <c r="H153" s="237">
        <f>1-G153</f>
        <v>0.9028202628778432</v>
      </c>
      <c r="I153" s="157"/>
    </row>
    <row r="154" spans="1:9" ht="16.5" thickBot="1" thickTop="1">
      <c r="A154" s="184"/>
      <c r="B154" s="155"/>
      <c r="C154" s="223"/>
      <c r="D154" s="223"/>
      <c r="E154" s="223"/>
      <c r="F154" s="170"/>
      <c r="G154" s="236"/>
      <c r="H154" s="237"/>
      <c r="I154" s="157"/>
    </row>
    <row r="155" spans="1:9" ht="16.5" thickBot="1" thickTop="1">
      <c r="A155" s="184" t="s">
        <v>42</v>
      </c>
      <c r="B155" s="155"/>
      <c r="C155" s="223">
        <f>+C17+C28+C39+C50+C61+C72+C83+C94+C105+C116+C127+C138+C149</f>
        <v>1161107024.67</v>
      </c>
      <c r="D155" s="223">
        <f>+D17+D28+D39+D50+D61+D72+D83+D94+D105+D116+D127+D138+D149</f>
        <v>113966180.99000001</v>
      </c>
      <c r="E155" s="223">
        <f>+E17+E28+E39+E50+E61+E72+E83+E94+E105+E116+E127+E138+E149</f>
        <v>120695535.92000002</v>
      </c>
      <c r="F155" s="170">
        <f>(+D155-E155)/E155</f>
        <v>-0.05575479555814218</v>
      </c>
      <c r="G155" s="236">
        <f>D155/C155</f>
        <v>0.09815303720377586</v>
      </c>
      <c r="H155" s="246">
        <f>1-G155</f>
        <v>0.9018469627962241</v>
      </c>
      <c r="I155" s="157"/>
    </row>
    <row r="156" spans="1:9" ht="15.75" thickTop="1">
      <c r="A156" s="185"/>
      <c r="B156" s="186"/>
      <c r="C156" s="231"/>
      <c r="D156" s="231"/>
      <c r="E156" s="231"/>
      <c r="F156" s="187"/>
      <c r="G156" s="250"/>
      <c r="H156" s="250"/>
      <c r="I156" s="151"/>
    </row>
    <row r="157" spans="1:9" ht="16.5" customHeight="1">
      <c r="A157" s="188" t="s">
        <v>52</v>
      </c>
      <c r="B157" s="189"/>
      <c r="C157" s="232"/>
      <c r="D157" s="232"/>
      <c r="E157" s="232"/>
      <c r="F157" s="190"/>
      <c r="G157" s="251"/>
      <c r="H157" s="251"/>
      <c r="I157" s="151"/>
    </row>
    <row r="158" spans="1:9" ht="15">
      <c r="A158" s="191"/>
      <c r="B158" s="189"/>
      <c r="C158" s="232"/>
      <c r="D158" s="232"/>
      <c r="E158" s="232"/>
      <c r="F158" s="190"/>
      <c r="G158" s="257"/>
      <c r="H158" s="257"/>
      <c r="I158" s="151"/>
    </row>
    <row r="159" spans="1:9" ht="15">
      <c r="A159" s="72"/>
      <c r="I159" s="151"/>
    </row>
  </sheetData>
  <sheetProtection/>
  <printOptions horizontalCentered="1"/>
  <pageMargins left="0.75" right="0.25" top="0.3194" bottom="0.2" header="0.5" footer="0.5"/>
  <pageSetup horizontalDpi="600" verticalDpi="600" orientation="landscape" scale="66" r:id="rId1"/>
  <rowBreaks count="3" manualBreakCount="3">
    <brk id="52" max="8" man="1"/>
    <brk id="96" max="8" man="1"/>
    <brk id="1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Jennifer Bruns</cp:lastModifiedBy>
  <cp:lastPrinted>2019-03-07T15:02:04Z</cp:lastPrinted>
  <dcterms:created xsi:type="dcterms:W3CDTF">2003-09-09T14:41:43Z</dcterms:created>
  <dcterms:modified xsi:type="dcterms:W3CDTF">2019-03-07T15:05:57Z</dcterms:modified>
  <cp:category/>
  <cp:version/>
  <cp:contentType/>
  <cp:contentStatus/>
</cp:coreProperties>
</file>