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STATS'!$A$1:$M$130</definedName>
    <definedName name="_xlnm.Print_Area" localSheetId="4">'SLOT STATS'!$A$1:$I$131</definedName>
    <definedName name="_xlnm.Print_Area" localSheetId="2">'TABLE STATS'!$A$1:$H$130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<sst xmlns="http://schemas.openxmlformats.org/spreadsheetml/2006/main" count="241" uniqueCount="79">
  <si>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</si>
  <si>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</si>
  <si>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</si>
  <si>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</si>
  <si>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</si>
  <si>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</si>
  <si>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</si>
  <si>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</si>
  <si>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</si>
  <si>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</si>
  <si>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</si>
  <si>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</si>
  <si>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</si>
  <si>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</si>
  <si>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</si>
  <si>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</si>
  <si>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</si>
  <si>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</si>
  <si>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</si>
  <si>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</si>
  <si>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</si>
  <si>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</si>
  <si>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</si>
  <si>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</si>
  <si>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</si>
  <si>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</si>
  <si>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</si>
  <si>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</si>
  <si>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</si>
  <si>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</si>
  <si>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</si>
  <si>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</si>
  <si>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</si>
  <si>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</si>
  <si>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</si>
  <si>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</si>
  <si>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</si>
  <si>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</si>
  <si>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</si>
  <si>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</si>
  <si>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</si>
  <si>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</si>
  <si>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</si>
  <si>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</si>
  <si>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</si>
  <si>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</si>
  <si>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</si>
  <si>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</si>
  <si>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</si>
  <si>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</si>
  <si>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</si>
  <si>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</si>
  <si>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</si>
  <si>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</si>
  <si>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</si>
  <si>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</si>
  <si>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</si>
  <si>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</si>
  <si>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</si>
  <si>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</si>
  <si>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</si>
  <si>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</si>
  <si>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</si>
  <si>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</si>
  <si>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</si>
  <si>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</si>
  <si>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</si>
  <si>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</si>
  <si>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</si>
  <si>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</si>
  <si>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</si>
  <si>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</si>
  <si>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DECEMBER 31, 2022</t>
  </si>
  <si>
    <t>(as reported on the tax remittal database dtd 1/9/23)</t>
  </si>
  <si>
    <t>FOR THE MONTH ENDED:   DECEMBER 31, 2022</t>
  </si>
  <si>
    <t>THRU MONTH ENDED:   DECEMBER 31, 2022</t>
  </si>
  <si>
    <t>(as reported on the tax remittal database as of 1/9/23)</t>
  </si>
  <si>
    <t>THRU MONTH ENDED:    DECEMBER 31, 2022</t>
  </si>
  <si>
    <t>THRU MONTH ENDED:     DECEMBER 31,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</si>
</sst>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 aca="true" t="shared" si="0" ref="E9:E14">(+C9-D9)/D9</f>
        <v>-0.06383079255851513</v>
      </c>
      <c r="F9" s="21">
        <f>+C9-101378</f>
        <v>116565</v>
      </c>
      <c r="G9" s="21">
        <f>+D9-107437</f>
        <v>125366</v>
      </c>
      <c r="H9" s="23">
        <f aca="true" t="shared" si="1" ref="H9:H14">(+F9-G9)/G9</f>
        <v>-0.0702024472344974</v>
      </c>
      <c r="I9" s="24">
        <f aca="true" t="shared" si="2" ref="I9:I14">K9/C9</f>
        <v>73.39293026158217</v>
      </c>
      <c r="J9" s="24">
        <f aca="true" t="shared" si="3" ref="J9:J14">K9/F9</f>
        <v>137.22365547119634</v>
      </c>
      <c r="K9" s="21">
        <v>15995475.4</v>
      </c>
      <c r="L9" s="21">
        <v>15939478.61</v>
      </c>
      <c r="M9" s="25">
        <f aca="true" t="shared" si="4" ref="M9:M14">(+K9-L9)/L9</f>
        <v>0.0035130879353149035</v>
      </c>
      <c r="N9" s="10"/>
      <c r="R9" s="2"/>
    </row>
    <row r="10" spans="1:18" ht="15.75">
      <c r="A10" s="19"/>
      <c r="B10" s="20">
        <f>DATE(2022,8,1)</f>
        <v>44774</v>
      </c>
      <c r="C10" s="21">
        <v>199444</v>
      </c>
      <c r="D10" s="22">
        <v>224849</v>
      </c>
      <c r="E10" s="23">
        <f t="shared" si="0"/>
        <v>-0.11298693790054659</v>
      </c>
      <c r="F10" s="21">
        <f>+C10-93160</f>
        <v>106284</v>
      </c>
      <c r="G10" s="21">
        <f>+D10-102898</f>
        <v>121951</v>
      </c>
      <c r="H10" s="23">
        <f t="shared" si="1"/>
        <v>-0.12846963124533625</v>
      </c>
      <c r="I10" s="24">
        <f t="shared" si="2"/>
        <v>76.13284024588356</v>
      </c>
      <c r="J10" s="24">
        <f t="shared" si="3"/>
        <v>142.86476035903803</v>
      </c>
      <c r="K10" s="21">
        <v>15184238.19</v>
      </c>
      <c r="L10" s="21">
        <v>15076597.12</v>
      </c>
      <c r="M10" s="25">
        <f t="shared" si="4"/>
        <v>0.007139613080010478</v>
      </c>
      <c r="N10" s="10"/>
      <c r="R10" s="2"/>
    </row>
    <row r="11" spans="1:18" ht="15.75">
      <c r="A11" s="19"/>
      <c r="B11" s="20">
        <f>DATE(2022,9,1)</f>
        <v>44805</v>
      </c>
      <c r="C11" s="21">
        <v>190853</v>
      </c>
      <c r="D11" s="22">
        <v>206050</v>
      </c>
      <c r="E11" s="23">
        <f t="shared" si="0"/>
        <v>-0.07375394321766561</v>
      </c>
      <c r="F11" s="21">
        <f>+C11-90801</f>
        <v>100052</v>
      </c>
      <c r="G11" s="21">
        <f>+D11-93968</f>
        <v>112082</v>
      </c>
      <c r="H11" s="23">
        <f t="shared" si="1"/>
        <v>-0.10733213183205154</v>
      </c>
      <c r="I11" s="24">
        <f t="shared" si="2"/>
        <v>72.70080192608971</v>
      </c>
      <c r="J11" s="24">
        <f t="shared" si="3"/>
        <v>138.67954813496982</v>
      </c>
      <c r="K11" s="21">
        <v>13875166.15</v>
      </c>
      <c r="L11" s="21">
        <v>13876432.72</v>
      </c>
      <c r="M11" s="25">
        <f t="shared" si="4"/>
        <v>-9.127489936046748E-05</v>
      </c>
      <c r="N11" s="10"/>
      <c r="R11" s="2"/>
    </row>
    <row r="12" spans="1:18" ht="15.75">
      <c r="A12" s="19"/>
      <c r="B12" s="20">
        <f>DATE(2022,10,1)</f>
        <v>44835</v>
      </c>
      <c r="C12" s="21">
        <v>191998</v>
      </c>
      <c r="D12" s="22">
        <v>219538</v>
      </c>
      <c r="E12" s="23">
        <f t="shared" si="0"/>
        <v>-0.12544525321356667</v>
      </c>
      <c r="F12" s="21">
        <f>+C12-90818</f>
        <v>101180</v>
      </c>
      <c r="G12" s="21">
        <f>+D12-100658</f>
        <v>118880</v>
      </c>
      <c r="H12" s="23">
        <f t="shared" si="1"/>
        <v>-0.14888963660834456</v>
      </c>
      <c r="I12" s="24">
        <f t="shared" si="2"/>
        <v>76.28116969968437</v>
      </c>
      <c r="J12" s="24">
        <f t="shared" si="3"/>
        <v>144.75026704882387</v>
      </c>
      <c r="K12" s="21">
        <v>14645832.02</v>
      </c>
      <c r="L12" s="21">
        <v>15248970.91</v>
      </c>
      <c r="M12" s="25">
        <f t="shared" si="4"/>
        <v>-0.03955276021967312</v>
      </c>
      <c r="N12" s="10"/>
      <c r="R12" s="2"/>
    </row>
    <row r="13" spans="1:18" ht="15.75">
      <c r="A13" s="19"/>
      <c r="B13" s="20">
        <f>DATE(2022,11,1)</f>
        <v>44866</v>
      </c>
      <c r="C13" s="21">
        <v>181329</v>
      </c>
      <c r="D13" s="22">
        <v>201331</v>
      </c>
      <c r="E13" s="23">
        <f t="shared" si="0"/>
        <v>-0.09934883351297118</v>
      </c>
      <c r="F13" s="21">
        <f>+C13-85776</f>
        <v>95553</v>
      </c>
      <c r="G13" s="21">
        <f>+D13-92874</f>
        <v>108457</v>
      </c>
      <c r="H13" s="23">
        <f t="shared" si="1"/>
        <v>-0.11897802815862507</v>
      </c>
      <c r="I13" s="24">
        <f t="shared" si="2"/>
        <v>74.71362490280099</v>
      </c>
      <c r="J13" s="24">
        <f t="shared" si="3"/>
        <v>141.78253838184045</v>
      </c>
      <c r="K13" s="21">
        <v>13547746.89</v>
      </c>
      <c r="L13" s="21">
        <v>13533758.14</v>
      </c>
      <c r="M13" s="25">
        <f t="shared" si="4"/>
        <v>0.0010336190328874902</v>
      </c>
      <c r="N13" s="10"/>
      <c r="R13" s="2"/>
    </row>
    <row r="14" spans="1:18" ht="15.75">
      <c r="A14" s="19"/>
      <c r="B14" s="20">
        <f>DATE(2022,12,1)</f>
        <v>44896</v>
      </c>
      <c r="C14" s="21">
        <v>198171</v>
      </c>
      <c r="D14" s="22">
        <v>212681</v>
      </c>
      <c r="E14" s="23">
        <f t="shared" si="0"/>
        <v>-0.06822424193980657</v>
      </c>
      <c r="F14" s="21">
        <f>+C14-94616</f>
        <v>103555</v>
      </c>
      <c r="G14" s="21">
        <f>+D14-99427</f>
        <v>113254</v>
      </c>
      <c r="H14" s="23">
        <f t="shared" si="1"/>
        <v>-0.08563935931622724</v>
      </c>
      <c r="I14" s="24">
        <f t="shared" si="2"/>
        <v>66.7055760933739</v>
      </c>
      <c r="J14" s="24">
        <f t="shared" si="3"/>
        <v>127.65304157211145</v>
      </c>
      <c r="K14" s="21">
        <v>13219110.72</v>
      </c>
      <c r="L14" s="21">
        <v>14610455.7</v>
      </c>
      <c r="M14" s="25">
        <f t="shared" si="4"/>
        <v>-0.09522940341963453</v>
      </c>
      <c r="N14" s="10"/>
      <c r="R14" s="2"/>
    </row>
    <row r="15" spans="1:18" ht="15.75" customHeight="1" thickBot="1">
      <c r="A15" s="19"/>
      <c r="B15" s="20"/>
      <c r="C15" s="21"/>
      <c r="D15" s="21"/>
      <c r="E15" s="23"/>
      <c r="F15" s="21"/>
      <c r="G15" s="21"/>
      <c r="H15" s="23"/>
      <c r="I15" s="24"/>
      <c r="J15" s="24"/>
      <c r="K15" s="21"/>
      <c r="L15" s="21"/>
      <c r="M15" s="25"/>
      <c r="N15" s="10"/>
      <c r="R15" s="2"/>
    </row>
    <row r="16" spans="1:18" ht="17.25" thickBot="1" thickTop="1">
      <c r="A16" s="26" t="s">
        <v>14</v>
      </c>
      <c r="B16" s="27"/>
      <c r="C16" s="28">
        <f>SUM(C9:C15)</f>
        <v>1179738</v>
      </c>
      <c r="D16" s="28">
        <f>SUM(D9:D15)</f>
        <v>1297252</v>
      </c>
      <c r="E16" s="279">
        <f>(+C16-D16)/D16</f>
        <v>-0.09058687132492377</v>
      </c>
      <c r="F16" s="28">
        <f>SUM(F9:F15)</f>
        <v>623189</v>
      </c>
      <c r="G16" s="28">
        <f>SUM(G9:G15)</f>
        <v>699990</v>
      </c>
      <c r="H16" s="30">
        <f>(+F16-G16)/G16</f>
        <v>-0.10971728167545251</v>
      </c>
      <c r="I16" s="31">
        <f>K16/C16</f>
        <v>73.29387488577973</v>
      </c>
      <c r="J16" s="31">
        <f>K16/F16</f>
        <v>138.75015343659788</v>
      </c>
      <c r="K16" s="28">
        <f>SUM(K9:K15)</f>
        <v>86467569.37</v>
      </c>
      <c r="L16" s="28">
        <f>SUM(L9:L15)</f>
        <v>88285693.2</v>
      </c>
      <c r="M16" s="32">
        <f>(+K16-L16)/L16</f>
        <v>-0.020593640533367846</v>
      </c>
      <c r="N16" s="10"/>
      <c r="R16" s="2"/>
    </row>
    <row r="17" spans="1:18" ht="15.75" customHeight="1" thickTop="1">
      <c r="A17" s="15"/>
      <c r="B17" s="16"/>
      <c r="C17" s="16"/>
      <c r="D17" s="16"/>
      <c r="E17" s="17"/>
      <c r="F17" s="16"/>
      <c r="G17" s="16"/>
      <c r="H17" s="17"/>
      <c r="I17" s="16"/>
      <c r="J17" s="16"/>
      <c r="K17" s="195"/>
      <c r="L17" s="195"/>
      <c r="M17" s="18"/>
      <c r="N17" s="10"/>
      <c r="R17" s="2"/>
    </row>
    <row r="18" spans="1:18" ht="15.75">
      <c r="A18" s="19" t="s">
        <v>15</v>
      </c>
      <c r="B18" s="20">
        <f>DATE(2022,7,1)</f>
        <v>44743</v>
      </c>
      <c r="C18" s="21">
        <v>114715</v>
      </c>
      <c r="D18" s="21">
        <v>116107</v>
      </c>
      <c r="E18" s="23">
        <f aca="true" t="shared" si="5" ref="E18:E23">(+C18-D18)/D18</f>
        <v>-0.011988941235239909</v>
      </c>
      <c r="F18" s="21">
        <f>+C18-55568</f>
        <v>59147</v>
      </c>
      <c r="G18" s="21">
        <f>+D18-56210</f>
        <v>59897</v>
      </c>
      <c r="H18" s="23">
        <f aca="true" t="shared" si="6" ref="H18:H23">(+F18-G18)/G18</f>
        <v>-0.012521495233484147</v>
      </c>
      <c r="I18" s="24">
        <f aca="true" t="shared" si="7" ref="I18:I23">K18/C18</f>
        <v>73.18793714858563</v>
      </c>
      <c r="J18" s="24">
        <f aca="true" t="shared" si="8" ref="J18:J23">K18/F18</f>
        <v>141.9472536223308</v>
      </c>
      <c r="K18" s="21">
        <v>8395754.21</v>
      </c>
      <c r="L18" s="21">
        <v>8058935.65</v>
      </c>
      <c r="M18" s="25">
        <f aca="true" t="shared" si="9" ref="M18:M23">(+K18-L18)/L18</f>
        <v>0.041794422319279906</v>
      </c>
      <c r="N18" s="10"/>
      <c r="R18" s="2"/>
    </row>
    <row r="19" spans="1:18" ht="15.75">
      <c r="A19" s="19"/>
      <c r="B19" s="20">
        <f>DATE(2022,8,1)</f>
        <v>44774</v>
      </c>
      <c r="C19" s="21">
        <v>103784</v>
      </c>
      <c r="D19" s="21">
        <v>103353</v>
      </c>
      <c r="E19" s="23">
        <f t="shared" si="5"/>
        <v>0.004170174063645951</v>
      </c>
      <c r="F19" s="21">
        <f>+C19-49858</f>
        <v>53926</v>
      </c>
      <c r="G19" s="21">
        <f>+D19-50446</f>
        <v>52907</v>
      </c>
      <c r="H19" s="23">
        <f t="shared" si="6"/>
        <v>0.019260211314192827</v>
      </c>
      <c r="I19" s="24">
        <f t="shared" si="7"/>
        <v>72.90103994835428</v>
      </c>
      <c r="J19" s="24">
        <f t="shared" si="8"/>
        <v>140.30266531914106</v>
      </c>
      <c r="K19" s="21">
        <v>7565961.53</v>
      </c>
      <c r="L19" s="21">
        <v>7190146.61</v>
      </c>
      <c r="M19" s="25">
        <f t="shared" si="9"/>
        <v>0.05226804686810133</v>
      </c>
      <c r="N19" s="10"/>
      <c r="R19" s="2"/>
    </row>
    <row r="20" spans="1:18" ht="15.75">
      <c r="A20" s="19"/>
      <c r="B20" s="20">
        <f>DATE(2022,9,1)</f>
        <v>44805</v>
      </c>
      <c r="C20" s="21">
        <v>107511</v>
      </c>
      <c r="D20" s="21">
        <v>103596</v>
      </c>
      <c r="E20" s="23">
        <f t="shared" si="5"/>
        <v>0.037791034402872695</v>
      </c>
      <c r="F20" s="21">
        <f>+C20-51983</f>
        <v>55528</v>
      </c>
      <c r="G20" s="21">
        <f>+D20-49808</f>
        <v>53788</v>
      </c>
      <c r="H20" s="23">
        <f t="shared" si="6"/>
        <v>0.0323492228749907</v>
      </c>
      <c r="I20" s="24">
        <f t="shared" si="7"/>
        <v>72.49414980792663</v>
      </c>
      <c r="J20" s="24">
        <f t="shared" si="8"/>
        <v>140.36015235556837</v>
      </c>
      <c r="K20" s="21">
        <v>7793918.54</v>
      </c>
      <c r="L20" s="21">
        <v>7629702.11</v>
      </c>
      <c r="M20" s="25">
        <f t="shared" si="9"/>
        <v>0.021523308201609418</v>
      </c>
      <c r="N20" s="10"/>
      <c r="R20" s="2"/>
    </row>
    <row r="21" spans="1:18" ht="15.75">
      <c r="A21" s="19"/>
      <c r="B21" s="20">
        <f>DATE(2022,10,1)</f>
        <v>44835</v>
      </c>
      <c r="C21" s="21">
        <v>104490</v>
      </c>
      <c r="D21" s="21">
        <v>110079</v>
      </c>
      <c r="E21" s="23">
        <f t="shared" si="5"/>
        <v>-0.05077262693156733</v>
      </c>
      <c r="F21" s="21">
        <f>+C21-49825</f>
        <v>54665</v>
      </c>
      <c r="G21" s="21">
        <f>+D21-53226</f>
        <v>56853</v>
      </c>
      <c r="H21" s="23">
        <f t="shared" si="6"/>
        <v>-0.03848521625947619</v>
      </c>
      <c r="I21" s="24">
        <f t="shared" si="7"/>
        <v>73.32391941812614</v>
      </c>
      <c r="J21" s="24">
        <f t="shared" si="8"/>
        <v>140.1557914570566</v>
      </c>
      <c r="K21" s="21">
        <v>7661616.34</v>
      </c>
      <c r="L21" s="21">
        <v>7839043.76</v>
      </c>
      <c r="M21" s="25">
        <f t="shared" si="9"/>
        <v>-0.02263380910122639</v>
      </c>
      <c r="N21" s="10"/>
      <c r="R21" s="2"/>
    </row>
    <row r="22" spans="1:18" ht="15.75">
      <c r="A22" s="19"/>
      <c r="B22" s="20">
        <f>DATE(2022,11,1)</f>
        <v>44866</v>
      </c>
      <c r="C22" s="21">
        <v>93678</v>
      </c>
      <c r="D22" s="21">
        <v>95314</v>
      </c>
      <c r="E22" s="23">
        <f t="shared" si="5"/>
        <v>-0.017164320036930567</v>
      </c>
      <c r="F22" s="21">
        <f>+C22-44918</f>
        <v>48760</v>
      </c>
      <c r="G22" s="21">
        <f>+D22-46228</f>
        <v>49086</v>
      </c>
      <c r="H22" s="23">
        <f t="shared" si="6"/>
        <v>-0.006641404881228863</v>
      </c>
      <c r="I22" s="24">
        <f t="shared" si="7"/>
        <v>75.06646234975128</v>
      </c>
      <c r="J22" s="24">
        <f t="shared" si="8"/>
        <v>144.21813084495489</v>
      </c>
      <c r="K22" s="21">
        <v>7032076.06</v>
      </c>
      <c r="L22" s="21">
        <v>6796062.14</v>
      </c>
      <c r="M22" s="25">
        <f t="shared" si="9"/>
        <v>0.03472804031777142</v>
      </c>
      <c r="N22" s="10"/>
      <c r="R22" s="2"/>
    </row>
    <row r="23" spans="1:18" ht="15.75">
      <c r="A23" s="19"/>
      <c r="B23" s="20">
        <f>DATE(2022,12,1)</f>
        <v>44896</v>
      </c>
      <c r="C23" s="21">
        <v>102036</v>
      </c>
      <c r="D23" s="21">
        <v>104553</v>
      </c>
      <c r="E23" s="23">
        <f t="shared" si="5"/>
        <v>-0.024073914665289374</v>
      </c>
      <c r="F23" s="21">
        <f>+C23-49071</f>
        <v>52965</v>
      </c>
      <c r="G23" s="21">
        <f>+D23-51073</f>
        <v>53480</v>
      </c>
      <c r="H23" s="23">
        <f t="shared" si="6"/>
        <v>-0.009629768137621541</v>
      </c>
      <c r="I23" s="24">
        <f t="shared" si="7"/>
        <v>72.51331412442667</v>
      </c>
      <c r="J23" s="24">
        <f t="shared" si="8"/>
        <v>139.6954313225715</v>
      </c>
      <c r="K23" s="21">
        <v>7398968.52</v>
      </c>
      <c r="L23" s="21">
        <v>7388208.9</v>
      </c>
      <c r="M23" s="25">
        <f t="shared" si="9"/>
        <v>0.0014563231962755113</v>
      </c>
      <c r="N23" s="10"/>
      <c r="R23" s="2"/>
    </row>
    <row r="24" spans="1:18" ht="15.75" customHeight="1" thickBot="1">
      <c r="A24" s="19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Bot="1" thickTop="1">
      <c r="A25" s="26" t="s">
        <v>14</v>
      </c>
      <c r="B25" s="27"/>
      <c r="C25" s="28">
        <f>SUM(C18:C24)</f>
        <v>626214</v>
      </c>
      <c r="D25" s="28">
        <f>SUM(D18:D24)</f>
        <v>633002</v>
      </c>
      <c r="E25" s="279">
        <f>(+C25-D25)/D25</f>
        <v>-0.010723504823049533</v>
      </c>
      <c r="F25" s="28">
        <f>SUM(F18:F24)</f>
        <v>324991</v>
      </c>
      <c r="G25" s="28">
        <f>SUM(G18:G24)</f>
        <v>326011</v>
      </c>
      <c r="H25" s="30">
        <f>(+F25-G25)/G25</f>
        <v>-0.0031287287852250385</v>
      </c>
      <c r="I25" s="31">
        <f>K25/C25</f>
        <v>73.21505938864351</v>
      </c>
      <c r="J25" s="31">
        <f>K25/F25</f>
        <v>141.07558424694838</v>
      </c>
      <c r="K25" s="28">
        <f>SUM(K18:K24)</f>
        <v>45848295.2</v>
      </c>
      <c r="L25" s="28">
        <f>SUM(L18:L24)</f>
        <v>44902099.17</v>
      </c>
      <c r="M25" s="32">
        <f>(+K25-L25)/L25</f>
        <v>0.02107242306017118</v>
      </c>
      <c r="N25" s="10"/>
      <c r="R25" s="2"/>
    </row>
    <row r="26" spans="1:18" ht="15.75" customHeight="1" thickTop="1">
      <c r="A26" s="33"/>
      <c r="B26" s="34"/>
      <c r="C26" s="35"/>
      <c r="D26" s="35"/>
      <c r="E26" s="29"/>
      <c r="F26" s="35"/>
      <c r="G26" s="35"/>
      <c r="H26" s="29"/>
      <c r="I26" s="36"/>
      <c r="J26" s="36"/>
      <c r="K26" s="35"/>
      <c r="L26" s="35"/>
      <c r="M26" s="37"/>
      <c r="N26" s="10"/>
      <c r="R26" s="2"/>
    </row>
    <row r="27" spans="1:18" ht="15.75" customHeight="1">
      <c r="A27" s="19" t="s">
        <v>62</v>
      </c>
      <c r="B27" s="20">
        <f>DATE(2022,7,1)</f>
        <v>44743</v>
      </c>
      <c r="C27" s="21">
        <v>56544</v>
      </c>
      <c r="D27" s="21">
        <v>66837</v>
      </c>
      <c r="E27" s="23">
        <f aca="true" t="shared" si="10" ref="E27:E32">(+C27-D27)/D27</f>
        <v>-0.1540015261008124</v>
      </c>
      <c r="F27" s="21">
        <f>+C27-31773</f>
        <v>24771</v>
      </c>
      <c r="G27" s="21">
        <f>+D27-37212</f>
        <v>29625</v>
      </c>
      <c r="H27" s="23">
        <f aca="true" t="shared" si="11" ref="H27:H32">(+F27-G27)/G27</f>
        <v>-0.16384810126582278</v>
      </c>
      <c r="I27" s="24">
        <f aca="true" t="shared" si="12" ref="I27:I32">K27/C27</f>
        <v>66.96577355687606</v>
      </c>
      <c r="J27" s="24">
        <f aca="true" t="shared" si="13" ref="J27:J32">K27/F27</f>
        <v>152.8607121230471</v>
      </c>
      <c r="K27" s="21">
        <v>3786512.7</v>
      </c>
      <c r="L27" s="21">
        <v>4599517.95</v>
      </c>
      <c r="M27" s="25">
        <f aca="true" t="shared" si="14" ref="M27:M32">(+K27-L27)/L27</f>
        <v>-0.17675879490806204</v>
      </c>
      <c r="N27" s="10"/>
      <c r="R27" s="2"/>
    </row>
    <row r="28" spans="1:18" ht="15.75" customHeight="1">
      <c r="A28" s="19"/>
      <c r="B28" s="20">
        <f>DATE(2022,8,1)</f>
        <v>44774</v>
      </c>
      <c r="C28" s="21">
        <v>49669</v>
      </c>
      <c r="D28" s="21">
        <v>56112</v>
      </c>
      <c r="E28" s="23">
        <f t="shared" si="10"/>
        <v>-0.11482392358140861</v>
      </c>
      <c r="F28" s="21">
        <f>+C28-27651</f>
        <v>22018</v>
      </c>
      <c r="G28" s="21">
        <f>+D28-31048</f>
        <v>25064</v>
      </c>
      <c r="H28" s="23">
        <f t="shared" si="11"/>
        <v>-0.12152888605170763</v>
      </c>
      <c r="I28" s="24">
        <f t="shared" si="12"/>
        <v>70.40636030522056</v>
      </c>
      <c r="J28" s="24">
        <f t="shared" si="13"/>
        <v>158.8252116450177</v>
      </c>
      <c r="K28" s="21">
        <v>3497013.51</v>
      </c>
      <c r="L28" s="21">
        <v>3838097.49</v>
      </c>
      <c r="M28" s="25">
        <f t="shared" si="14"/>
        <v>-0.0888679823502869</v>
      </c>
      <c r="N28" s="10"/>
      <c r="R28" s="2"/>
    </row>
    <row r="29" spans="1:18" ht="15.75" customHeight="1">
      <c r="A29" s="19"/>
      <c r="B29" s="20">
        <f>DATE(2022,9,1)</f>
        <v>44805</v>
      </c>
      <c r="C29" s="21">
        <v>50523</v>
      </c>
      <c r="D29" s="21">
        <v>58084</v>
      </c>
      <c r="E29" s="23">
        <f t="shared" si="10"/>
        <v>-0.13017354176709592</v>
      </c>
      <c r="F29" s="21">
        <f>+C29-27954</f>
        <v>22569</v>
      </c>
      <c r="G29" s="21">
        <f>+D29-32339</f>
        <v>25745</v>
      </c>
      <c r="H29" s="23">
        <f t="shared" si="11"/>
        <v>-0.12336375995338901</v>
      </c>
      <c r="I29" s="24">
        <f t="shared" si="12"/>
        <v>71.1914227183659</v>
      </c>
      <c r="J29" s="24">
        <f t="shared" si="13"/>
        <v>159.36923434799948</v>
      </c>
      <c r="K29" s="21">
        <v>3596804.25</v>
      </c>
      <c r="L29" s="21">
        <v>4086616.29</v>
      </c>
      <c r="M29" s="25">
        <f t="shared" si="14"/>
        <v>-0.11985760473734128</v>
      </c>
      <c r="N29" s="10"/>
      <c r="R29" s="2"/>
    </row>
    <row r="30" spans="1:18" ht="15.75" customHeight="1">
      <c r="A30" s="19"/>
      <c r="B30" s="20">
        <f>DATE(2022,10,1)</f>
        <v>44835</v>
      </c>
      <c r="C30" s="21">
        <v>47473</v>
      </c>
      <c r="D30" s="21">
        <v>57860</v>
      </c>
      <c r="E30" s="23">
        <f t="shared" si="10"/>
        <v>-0.17951952989975803</v>
      </c>
      <c r="F30" s="21">
        <f>+C30-26103</f>
        <v>21370</v>
      </c>
      <c r="G30" s="21">
        <f>+D30-32287</f>
        <v>25573</v>
      </c>
      <c r="H30" s="23">
        <f t="shared" si="11"/>
        <v>-0.16435302858483558</v>
      </c>
      <c r="I30" s="24">
        <f t="shared" si="12"/>
        <v>70.76833652813178</v>
      </c>
      <c r="J30" s="24">
        <f t="shared" si="13"/>
        <v>157.21035283107162</v>
      </c>
      <c r="K30" s="21">
        <v>3359585.24</v>
      </c>
      <c r="L30" s="21">
        <v>4102964.61</v>
      </c>
      <c r="M30" s="25">
        <f t="shared" si="14"/>
        <v>-0.1811810338768678</v>
      </c>
      <c r="N30" s="10"/>
      <c r="R30" s="2"/>
    </row>
    <row r="31" spans="1:18" ht="15.75" customHeight="1">
      <c r="A31" s="19"/>
      <c r="B31" s="20">
        <f>DATE(2022,11,1)</f>
        <v>44866</v>
      </c>
      <c r="C31" s="21">
        <v>39425</v>
      </c>
      <c r="D31" s="21">
        <v>51753</v>
      </c>
      <c r="E31" s="23">
        <f t="shared" si="10"/>
        <v>-0.23820841303885765</v>
      </c>
      <c r="F31" s="21">
        <f>+C31-21931</f>
        <v>17494</v>
      </c>
      <c r="G31" s="21">
        <f>+D31-28958</f>
        <v>22795</v>
      </c>
      <c r="H31" s="23">
        <f t="shared" si="11"/>
        <v>-0.23255099802588286</v>
      </c>
      <c r="I31" s="24">
        <f t="shared" si="12"/>
        <v>78.5845882054534</v>
      </c>
      <c r="J31" s="24">
        <f t="shared" si="13"/>
        <v>177.10057105293245</v>
      </c>
      <c r="K31" s="21">
        <v>3098197.39</v>
      </c>
      <c r="L31" s="21">
        <v>3696376.98</v>
      </c>
      <c r="M31" s="25">
        <f t="shared" si="14"/>
        <v>-0.16182862117056032</v>
      </c>
      <c r="N31" s="10"/>
      <c r="R31" s="2"/>
    </row>
    <row r="32" spans="1:18" ht="15.75" customHeight="1">
      <c r="A32" s="19"/>
      <c r="B32" s="20">
        <f>DATE(2022,12,1)</f>
        <v>44896</v>
      </c>
      <c r="C32" s="21">
        <v>43315</v>
      </c>
      <c r="D32" s="21">
        <v>57109</v>
      </c>
      <c r="E32" s="23">
        <f t="shared" si="10"/>
        <v>-0.2415381113309636</v>
      </c>
      <c r="F32" s="21">
        <f>+C32-23779</f>
        <v>19536</v>
      </c>
      <c r="G32" s="21">
        <f>+D32-32118</f>
        <v>24991</v>
      </c>
      <c r="H32" s="23">
        <f t="shared" si="11"/>
        <v>-0.218278580288904</v>
      </c>
      <c r="I32" s="24">
        <f t="shared" si="12"/>
        <v>72.49898510908461</v>
      </c>
      <c r="J32" s="24">
        <f t="shared" si="13"/>
        <v>160.74393632268632</v>
      </c>
      <c r="K32" s="21">
        <v>3140293.54</v>
      </c>
      <c r="L32" s="21">
        <v>3934957.36</v>
      </c>
      <c r="M32" s="25">
        <f t="shared" si="14"/>
        <v>-0.2019497919032088</v>
      </c>
      <c r="N32" s="10"/>
      <c r="R32" s="2"/>
    </row>
    <row r="33" spans="1:18" ht="15.75" customHeight="1" thickBot="1">
      <c r="A33" s="38"/>
      <c r="B33" s="20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7.25" customHeight="1" thickBot="1" thickTop="1">
      <c r="A34" s="39" t="s">
        <v>14</v>
      </c>
      <c r="B34" s="40"/>
      <c r="C34" s="41">
        <f>SUM(C27:C33)</f>
        <v>286949</v>
      </c>
      <c r="D34" s="41">
        <f>SUM(D27:D33)</f>
        <v>347755</v>
      </c>
      <c r="E34" s="280">
        <f>(+C34-D34)/D34</f>
        <v>-0.1748529855789277</v>
      </c>
      <c r="F34" s="41">
        <f>SUM(F27:F33)</f>
        <v>127758</v>
      </c>
      <c r="G34" s="41">
        <f>SUM(G27:G33)</f>
        <v>153793</v>
      </c>
      <c r="H34" s="42">
        <f>(+F34-G34)/G34</f>
        <v>-0.16928598830896074</v>
      </c>
      <c r="I34" s="43">
        <f>K34/C34</f>
        <v>71.36601497130151</v>
      </c>
      <c r="J34" s="43">
        <f>K34/F34</f>
        <v>160.2906012147967</v>
      </c>
      <c r="K34" s="41">
        <f>SUM(K27:K33)</f>
        <v>20478406.63</v>
      </c>
      <c r="L34" s="41">
        <f>SUM(L27:L33)</f>
        <v>24258530.68</v>
      </c>
      <c r="M34" s="44">
        <f>(+K34-L34)/L34</f>
        <v>-0.15582658735042565</v>
      </c>
      <c r="N34" s="10"/>
      <c r="R34" s="2"/>
    </row>
    <row r="35" spans="1:18" ht="15.75" customHeight="1" thickTop="1">
      <c r="A35" s="38"/>
      <c r="B35" s="45"/>
      <c r="C35" s="21"/>
      <c r="D35" s="21"/>
      <c r="E35" s="23"/>
      <c r="F35" s="21"/>
      <c r="G35" s="21"/>
      <c r="H35" s="23"/>
      <c r="I35" s="24"/>
      <c r="J35" s="24"/>
      <c r="K35" s="21"/>
      <c r="L35" s="21"/>
      <c r="M35" s="25"/>
      <c r="N35" s="10"/>
      <c r="R35" s="2"/>
    </row>
    <row r="36" spans="1:18" ht="15.75" customHeight="1">
      <c r="A36" s="177" t="s">
        <v>58</v>
      </c>
      <c r="B36" s="20">
        <f>DATE(2022,7,1)</f>
        <v>44743</v>
      </c>
      <c r="C36" s="21">
        <v>327697</v>
      </c>
      <c r="D36" s="21">
        <v>337225</v>
      </c>
      <c r="E36" s="23">
        <f aca="true" t="shared" si="15" ref="E36:E41">(+C36-D36)/D36</f>
        <v>-0.028254132997257025</v>
      </c>
      <c r="F36" s="21">
        <f>+C36-165744</f>
        <v>161953</v>
      </c>
      <c r="G36" s="21">
        <f>+D36-176904</f>
        <v>160321</v>
      </c>
      <c r="H36" s="23">
        <f aca="true" t="shared" si="16" ref="H36:H41">(+F36-G36)/G36</f>
        <v>0.010179577223195964</v>
      </c>
      <c r="I36" s="24">
        <f aca="true" t="shared" si="17" ref="I36:I41">K36/C36</f>
        <v>65.31661028327997</v>
      </c>
      <c r="J36" s="24">
        <f aca="true" t="shared" si="18" ref="J36:J41">K36/F36</f>
        <v>132.16215346427666</v>
      </c>
      <c r="K36" s="21">
        <v>21404057.24</v>
      </c>
      <c r="L36" s="21">
        <v>19292691.57</v>
      </c>
      <c r="M36" s="25">
        <f aca="true" t="shared" si="19" ref="M36:M41">(+K36-L36)/L36</f>
        <v>0.10943862666021971</v>
      </c>
      <c r="N36" s="10"/>
      <c r="R36" s="2"/>
    </row>
    <row r="37" spans="1:18" ht="15.75" customHeight="1">
      <c r="A37" s="177"/>
      <c r="B37" s="20">
        <f>DATE(2022,8,1)</f>
        <v>44774</v>
      </c>
      <c r="C37" s="21">
        <v>302775</v>
      </c>
      <c r="D37" s="21">
        <v>302300</v>
      </c>
      <c r="E37" s="23">
        <f t="shared" si="15"/>
        <v>0.00157128680119087</v>
      </c>
      <c r="F37" s="21">
        <f>+C37-150422</f>
        <v>152353</v>
      </c>
      <c r="G37" s="21">
        <f>+D37-157033</f>
        <v>145267</v>
      </c>
      <c r="H37" s="23">
        <f t="shared" si="16"/>
        <v>0.04877914460958098</v>
      </c>
      <c r="I37" s="24">
        <f t="shared" si="17"/>
        <v>63.881155379407154</v>
      </c>
      <c r="J37" s="24">
        <f t="shared" si="18"/>
        <v>126.95264825766476</v>
      </c>
      <c r="K37" s="21">
        <v>19341616.82</v>
      </c>
      <c r="L37" s="21">
        <v>17616276.93</v>
      </c>
      <c r="M37" s="25">
        <f t="shared" si="19"/>
        <v>0.09794009806134449</v>
      </c>
      <c r="N37" s="10"/>
      <c r="R37" s="2"/>
    </row>
    <row r="38" spans="1:18" ht="15.75" customHeight="1">
      <c r="A38" s="177"/>
      <c r="B38" s="20">
        <f>DATE(2022,9,1)</f>
        <v>44805</v>
      </c>
      <c r="C38" s="21">
        <v>299586</v>
      </c>
      <c r="D38" s="21">
        <v>336142</v>
      </c>
      <c r="E38" s="23">
        <f t="shared" si="15"/>
        <v>-0.10875165852526611</v>
      </c>
      <c r="F38" s="21">
        <f>+C38-150974</f>
        <v>148612</v>
      </c>
      <c r="G38" s="21">
        <f>+D38-171648</f>
        <v>164494</v>
      </c>
      <c r="H38" s="23">
        <f t="shared" si="16"/>
        <v>-0.09655063406568021</v>
      </c>
      <c r="I38" s="24">
        <f t="shared" si="17"/>
        <v>70.61192689244491</v>
      </c>
      <c r="J38" s="24">
        <f t="shared" si="18"/>
        <v>142.3461411595295</v>
      </c>
      <c r="K38" s="21">
        <v>21154344.73</v>
      </c>
      <c r="L38" s="21">
        <v>19389436.62</v>
      </c>
      <c r="M38" s="25">
        <f t="shared" si="19"/>
        <v>0.09102420790192094</v>
      </c>
      <c r="N38" s="10"/>
      <c r="R38" s="2"/>
    </row>
    <row r="39" spans="1:18" ht="15.75" customHeight="1">
      <c r="A39" s="177"/>
      <c r="B39" s="20">
        <f>DATE(2022,10,1)</f>
        <v>44835</v>
      </c>
      <c r="C39" s="21">
        <v>280901</v>
      </c>
      <c r="D39" s="21">
        <v>333807</v>
      </c>
      <c r="E39" s="23">
        <f t="shared" si="15"/>
        <v>-0.15849278175712314</v>
      </c>
      <c r="F39" s="21">
        <f>+C39-143073</f>
        <v>137828</v>
      </c>
      <c r="G39" s="21">
        <f>+D39-175822</f>
        <v>157985</v>
      </c>
      <c r="H39" s="23">
        <f t="shared" si="16"/>
        <v>-0.1275880621577998</v>
      </c>
      <c r="I39" s="24">
        <f t="shared" si="17"/>
        <v>68.5524437435253</v>
      </c>
      <c r="J39" s="24">
        <f t="shared" si="18"/>
        <v>139.71362858054968</v>
      </c>
      <c r="K39" s="21">
        <v>19256450</v>
      </c>
      <c r="L39" s="21">
        <v>19174424.98</v>
      </c>
      <c r="M39" s="25">
        <f t="shared" si="19"/>
        <v>0.004277834672255165</v>
      </c>
      <c r="N39" s="10"/>
      <c r="R39" s="2"/>
    </row>
    <row r="40" spans="1:18" ht="15.75" customHeight="1">
      <c r="A40" s="177"/>
      <c r="B40" s="20">
        <f>DATE(2022,11,1)</f>
        <v>44866</v>
      </c>
      <c r="C40" s="21">
        <v>277702</v>
      </c>
      <c r="D40" s="21">
        <v>303436</v>
      </c>
      <c r="E40" s="23">
        <f t="shared" si="15"/>
        <v>-0.08480865816844409</v>
      </c>
      <c r="F40" s="21">
        <f>+C40-138977</f>
        <v>138725</v>
      </c>
      <c r="G40" s="21">
        <f>+D40-164494</f>
        <v>138942</v>
      </c>
      <c r="H40" s="23">
        <f t="shared" si="16"/>
        <v>-0.0015618027666220438</v>
      </c>
      <c r="I40" s="24">
        <f t="shared" si="17"/>
        <v>64.54274801765922</v>
      </c>
      <c r="J40" s="24">
        <f t="shared" si="18"/>
        <v>129.2027407460804</v>
      </c>
      <c r="K40" s="21">
        <v>17923650.21</v>
      </c>
      <c r="L40" s="21">
        <v>18834359.64</v>
      </c>
      <c r="M40" s="25">
        <f t="shared" si="19"/>
        <v>-0.04835361793059611</v>
      </c>
      <c r="N40" s="10"/>
      <c r="R40" s="2"/>
    </row>
    <row r="41" spans="1:18" ht="15.75" customHeight="1">
      <c r="A41" s="177"/>
      <c r="B41" s="20">
        <f>DATE(2022,12,1)</f>
        <v>44896</v>
      </c>
      <c r="C41" s="21">
        <v>302510</v>
      </c>
      <c r="D41" s="21">
        <v>313897</v>
      </c>
      <c r="E41" s="23">
        <f t="shared" si="15"/>
        <v>-0.03627623073810836</v>
      </c>
      <c r="F41" s="21">
        <f>+C41-154252</f>
        <v>148258</v>
      </c>
      <c r="G41" s="21">
        <f>+D41-163677</f>
        <v>150220</v>
      </c>
      <c r="H41" s="23">
        <f t="shared" si="16"/>
        <v>-0.013060844095326854</v>
      </c>
      <c r="I41" s="24">
        <f t="shared" si="17"/>
        <v>66.8343047502562</v>
      </c>
      <c r="J41" s="24">
        <f t="shared" si="18"/>
        <v>136.37068846200543</v>
      </c>
      <c r="K41" s="21">
        <v>20218045.53</v>
      </c>
      <c r="L41" s="21">
        <v>20352135.72</v>
      </c>
      <c r="M41" s="25">
        <f t="shared" si="19"/>
        <v>-0.006588507066028823</v>
      </c>
      <c r="N41" s="10"/>
      <c r="R41" s="2"/>
    </row>
    <row r="42" spans="1:18" ht="15.75" thickBot="1">
      <c r="A42" s="38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Bot="1" thickTop="1">
      <c r="A43" s="39" t="s">
        <v>14</v>
      </c>
      <c r="B43" s="40"/>
      <c r="C43" s="41">
        <f>SUM(C36:C42)</f>
        <v>1791171</v>
      </c>
      <c r="D43" s="41">
        <f>SUM(D36:D42)</f>
        <v>1926807</v>
      </c>
      <c r="E43" s="280">
        <f>(+C43-D43)/D43</f>
        <v>-0.07039418063147995</v>
      </c>
      <c r="F43" s="41">
        <f>SUM(F36:F42)</f>
        <v>887729</v>
      </c>
      <c r="G43" s="41">
        <f>SUM(G36:G42)</f>
        <v>917229</v>
      </c>
      <c r="H43" s="42">
        <f>(+F43-G43)/G43</f>
        <v>-0.032162088202618976</v>
      </c>
      <c r="I43" s="43">
        <f>K43/C43</f>
        <v>66.60344798458662</v>
      </c>
      <c r="J43" s="43">
        <f>K43/F43</f>
        <v>134.38579175626796</v>
      </c>
      <c r="K43" s="41">
        <f>SUM(K36:K42)</f>
        <v>119298164.53</v>
      </c>
      <c r="L43" s="41">
        <f>SUM(L36:L42)</f>
        <v>114659325.46000001</v>
      </c>
      <c r="M43" s="44">
        <f>(+K43-L43)/L43</f>
        <v>0.04045758207096985</v>
      </c>
      <c r="N43" s="10"/>
      <c r="R43" s="2"/>
    </row>
    <row r="44" spans="1:18" ht="15.75" thickTop="1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>
      <c r="A45" s="19" t="s">
        <v>60</v>
      </c>
      <c r="B45" s="20">
        <f>DATE(2022,7,1)</f>
        <v>44743</v>
      </c>
      <c r="C45" s="21">
        <v>219130</v>
      </c>
      <c r="D45" s="21">
        <v>256229</v>
      </c>
      <c r="E45" s="23">
        <f aca="true" t="shared" si="20" ref="E45:E50">(+C45-D45)/D45</f>
        <v>-0.14478845095598078</v>
      </c>
      <c r="F45" s="21">
        <f>+C45-103416</f>
        <v>115714</v>
      </c>
      <c r="G45" s="21">
        <f>+D45-120621</f>
        <v>135608</v>
      </c>
      <c r="H45" s="23">
        <f aca="true" t="shared" si="21" ref="H45:H50">(+F45-G45)/G45</f>
        <v>-0.14670225945371954</v>
      </c>
      <c r="I45" s="24">
        <f aca="true" t="shared" si="22" ref="I45:I50">K45/C45</f>
        <v>68.78706274814037</v>
      </c>
      <c r="J45" s="24">
        <f aca="true" t="shared" si="23" ref="J45:J50">K45/F45</f>
        <v>130.2634863542873</v>
      </c>
      <c r="K45" s="21">
        <v>15073309.06</v>
      </c>
      <c r="L45" s="21">
        <v>16211316.17</v>
      </c>
      <c r="M45" s="25">
        <f aca="true" t="shared" si="24" ref="M45:M50">(+K45-L45)/L45</f>
        <v>-0.07019831690815759</v>
      </c>
      <c r="N45" s="10"/>
      <c r="R45" s="2"/>
    </row>
    <row r="46" spans="1:18" ht="15.75">
      <c r="A46" s="19"/>
      <c r="B46" s="20">
        <f>DATE(2022,8,1)</f>
        <v>44774</v>
      </c>
      <c r="C46" s="21">
        <v>204381</v>
      </c>
      <c r="D46" s="21">
        <v>232853</v>
      </c>
      <c r="E46" s="23">
        <f t="shared" si="20"/>
        <v>-0.12227456807513754</v>
      </c>
      <c r="F46" s="21">
        <f>+C46-97907</f>
        <v>106474</v>
      </c>
      <c r="G46" s="21">
        <f>+D46-112411</f>
        <v>120442</v>
      </c>
      <c r="H46" s="23">
        <f t="shared" si="21"/>
        <v>-0.11597283339698776</v>
      </c>
      <c r="I46" s="24">
        <f t="shared" si="22"/>
        <v>74.90397996878379</v>
      </c>
      <c r="J46" s="24">
        <f t="shared" si="23"/>
        <v>143.78111398087796</v>
      </c>
      <c r="K46" s="21">
        <v>15308950.33</v>
      </c>
      <c r="L46" s="21">
        <v>13388857.55</v>
      </c>
      <c r="M46" s="25">
        <f t="shared" si="24"/>
        <v>0.1434097549271483</v>
      </c>
      <c r="N46" s="10"/>
      <c r="R46" s="2"/>
    </row>
    <row r="47" spans="1:18" ht="15.75">
      <c r="A47" s="19"/>
      <c r="B47" s="20">
        <f>DATE(2022,9,1)</f>
        <v>44805</v>
      </c>
      <c r="C47" s="21">
        <v>195879</v>
      </c>
      <c r="D47" s="21">
        <v>224419</v>
      </c>
      <c r="E47" s="23">
        <f t="shared" si="20"/>
        <v>-0.12717283295977613</v>
      </c>
      <c r="F47" s="21">
        <f>+C47-93599</f>
        <v>102280</v>
      </c>
      <c r="G47" s="21">
        <f>+D47-105923</f>
        <v>118496</v>
      </c>
      <c r="H47" s="23">
        <f t="shared" si="21"/>
        <v>-0.1368485012152309</v>
      </c>
      <c r="I47" s="24">
        <f t="shared" si="22"/>
        <v>70.69372066428765</v>
      </c>
      <c r="J47" s="24">
        <f t="shared" si="23"/>
        <v>135.387322154869</v>
      </c>
      <c r="K47" s="21">
        <v>13847415.31</v>
      </c>
      <c r="L47" s="21">
        <v>14489840.68</v>
      </c>
      <c r="M47" s="25">
        <f t="shared" si="24"/>
        <v>-0.044336261811817185</v>
      </c>
      <c r="N47" s="10"/>
      <c r="R47" s="2"/>
    </row>
    <row r="48" spans="1:18" ht="15.75">
      <c r="A48" s="19"/>
      <c r="B48" s="20">
        <f>DATE(2022,10,1)</f>
        <v>44835</v>
      </c>
      <c r="C48" s="21">
        <v>197679</v>
      </c>
      <c r="D48" s="21">
        <v>231892</v>
      </c>
      <c r="E48" s="23">
        <f t="shared" si="20"/>
        <v>-0.14753850930605628</v>
      </c>
      <c r="F48" s="21">
        <f>+C48-94885</f>
        <v>102794</v>
      </c>
      <c r="G48" s="21">
        <f>+D48-109202</f>
        <v>122690</v>
      </c>
      <c r="H48" s="23">
        <f t="shared" si="21"/>
        <v>-0.16216480560762897</v>
      </c>
      <c r="I48" s="24">
        <f t="shared" si="22"/>
        <v>60.34940787842917</v>
      </c>
      <c r="J48" s="24">
        <f t="shared" si="23"/>
        <v>116.05551491332179</v>
      </c>
      <c r="K48" s="21">
        <v>11929810.6</v>
      </c>
      <c r="L48" s="21">
        <v>14909962.77</v>
      </c>
      <c r="M48" s="25">
        <f t="shared" si="24"/>
        <v>-0.19987656682793983</v>
      </c>
      <c r="N48" s="10"/>
      <c r="R48" s="2"/>
    </row>
    <row r="49" spans="1:18" ht="15.75">
      <c r="A49" s="19"/>
      <c r="B49" s="20">
        <f>DATE(2022,11,1)</f>
        <v>44866</v>
      </c>
      <c r="C49" s="21">
        <v>191977</v>
      </c>
      <c r="D49" s="21">
        <v>219677</v>
      </c>
      <c r="E49" s="23">
        <f t="shared" si="20"/>
        <v>-0.12609422015049368</v>
      </c>
      <c r="F49" s="21">
        <f>+C49-91569</f>
        <v>100408</v>
      </c>
      <c r="G49" s="21">
        <f>+D49-102367</f>
        <v>117310</v>
      </c>
      <c r="H49" s="23">
        <f t="shared" si="21"/>
        <v>-0.14407978859432274</v>
      </c>
      <c r="I49" s="24">
        <f t="shared" si="22"/>
        <v>73.44212129578023</v>
      </c>
      <c r="J49" s="24">
        <f t="shared" si="23"/>
        <v>140.41907138873395</v>
      </c>
      <c r="K49" s="21">
        <v>14099198.12</v>
      </c>
      <c r="L49" s="21">
        <v>15078789.92</v>
      </c>
      <c r="M49" s="25">
        <f t="shared" si="24"/>
        <v>-0.06496488147903057</v>
      </c>
      <c r="N49" s="10"/>
      <c r="R49" s="2"/>
    </row>
    <row r="50" spans="1:18" ht="15.75">
      <c r="A50" s="19"/>
      <c r="B50" s="20">
        <f>DATE(2022,12,1)</f>
        <v>44896</v>
      </c>
      <c r="C50" s="21">
        <v>193245</v>
      </c>
      <c r="D50" s="21">
        <v>233380</v>
      </c>
      <c r="E50" s="23">
        <f t="shared" si="20"/>
        <v>-0.17197274830748135</v>
      </c>
      <c r="F50" s="21">
        <f>+C50-93799</f>
        <v>99446</v>
      </c>
      <c r="G50" s="21">
        <f>+D50-110272</f>
        <v>123108</v>
      </c>
      <c r="H50" s="23">
        <f t="shared" si="21"/>
        <v>-0.19220521818240893</v>
      </c>
      <c r="I50" s="24">
        <f t="shared" si="22"/>
        <v>76.36663561799787</v>
      </c>
      <c r="J50" s="24">
        <f t="shared" si="23"/>
        <v>148.39682340164512</v>
      </c>
      <c r="K50" s="21">
        <v>14757470.5</v>
      </c>
      <c r="L50" s="21">
        <v>14821041.2</v>
      </c>
      <c r="M50" s="25">
        <f t="shared" si="24"/>
        <v>-0.004289219572508796</v>
      </c>
      <c r="N50" s="10"/>
      <c r="R50" s="2"/>
    </row>
    <row r="51" spans="1:18" ht="15.75" thickBot="1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Bot="1" thickTop="1">
      <c r="A52" s="39" t="s">
        <v>14</v>
      </c>
      <c r="B52" s="40"/>
      <c r="C52" s="41">
        <f>SUM(C45:C51)</f>
        <v>1202291</v>
      </c>
      <c r="D52" s="41">
        <f>SUM(D45:D51)</f>
        <v>1398450</v>
      </c>
      <c r="E52" s="281">
        <f>(+C52-D52)/D52</f>
        <v>-0.14026886910508063</v>
      </c>
      <c r="F52" s="47">
        <f>SUM(F45:F51)</f>
        <v>627116</v>
      </c>
      <c r="G52" s="48">
        <f>SUM(G45:G51)</f>
        <v>737654</v>
      </c>
      <c r="H52" s="49">
        <f>(+F52-G52)/G52</f>
        <v>-0.14985074303128568</v>
      </c>
      <c r="I52" s="50">
        <f>K52/C52</f>
        <v>70.71179433265324</v>
      </c>
      <c r="J52" s="51">
        <f>K52/F52</f>
        <v>135.56687107329427</v>
      </c>
      <c r="K52" s="48">
        <f>SUM(K45:K51)</f>
        <v>85016153.92</v>
      </c>
      <c r="L52" s="47">
        <f>SUM(L45:L51)</f>
        <v>88899808.29</v>
      </c>
      <c r="M52" s="44">
        <f>(+K52-L52)/L52</f>
        <v>-0.043685745163039476</v>
      </c>
      <c r="N52" s="10"/>
      <c r="R52" s="2"/>
    </row>
    <row r="53" spans="1:18" ht="15.75" customHeight="1" thickTop="1">
      <c r="A53" s="273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>
      <c r="A54" s="274" t="s">
        <v>61</v>
      </c>
      <c r="B54" s="20">
        <f>DATE(2022,7,1)</f>
        <v>44743</v>
      </c>
      <c r="C54" s="21">
        <v>95268</v>
      </c>
      <c r="D54" s="21">
        <v>104293</v>
      </c>
      <c r="E54" s="23">
        <f aca="true" t="shared" si="25" ref="E54:E59">(+C54-D54)/D54</f>
        <v>-0.08653505029100707</v>
      </c>
      <c r="F54" s="21">
        <f>+C54-47922</f>
        <v>47346</v>
      </c>
      <c r="G54" s="21">
        <f>+D54-51816</f>
        <v>52477</v>
      </c>
      <c r="H54" s="23">
        <f aca="true" t="shared" si="26" ref="H54:H59">(+F54-G54)/G54</f>
        <v>-0.09777616860719934</v>
      </c>
      <c r="I54" s="24">
        <f aca="true" t="shared" si="27" ref="I54:I59">K54/C54</f>
        <v>65.71094281395641</v>
      </c>
      <c r="J54" s="24">
        <f aca="true" t="shared" si="28" ref="J54:J59">K54/F54</f>
        <v>132.22130908630083</v>
      </c>
      <c r="K54" s="21">
        <v>6260150.1</v>
      </c>
      <c r="L54" s="21">
        <v>6473124.34</v>
      </c>
      <c r="M54" s="25">
        <f aca="true" t="shared" si="29" ref="M54:M59">(+K54-L54)/L54</f>
        <v>-0.03290130527602382</v>
      </c>
      <c r="N54" s="10"/>
      <c r="R54" s="2"/>
    </row>
    <row r="55" spans="1:18" ht="15.75">
      <c r="A55" s="274"/>
      <c r="B55" s="20">
        <f>DATE(2022,8,1)</f>
        <v>44774</v>
      </c>
      <c r="C55" s="21">
        <v>85206</v>
      </c>
      <c r="D55" s="21">
        <v>93122</v>
      </c>
      <c r="E55" s="23">
        <f t="shared" si="25"/>
        <v>-0.08500676531861429</v>
      </c>
      <c r="F55" s="21">
        <f>+C55-42477</f>
        <v>42729</v>
      </c>
      <c r="G55" s="21">
        <f>+D55-46288</f>
        <v>46834</v>
      </c>
      <c r="H55" s="23">
        <f t="shared" si="26"/>
        <v>-0.08764999786479907</v>
      </c>
      <c r="I55" s="24">
        <f t="shared" si="27"/>
        <v>64.14037262634086</v>
      </c>
      <c r="J55" s="24">
        <f t="shared" si="28"/>
        <v>127.90246881509044</v>
      </c>
      <c r="K55" s="21">
        <v>5465144.59</v>
      </c>
      <c r="L55" s="21">
        <v>5866516.67</v>
      </c>
      <c r="M55" s="25">
        <f t="shared" si="29"/>
        <v>-0.06841744472533819</v>
      </c>
      <c r="N55" s="10"/>
      <c r="R55" s="2"/>
    </row>
    <row r="56" spans="1:18" ht="15.75">
      <c r="A56" s="274"/>
      <c r="B56" s="20">
        <f>DATE(2022,9,1)</f>
        <v>44805</v>
      </c>
      <c r="C56" s="21">
        <v>84321</v>
      </c>
      <c r="D56" s="21">
        <v>92204</v>
      </c>
      <c r="E56" s="23">
        <f t="shared" si="25"/>
        <v>-0.08549520628172314</v>
      </c>
      <c r="F56" s="21">
        <f>+C56-41917</f>
        <v>42404</v>
      </c>
      <c r="G56" s="21">
        <f>+D56-46055</f>
        <v>46149</v>
      </c>
      <c r="H56" s="23">
        <f t="shared" si="26"/>
        <v>-0.08115018743634748</v>
      </c>
      <c r="I56" s="24">
        <f t="shared" si="27"/>
        <v>63.81375695259781</v>
      </c>
      <c r="J56" s="24">
        <f t="shared" si="28"/>
        <v>126.89462786529572</v>
      </c>
      <c r="K56" s="21">
        <v>5380839.8</v>
      </c>
      <c r="L56" s="21">
        <v>5989167.16</v>
      </c>
      <c r="M56" s="25">
        <f t="shared" si="29"/>
        <v>-0.10157127756641214</v>
      </c>
      <c r="N56" s="10"/>
      <c r="R56" s="2"/>
    </row>
    <row r="57" spans="1:18" ht="15.75">
      <c r="A57" s="274"/>
      <c r="B57" s="20">
        <f>DATE(2022,10,1)</f>
        <v>44835</v>
      </c>
      <c r="C57" s="21">
        <v>85227</v>
      </c>
      <c r="D57" s="21">
        <v>93325</v>
      </c>
      <c r="E57" s="23">
        <f t="shared" si="25"/>
        <v>-0.08677203321725153</v>
      </c>
      <c r="F57" s="21">
        <f>+C57-43095</f>
        <v>42132</v>
      </c>
      <c r="G57" s="21">
        <f>+D57-46461</f>
        <v>46864</v>
      </c>
      <c r="H57" s="23">
        <f t="shared" si="26"/>
        <v>-0.10097302833731649</v>
      </c>
      <c r="I57" s="24">
        <f t="shared" si="27"/>
        <v>64.75007004822415</v>
      </c>
      <c r="J57" s="24">
        <f t="shared" si="28"/>
        <v>130.98011535175164</v>
      </c>
      <c r="K57" s="21">
        <v>5518454.22</v>
      </c>
      <c r="L57" s="21">
        <v>5764730.81</v>
      </c>
      <c r="M57" s="25">
        <f t="shared" si="29"/>
        <v>-0.04272126455111958</v>
      </c>
      <c r="N57" s="10"/>
      <c r="R57" s="2"/>
    </row>
    <row r="58" spans="1:18" ht="15.75">
      <c r="A58" s="274"/>
      <c r="B58" s="20">
        <f>DATE(2022,11,1)</f>
        <v>44866</v>
      </c>
      <c r="C58" s="21">
        <v>76718</v>
      </c>
      <c r="D58" s="21">
        <v>87600</v>
      </c>
      <c r="E58" s="23">
        <f t="shared" si="25"/>
        <v>-0.12422374429223744</v>
      </c>
      <c r="F58" s="21">
        <f>+C58-38746</f>
        <v>37972</v>
      </c>
      <c r="G58" s="21">
        <f>+D58-43575</f>
        <v>44025</v>
      </c>
      <c r="H58" s="23">
        <f t="shared" si="26"/>
        <v>-0.1374900624645088</v>
      </c>
      <c r="I58" s="24">
        <f t="shared" si="27"/>
        <v>66.23264462055842</v>
      </c>
      <c r="J58" s="24">
        <f t="shared" si="28"/>
        <v>133.81533840724745</v>
      </c>
      <c r="K58" s="21">
        <v>5081236.03</v>
      </c>
      <c r="L58" s="21">
        <v>5685591.55</v>
      </c>
      <c r="M58" s="25">
        <f t="shared" si="29"/>
        <v>-0.10629597899975765</v>
      </c>
      <c r="N58" s="10"/>
      <c r="R58" s="2"/>
    </row>
    <row r="59" spans="1:18" ht="15.75">
      <c r="A59" s="274"/>
      <c r="B59" s="20">
        <f>DATE(2022,12,1)</f>
        <v>44896</v>
      </c>
      <c r="C59" s="21">
        <v>89653</v>
      </c>
      <c r="D59" s="21">
        <v>97815</v>
      </c>
      <c r="E59" s="23">
        <f t="shared" si="25"/>
        <v>-0.08344323467770792</v>
      </c>
      <c r="F59" s="21">
        <f>+C59-45455</f>
        <v>44198</v>
      </c>
      <c r="G59" s="21">
        <f>+D59-49840</f>
        <v>47975</v>
      </c>
      <c r="H59" s="23">
        <f t="shared" si="26"/>
        <v>-0.0787285044293903</v>
      </c>
      <c r="I59" s="24">
        <f t="shared" si="27"/>
        <v>61.35331009559077</v>
      </c>
      <c r="J59" s="24">
        <f t="shared" si="28"/>
        <v>124.45152065704329</v>
      </c>
      <c r="K59" s="21">
        <v>5500508.31</v>
      </c>
      <c r="L59" s="21">
        <v>6306111.89</v>
      </c>
      <c r="M59" s="25">
        <f t="shared" si="29"/>
        <v>-0.12774964892035878</v>
      </c>
      <c r="N59" s="10"/>
      <c r="R59" s="2"/>
    </row>
    <row r="60" spans="1:18" ht="15.75" customHeight="1" thickBot="1">
      <c r="A60" s="19"/>
      <c r="B60" s="20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25" customHeight="1" thickBot="1" thickTop="1">
      <c r="A61" s="39" t="s">
        <v>14</v>
      </c>
      <c r="B61" s="52"/>
      <c r="C61" s="47">
        <f>SUM(C54:C60)</f>
        <v>516393</v>
      </c>
      <c r="D61" s="48">
        <f>SUM(D54:D60)</f>
        <v>568359</v>
      </c>
      <c r="E61" s="281">
        <f>(+C61-D61)/D61</f>
        <v>-0.09143164795490175</v>
      </c>
      <c r="F61" s="48">
        <f>SUM(F54:F60)</f>
        <v>256781</v>
      </c>
      <c r="G61" s="47">
        <f>SUM(G54:G60)</f>
        <v>284324</v>
      </c>
      <c r="H61" s="46">
        <f>(+F61-G61)/G61</f>
        <v>-0.0968718785610782</v>
      </c>
      <c r="I61" s="51">
        <f>K61/C61</f>
        <v>64.30438261169303</v>
      </c>
      <c r="J61" s="50">
        <f>K61/F61</f>
        <v>129.3177184059568</v>
      </c>
      <c r="K61" s="47">
        <f>SUM(K54:K60)</f>
        <v>33206333.049999997</v>
      </c>
      <c r="L61" s="48">
        <f>SUM(L54:L60)</f>
        <v>36085242.42</v>
      </c>
      <c r="M61" s="44">
        <f>(+K61-L61)/L61</f>
        <v>-0.07978079616293193</v>
      </c>
      <c r="N61" s="10"/>
      <c r="R61" s="2"/>
    </row>
    <row r="62" spans="1:18" ht="15.75" customHeight="1" thickTop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5.75">
      <c r="A63" s="19" t="s">
        <v>67</v>
      </c>
      <c r="B63" s="20">
        <f>DATE(2022,7,1)</f>
        <v>44743</v>
      </c>
      <c r="C63" s="21">
        <v>220596</v>
      </c>
      <c r="D63" s="21">
        <v>224693</v>
      </c>
      <c r="E63" s="23">
        <f aca="true" t="shared" si="30" ref="E63:E68">(+C63-D63)/D63</f>
        <v>-0.018233767852136026</v>
      </c>
      <c r="F63" s="21">
        <f>+C63-105104</f>
        <v>115492</v>
      </c>
      <c r="G63" s="21">
        <f>+D63-121301</f>
        <v>103392</v>
      </c>
      <c r="H63" s="23">
        <f aca="true" t="shared" si="31" ref="H63:H68">(+F63-G63)/G63</f>
        <v>0.11703033116682142</v>
      </c>
      <c r="I63" s="24">
        <f aca="true" t="shared" si="32" ref="I63:I68">K63/C63</f>
        <v>48.08238961721881</v>
      </c>
      <c r="J63" s="24">
        <f aca="true" t="shared" si="33" ref="J63:J68">K63/F63</f>
        <v>91.83997869982336</v>
      </c>
      <c r="K63" s="21">
        <v>10606782.82</v>
      </c>
      <c r="L63" s="21">
        <v>9513693.57</v>
      </c>
      <c r="M63" s="25">
        <f aca="true" t="shared" si="34" ref="M63:M68">(+K63-L63)/L63</f>
        <v>0.11489641136297392</v>
      </c>
      <c r="N63" s="10"/>
      <c r="R63" s="2"/>
    </row>
    <row r="64" spans="1:18" ht="15.75">
      <c r="A64" s="19"/>
      <c r="B64" s="20">
        <f>DATE(2022,8,1)</f>
        <v>44774</v>
      </c>
      <c r="C64" s="21">
        <v>204208</v>
      </c>
      <c r="D64" s="21">
        <v>253687</v>
      </c>
      <c r="E64" s="23">
        <f t="shared" si="30"/>
        <v>-0.19503955661898323</v>
      </c>
      <c r="F64" s="21">
        <f>+C64-95602</f>
        <v>108606</v>
      </c>
      <c r="G64" s="21">
        <f>+D64-139919</f>
        <v>113768</v>
      </c>
      <c r="H64" s="23">
        <f t="shared" si="31"/>
        <v>-0.045373039870613883</v>
      </c>
      <c r="I64" s="24">
        <f t="shared" si="32"/>
        <v>50.441069742615376</v>
      </c>
      <c r="J64" s="24">
        <f t="shared" si="33"/>
        <v>94.8425498591238</v>
      </c>
      <c r="K64" s="21">
        <v>10300469.97</v>
      </c>
      <c r="L64" s="21">
        <v>9470339.94</v>
      </c>
      <c r="M64" s="25">
        <f t="shared" si="34"/>
        <v>0.08765577954533291</v>
      </c>
      <c r="N64" s="10"/>
      <c r="R64" s="2"/>
    </row>
    <row r="65" spans="1:18" ht="15.75">
      <c r="A65" s="19"/>
      <c r="B65" s="20">
        <f>DATE(2022,9,1)</f>
        <v>44805</v>
      </c>
      <c r="C65" s="21">
        <v>202639</v>
      </c>
      <c r="D65" s="21">
        <v>235488</v>
      </c>
      <c r="E65" s="23">
        <f t="shared" si="30"/>
        <v>-0.13949330751460795</v>
      </c>
      <c r="F65" s="21">
        <f>+C65-96056</f>
        <v>106583</v>
      </c>
      <c r="G65" s="21">
        <f>+D65-117319</f>
        <v>118169</v>
      </c>
      <c r="H65" s="23">
        <f t="shared" si="31"/>
        <v>-0.09804601883742775</v>
      </c>
      <c r="I65" s="24">
        <f t="shared" si="32"/>
        <v>48.50680421833902</v>
      </c>
      <c r="J65" s="24">
        <f t="shared" si="33"/>
        <v>92.22268373005076</v>
      </c>
      <c r="K65" s="21">
        <v>9829370.3</v>
      </c>
      <c r="L65" s="21">
        <v>10050706.73</v>
      </c>
      <c r="M65" s="25">
        <f t="shared" si="34"/>
        <v>-0.02202197675705136</v>
      </c>
      <c r="N65" s="10"/>
      <c r="R65" s="2"/>
    </row>
    <row r="66" spans="1:18" ht="15.75">
      <c r="A66" s="19"/>
      <c r="B66" s="20">
        <f>DATE(2022,10,1)</f>
        <v>44835</v>
      </c>
      <c r="C66" s="21">
        <v>197805</v>
      </c>
      <c r="D66" s="21">
        <v>221802</v>
      </c>
      <c r="E66" s="23">
        <f t="shared" si="30"/>
        <v>-0.10819108934996077</v>
      </c>
      <c r="F66" s="21">
        <f>+C66-92993</f>
        <v>104812</v>
      </c>
      <c r="G66" s="21">
        <f>+D66-108914</f>
        <v>112888</v>
      </c>
      <c r="H66" s="23">
        <f t="shared" si="31"/>
        <v>-0.07153993338530225</v>
      </c>
      <c r="I66" s="24">
        <f t="shared" si="32"/>
        <v>52.67072429918353</v>
      </c>
      <c r="J66" s="24">
        <f t="shared" si="33"/>
        <v>99.40209727893752</v>
      </c>
      <c r="K66" s="21">
        <v>10418532.62</v>
      </c>
      <c r="L66" s="21">
        <v>10399038.17</v>
      </c>
      <c r="M66" s="25">
        <f t="shared" si="34"/>
        <v>0.0018746397196846962</v>
      </c>
      <c r="N66" s="10"/>
      <c r="R66" s="2"/>
    </row>
    <row r="67" spans="1:18" ht="15.75">
      <c r="A67" s="19"/>
      <c r="B67" s="20">
        <f>DATE(2022,11,1)</f>
        <v>44866</v>
      </c>
      <c r="C67" s="21">
        <v>202320</v>
      </c>
      <c r="D67" s="21">
        <v>202081</v>
      </c>
      <c r="E67" s="23">
        <f t="shared" si="30"/>
        <v>0.001182694068220169</v>
      </c>
      <c r="F67" s="21">
        <f>+C67-93904</f>
        <v>108416</v>
      </c>
      <c r="G67" s="21">
        <f>+D67-97991</f>
        <v>104090</v>
      </c>
      <c r="H67" s="23">
        <f t="shared" si="31"/>
        <v>0.041560188298587764</v>
      </c>
      <c r="I67" s="24">
        <f t="shared" si="32"/>
        <v>52.06537094701463</v>
      </c>
      <c r="J67" s="24">
        <f t="shared" si="33"/>
        <v>97.16154303792798</v>
      </c>
      <c r="K67" s="21">
        <v>10533865.85</v>
      </c>
      <c r="L67" s="21">
        <v>9591289.68</v>
      </c>
      <c r="M67" s="25">
        <f t="shared" si="34"/>
        <v>0.09827418433263294</v>
      </c>
      <c r="N67" s="10"/>
      <c r="R67" s="2"/>
    </row>
    <row r="68" spans="1:18" ht="15.75">
      <c r="A68" s="19"/>
      <c r="B68" s="20">
        <f>DATE(2022,12,1)</f>
        <v>44896</v>
      </c>
      <c r="C68" s="21">
        <v>223223</v>
      </c>
      <c r="D68" s="21">
        <v>205858</v>
      </c>
      <c r="E68" s="23">
        <f t="shared" si="30"/>
        <v>0.08435426361861088</v>
      </c>
      <c r="F68" s="21">
        <f>+C68-104081</f>
        <v>119142</v>
      </c>
      <c r="G68" s="21">
        <f>+D68-97374</f>
        <v>108484</v>
      </c>
      <c r="H68" s="23">
        <f t="shared" si="31"/>
        <v>0.09824490247409756</v>
      </c>
      <c r="I68" s="24">
        <f t="shared" si="32"/>
        <v>47.76632080923561</v>
      </c>
      <c r="J68" s="24">
        <f t="shared" si="33"/>
        <v>89.49439685417401</v>
      </c>
      <c r="K68" s="21">
        <v>10662541.43</v>
      </c>
      <c r="L68" s="21">
        <v>10189799.08</v>
      </c>
      <c r="M68" s="25">
        <f t="shared" si="34"/>
        <v>0.04639368708730218</v>
      </c>
      <c r="N68" s="10"/>
      <c r="R68" s="2"/>
    </row>
    <row r="69" spans="1:18" ht="15.75" customHeight="1" thickBot="1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customHeight="1" thickBot="1" thickTop="1">
      <c r="A70" s="39" t="s">
        <v>14</v>
      </c>
      <c r="B70" s="52"/>
      <c r="C70" s="47">
        <f>SUM(C63:C69)</f>
        <v>1250791</v>
      </c>
      <c r="D70" s="48">
        <f>SUM(D63:D69)</f>
        <v>1343609</v>
      </c>
      <c r="E70" s="281">
        <f>(+C70-D70)/D70</f>
        <v>-0.06908110916196601</v>
      </c>
      <c r="F70" s="48">
        <f>SUM(F63:F69)</f>
        <v>663051</v>
      </c>
      <c r="G70" s="47">
        <f>SUM(G63:G69)</f>
        <v>660791</v>
      </c>
      <c r="H70" s="53">
        <f>(+F70-G70)/G70</f>
        <v>0.0034201434341569422</v>
      </c>
      <c r="I70" s="51">
        <f>K70/C70</f>
        <v>49.84970549836064</v>
      </c>
      <c r="J70" s="50">
        <f>K70/F70</f>
        <v>94.03735608573096</v>
      </c>
      <c r="K70" s="47">
        <f>SUM(K63:K69)</f>
        <v>62351562.99</v>
      </c>
      <c r="L70" s="48">
        <f>SUM(L63:L69)</f>
        <v>59214867.169999994</v>
      </c>
      <c r="M70" s="44">
        <f>(+K70-L70)/L70</f>
        <v>0.052971423730376124</v>
      </c>
      <c r="N70" s="10"/>
      <c r="R70" s="2"/>
    </row>
    <row r="71" spans="1:18" ht="15.75" customHeight="1" thickTop="1">
      <c r="A71" s="19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5.75" customHeight="1">
      <c r="A72" s="19" t="s">
        <v>69</v>
      </c>
      <c r="B72" s="20">
        <f>DATE(2022,7,1)</f>
        <v>44743</v>
      </c>
      <c r="C72" s="21">
        <v>226300</v>
      </c>
      <c r="D72" s="21">
        <v>251090</v>
      </c>
      <c r="E72" s="23">
        <f aca="true" t="shared" si="35" ref="E72:E77">(+C72-D72)/D72</f>
        <v>-0.09872953920904855</v>
      </c>
      <c r="F72" s="21">
        <f>+C72-105791</f>
        <v>120509</v>
      </c>
      <c r="G72" s="21">
        <f>+D72-113536</f>
        <v>137554</v>
      </c>
      <c r="H72" s="23">
        <f aca="true" t="shared" si="36" ref="H72:H77">(+F72-G72)/G72</f>
        <v>-0.12391497157479972</v>
      </c>
      <c r="I72" s="24">
        <f aca="true" t="shared" si="37" ref="I72:I77">K72/C72</f>
        <v>58.190034202386215</v>
      </c>
      <c r="J72" s="24">
        <f aca="true" t="shared" si="38" ref="J72:J77">K72/F72</f>
        <v>109.27320565268984</v>
      </c>
      <c r="K72" s="21">
        <v>13168404.74</v>
      </c>
      <c r="L72" s="21">
        <v>14822103.82</v>
      </c>
      <c r="M72" s="25">
        <f aca="true" t="shared" si="39" ref="M72:M77">(+K72-L72)/L72</f>
        <v>-0.111569794685192</v>
      </c>
      <c r="N72" s="10"/>
      <c r="R72" s="2"/>
    </row>
    <row r="73" spans="1:18" ht="15.75" customHeight="1">
      <c r="A73" s="19"/>
      <c r="B73" s="20">
        <f>DATE(2022,8,1)</f>
        <v>44774</v>
      </c>
      <c r="C73" s="21">
        <v>232585</v>
      </c>
      <c r="D73" s="21">
        <v>215479</v>
      </c>
      <c r="E73" s="23">
        <f t="shared" si="35"/>
        <v>0.0793859262387518</v>
      </c>
      <c r="F73" s="21">
        <f>+C73-107552</f>
        <v>125033</v>
      </c>
      <c r="G73" s="21">
        <f>+D73-96518</f>
        <v>118961</v>
      </c>
      <c r="H73" s="23">
        <f t="shared" si="36"/>
        <v>0.05104193811417187</v>
      </c>
      <c r="I73" s="24">
        <f t="shared" si="37"/>
        <v>59.88228583098652</v>
      </c>
      <c r="J73" s="24">
        <f t="shared" si="38"/>
        <v>111.3923640158998</v>
      </c>
      <c r="K73" s="21">
        <v>13927721.45</v>
      </c>
      <c r="L73" s="21">
        <v>13122626.66</v>
      </c>
      <c r="M73" s="25">
        <f t="shared" si="39"/>
        <v>0.06135164939608204</v>
      </c>
      <c r="N73" s="10"/>
      <c r="R73" s="2"/>
    </row>
    <row r="74" spans="1:18" ht="15.75" customHeight="1">
      <c r="A74" s="19"/>
      <c r="B74" s="20">
        <f>DATE(2022,9,1)</f>
        <v>44805</v>
      </c>
      <c r="C74" s="21">
        <v>229799</v>
      </c>
      <c r="D74" s="21">
        <v>213931</v>
      </c>
      <c r="E74" s="23">
        <f t="shared" si="35"/>
        <v>0.07417344844833147</v>
      </c>
      <c r="F74" s="21">
        <f>+C74-107359</f>
        <v>122440</v>
      </c>
      <c r="G74" s="21">
        <f>+D74-98283</f>
        <v>115648</v>
      </c>
      <c r="H74" s="23">
        <f t="shared" si="36"/>
        <v>0.05872993912562258</v>
      </c>
      <c r="I74" s="24">
        <f t="shared" si="37"/>
        <v>58.84250370976375</v>
      </c>
      <c r="J74" s="24">
        <f t="shared" si="38"/>
        <v>110.43734490362627</v>
      </c>
      <c r="K74" s="21">
        <v>13521948.51</v>
      </c>
      <c r="L74" s="21">
        <v>12121290.84</v>
      </c>
      <c r="M74" s="25">
        <f t="shared" si="39"/>
        <v>0.1155535073358573</v>
      </c>
      <c r="N74" s="10"/>
      <c r="R74" s="2"/>
    </row>
    <row r="75" spans="1:18" ht="15.75" customHeight="1">
      <c r="A75" s="19"/>
      <c r="B75" s="20">
        <f>DATE(2022,10,1)</f>
        <v>44835</v>
      </c>
      <c r="C75" s="21">
        <v>212700</v>
      </c>
      <c r="D75" s="21">
        <v>212915</v>
      </c>
      <c r="E75" s="23">
        <f t="shared" si="35"/>
        <v>-0.001009792640255501</v>
      </c>
      <c r="F75" s="21">
        <f>+C75-99072</f>
        <v>113628</v>
      </c>
      <c r="G75" s="21">
        <f>+D75-99053</f>
        <v>113862</v>
      </c>
      <c r="H75" s="23">
        <f t="shared" si="36"/>
        <v>-0.0020551193550086945</v>
      </c>
      <c r="I75" s="24">
        <f t="shared" si="37"/>
        <v>60.88778180535966</v>
      </c>
      <c r="J75" s="24">
        <f t="shared" si="38"/>
        <v>113.97570308374696</v>
      </c>
      <c r="K75" s="21">
        <v>12950831.19</v>
      </c>
      <c r="L75" s="21">
        <v>12831260.62</v>
      </c>
      <c r="M75" s="25">
        <f t="shared" si="39"/>
        <v>0.009318692335936693</v>
      </c>
      <c r="N75" s="10"/>
      <c r="R75" s="2"/>
    </row>
    <row r="76" spans="1:18" ht="15.75" customHeight="1">
      <c r="A76" s="19"/>
      <c r="B76" s="20">
        <f>DATE(2022,11,1)</f>
        <v>44866</v>
      </c>
      <c r="C76" s="21">
        <v>191508</v>
      </c>
      <c r="D76" s="21">
        <v>184421</v>
      </c>
      <c r="E76" s="23">
        <f t="shared" si="35"/>
        <v>0.03842837854691169</v>
      </c>
      <c r="F76" s="21">
        <f>+C76-91306</f>
        <v>100202</v>
      </c>
      <c r="G76" s="21">
        <f>+D76-84660</f>
        <v>99761</v>
      </c>
      <c r="H76" s="23">
        <f t="shared" si="36"/>
        <v>0.004420565150710197</v>
      </c>
      <c r="I76" s="24">
        <f t="shared" si="37"/>
        <v>61.98403789920004</v>
      </c>
      <c r="J76" s="24">
        <f t="shared" si="38"/>
        <v>118.46509181453465</v>
      </c>
      <c r="K76" s="21">
        <v>11870439.13</v>
      </c>
      <c r="L76" s="21">
        <v>11874815.39</v>
      </c>
      <c r="M76" s="25">
        <f t="shared" si="39"/>
        <v>-0.0003685328871457745</v>
      </c>
      <c r="N76" s="10"/>
      <c r="R76" s="2"/>
    </row>
    <row r="77" spans="1:18" ht="15.75" customHeight="1">
      <c r="A77" s="19"/>
      <c r="B77" s="20">
        <f>DATE(2022,12,1)</f>
        <v>44896</v>
      </c>
      <c r="C77" s="21">
        <v>214147</v>
      </c>
      <c r="D77" s="21">
        <v>211464</v>
      </c>
      <c r="E77" s="23">
        <f t="shared" si="35"/>
        <v>0.012687738811334316</v>
      </c>
      <c r="F77" s="21">
        <f>+C77-102215</f>
        <v>111932</v>
      </c>
      <c r="G77" s="21">
        <f>+D77-97323</f>
        <v>114141</v>
      </c>
      <c r="H77" s="23">
        <f t="shared" si="36"/>
        <v>-0.01935325606048659</v>
      </c>
      <c r="I77" s="24">
        <f t="shared" si="37"/>
        <v>60.96684296301139</v>
      </c>
      <c r="J77" s="24">
        <f t="shared" si="38"/>
        <v>116.64105456884536</v>
      </c>
      <c r="K77" s="21">
        <v>13055866.52</v>
      </c>
      <c r="L77" s="21">
        <v>12543331.57</v>
      </c>
      <c r="M77" s="25">
        <f t="shared" si="39"/>
        <v>0.04086114977824821</v>
      </c>
      <c r="N77" s="10"/>
      <c r="R77" s="2"/>
    </row>
    <row r="78" spans="1:18" ht="15.75" customHeight="1" thickBot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Bot="1" thickTop="1">
      <c r="A79" s="39" t="s">
        <v>14</v>
      </c>
      <c r="B79" s="40"/>
      <c r="C79" s="41">
        <f>SUM(C72:C78)</f>
        <v>1307039</v>
      </c>
      <c r="D79" s="41">
        <f>SUM(D72:D78)</f>
        <v>1289300</v>
      </c>
      <c r="E79" s="280">
        <f>(+C79-D79)/D79</f>
        <v>0.013758628713255255</v>
      </c>
      <c r="F79" s="41">
        <f>SUM(F72:F78)</f>
        <v>693744</v>
      </c>
      <c r="G79" s="41">
        <f>SUM(G72:G78)</f>
        <v>699927</v>
      </c>
      <c r="H79" s="42">
        <f>(+F79-G79)/G79</f>
        <v>-0.008833778379745316</v>
      </c>
      <c r="I79" s="43">
        <f>K79/C79</f>
        <v>60.055753148911386</v>
      </c>
      <c r="J79" s="43">
        <f>K79/F79</f>
        <v>113.14722943910144</v>
      </c>
      <c r="K79" s="41">
        <f>SUM(K72:K78)</f>
        <v>78495211.53999999</v>
      </c>
      <c r="L79" s="41">
        <f>SUM(L72:L78)</f>
        <v>77315428.9</v>
      </c>
      <c r="M79" s="44">
        <f>(+K79-L79)/L79</f>
        <v>0.01525934288647509</v>
      </c>
      <c r="N79" s="10"/>
      <c r="R79" s="2"/>
    </row>
    <row r="80" spans="1:18" ht="15.75" customHeight="1" thickTop="1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>
      <c r="A81" s="19" t="s">
        <v>16</v>
      </c>
      <c r="B81" s="20">
        <f>DATE(2022,7,1)</f>
        <v>44743</v>
      </c>
      <c r="C81" s="21">
        <v>271337</v>
      </c>
      <c r="D81" s="21">
        <v>292626</v>
      </c>
      <c r="E81" s="23">
        <f aca="true" t="shared" si="40" ref="E81:E86">(+C81-D81)/D81</f>
        <v>-0.0727515668464183</v>
      </c>
      <c r="F81" s="21">
        <f>+C81-134570</f>
        <v>136767</v>
      </c>
      <c r="G81" s="21">
        <f>+D81-144119</f>
        <v>148507</v>
      </c>
      <c r="H81" s="23">
        <f aca="true" t="shared" si="41" ref="H81:H86">(+F81-G81)/G81</f>
        <v>-0.07905351262903432</v>
      </c>
      <c r="I81" s="24">
        <f aca="true" t="shared" si="42" ref="I81:I86">K81/C81</f>
        <v>67.09200728245688</v>
      </c>
      <c r="J81" s="24">
        <f aca="true" t="shared" si="43" ref="J81:J86">K81/F81</f>
        <v>133.10626086702203</v>
      </c>
      <c r="K81" s="21">
        <v>18204543.98</v>
      </c>
      <c r="L81" s="21">
        <v>18108904.36</v>
      </c>
      <c r="M81" s="25">
        <f aca="true" t="shared" si="44" ref="M81:M86">(+K81-L81)/L81</f>
        <v>0.005281358722687575</v>
      </c>
      <c r="N81" s="10"/>
      <c r="R81" s="2"/>
    </row>
    <row r="82" spans="1:18" ht="15.75" customHeight="1">
      <c r="A82" s="19"/>
      <c r="B82" s="20">
        <f>DATE(2022,8,1)</f>
        <v>44774</v>
      </c>
      <c r="C82" s="21">
        <v>244622</v>
      </c>
      <c r="D82" s="21">
        <v>252812</v>
      </c>
      <c r="E82" s="23">
        <f t="shared" si="40"/>
        <v>-0.032395614132240555</v>
      </c>
      <c r="F82" s="21">
        <f>+C82-120033</f>
        <v>124589</v>
      </c>
      <c r="G82" s="21">
        <f>+D82-122587</f>
        <v>130225</v>
      </c>
      <c r="H82" s="23">
        <f t="shared" si="41"/>
        <v>-0.04327894029564216</v>
      </c>
      <c r="I82" s="24">
        <f t="shared" si="42"/>
        <v>67.20574674395598</v>
      </c>
      <c r="J82" s="24">
        <f t="shared" si="43"/>
        <v>131.95389785615103</v>
      </c>
      <c r="K82" s="21">
        <v>16440004.18</v>
      </c>
      <c r="L82" s="21">
        <v>16282457.7</v>
      </c>
      <c r="M82" s="25">
        <f t="shared" si="44"/>
        <v>0.009675841503951855</v>
      </c>
      <c r="N82" s="10"/>
      <c r="R82" s="2"/>
    </row>
    <row r="83" spans="1:18" ht="15.75" customHeight="1">
      <c r="A83" s="19"/>
      <c r="B83" s="20">
        <f>DATE(2022,9,1)</f>
        <v>44805</v>
      </c>
      <c r="C83" s="21">
        <v>238237</v>
      </c>
      <c r="D83" s="21">
        <v>243584</v>
      </c>
      <c r="E83" s="23">
        <f t="shared" si="40"/>
        <v>-0.021951359695218078</v>
      </c>
      <c r="F83" s="21">
        <f>+C83-117564</f>
        <v>120673</v>
      </c>
      <c r="G83" s="21">
        <f>+D83-118454</f>
        <v>125130</v>
      </c>
      <c r="H83" s="23">
        <f t="shared" si="41"/>
        <v>-0.03561895628546312</v>
      </c>
      <c r="I83" s="24">
        <f t="shared" si="42"/>
        <v>71.1967485738991</v>
      </c>
      <c r="J83" s="24">
        <f t="shared" si="43"/>
        <v>140.5591954289692</v>
      </c>
      <c r="K83" s="21">
        <v>16961699.79</v>
      </c>
      <c r="L83" s="21">
        <v>14471118.95</v>
      </c>
      <c r="M83" s="25">
        <f t="shared" si="44"/>
        <v>0.17210699798718743</v>
      </c>
      <c r="N83" s="10"/>
      <c r="R83" s="2"/>
    </row>
    <row r="84" spans="1:18" ht="15.75" customHeight="1">
      <c r="A84" s="19"/>
      <c r="B84" s="20">
        <f>DATE(2022,10,1)</f>
        <v>44835</v>
      </c>
      <c r="C84" s="21">
        <v>243168</v>
      </c>
      <c r="D84" s="21">
        <v>265943</v>
      </c>
      <c r="E84" s="23">
        <f t="shared" si="40"/>
        <v>-0.08563865189157074</v>
      </c>
      <c r="F84" s="21">
        <f>+C84-122237</f>
        <v>120931</v>
      </c>
      <c r="G84" s="21">
        <f>+D84-130327</f>
        <v>135616</v>
      </c>
      <c r="H84" s="23">
        <f t="shared" si="41"/>
        <v>-0.10828368334119867</v>
      </c>
      <c r="I84" s="24">
        <f t="shared" si="42"/>
        <v>66.92405645479668</v>
      </c>
      <c r="J84" s="24">
        <f t="shared" si="43"/>
        <v>134.57086239260406</v>
      </c>
      <c r="K84" s="21">
        <v>16273788.96</v>
      </c>
      <c r="L84" s="21">
        <v>16493487.77</v>
      </c>
      <c r="M84" s="25">
        <f t="shared" si="44"/>
        <v>-0.013320336672490142</v>
      </c>
      <c r="N84" s="10"/>
      <c r="R84" s="2"/>
    </row>
    <row r="85" spans="1:18" ht="15.75" customHeight="1">
      <c r="A85" s="19"/>
      <c r="B85" s="20">
        <f>DATE(2022,11,1)</f>
        <v>44866</v>
      </c>
      <c r="C85" s="21">
        <v>218400</v>
      </c>
      <c r="D85" s="21">
        <v>251827</v>
      </c>
      <c r="E85" s="23">
        <f t="shared" si="40"/>
        <v>-0.13273795105369957</v>
      </c>
      <c r="F85" s="21">
        <f>+C85-108404</f>
        <v>109996</v>
      </c>
      <c r="G85" s="21">
        <f>+D85-125798</f>
        <v>126029</v>
      </c>
      <c r="H85" s="23">
        <f t="shared" si="41"/>
        <v>-0.12721675170000554</v>
      </c>
      <c r="I85" s="24">
        <f t="shared" si="42"/>
        <v>69.58973214285714</v>
      </c>
      <c r="J85" s="24">
        <f t="shared" si="43"/>
        <v>138.1722744463435</v>
      </c>
      <c r="K85" s="21">
        <v>15198397.5</v>
      </c>
      <c r="L85" s="21">
        <v>16062012.83</v>
      </c>
      <c r="M85" s="25">
        <f t="shared" si="44"/>
        <v>-0.05376756569307261</v>
      </c>
      <c r="N85" s="10"/>
      <c r="R85" s="2"/>
    </row>
    <row r="86" spans="1:18" ht="15.75" customHeight="1">
      <c r="A86" s="19"/>
      <c r="B86" s="20">
        <f>DATE(2022,12,1)</f>
        <v>44896</v>
      </c>
      <c r="C86" s="21">
        <v>250765</v>
      </c>
      <c r="D86" s="21">
        <v>268015</v>
      </c>
      <c r="E86" s="23">
        <f t="shared" si="40"/>
        <v>-0.06436206928716676</v>
      </c>
      <c r="F86" s="21">
        <f>+C86-124228</f>
        <v>126537</v>
      </c>
      <c r="G86" s="21">
        <f>+D86-132764</f>
        <v>135251</v>
      </c>
      <c r="H86" s="23">
        <f t="shared" si="41"/>
        <v>-0.06442835912488633</v>
      </c>
      <c r="I86" s="24">
        <f t="shared" si="42"/>
        <v>66.21905182142643</v>
      </c>
      <c r="J86" s="24">
        <f t="shared" si="43"/>
        <v>131.2297630732513</v>
      </c>
      <c r="K86" s="21">
        <v>16605420.53</v>
      </c>
      <c r="L86" s="21">
        <v>16759114.94</v>
      </c>
      <c r="M86" s="25">
        <f t="shared" si="44"/>
        <v>-0.009170795149400661</v>
      </c>
      <c r="N86" s="10"/>
      <c r="R86" s="2"/>
    </row>
    <row r="87" spans="1:18" ht="15.75" customHeight="1" thickBot="1">
      <c r="A87" s="19"/>
      <c r="B87" s="45"/>
      <c r="C87" s="21"/>
      <c r="D87" s="21"/>
      <c r="E87" s="23"/>
      <c r="F87" s="21"/>
      <c r="G87" s="21"/>
      <c r="H87" s="23"/>
      <c r="I87" s="24"/>
      <c r="J87" s="24"/>
      <c r="K87" s="21"/>
      <c r="L87" s="21"/>
      <c r="M87" s="25"/>
      <c r="N87" s="10"/>
      <c r="R87" s="2"/>
    </row>
    <row r="88" spans="1:18" ht="17.25" thickBot="1" thickTop="1">
      <c r="A88" s="39" t="s">
        <v>14</v>
      </c>
      <c r="B88" s="40"/>
      <c r="C88" s="41">
        <f>SUM(C81:C87)</f>
        <v>1466529</v>
      </c>
      <c r="D88" s="41">
        <f>SUM(D81:D87)</f>
        <v>1574807</v>
      </c>
      <c r="E88" s="280">
        <f>(+C88-D88)/D88</f>
        <v>-0.06875636189069517</v>
      </c>
      <c r="F88" s="41">
        <f>SUM(F81:F87)</f>
        <v>739493</v>
      </c>
      <c r="G88" s="41">
        <f>SUM(G81:G87)</f>
        <v>800758</v>
      </c>
      <c r="H88" s="42">
        <f>(+F88-G88)/G88</f>
        <v>-0.07650875795184063</v>
      </c>
      <c r="I88" s="43">
        <f>K88/C88</f>
        <v>67.97264489144095</v>
      </c>
      <c r="J88" s="43">
        <f>K88/F88</f>
        <v>134.80026848124322</v>
      </c>
      <c r="K88" s="41">
        <f>SUM(K81:K87)</f>
        <v>99683854.94</v>
      </c>
      <c r="L88" s="41">
        <f>SUM(L81:L87)</f>
        <v>98177096.55</v>
      </c>
      <c r="M88" s="44">
        <f>(+K88-L88)/L88</f>
        <v>0.015347351296263209</v>
      </c>
      <c r="N88" s="10"/>
      <c r="R88" s="2"/>
    </row>
    <row r="89" spans="1:18" ht="15.75" customHeight="1" thickTop="1">
      <c r="A89" s="54"/>
      <c r="B89" s="55"/>
      <c r="C89" s="55"/>
      <c r="D89" s="55"/>
      <c r="E89" s="56"/>
      <c r="F89" s="55"/>
      <c r="G89" s="55"/>
      <c r="H89" s="56"/>
      <c r="I89" s="55"/>
      <c r="J89" s="55"/>
      <c r="K89" s="196"/>
      <c r="L89" s="196"/>
      <c r="M89" s="57"/>
      <c r="N89" s="10"/>
      <c r="R89" s="2"/>
    </row>
    <row r="90" spans="1:18" ht="15.75" customHeight="1">
      <c r="A90" s="19" t="s">
        <v>53</v>
      </c>
      <c r="B90" s="20">
        <f>DATE(2022,7,1)</f>
        <v>44743</v>
      </c>
      <c r="C90" s="21">
        <v>358906</v>
      </c>
      <c r="D90" s="21">
        <v>338901</v>
      </c>
      <c r="E90" s="23">
        <f aca="true" t="shared" si="45" ref="E90:E95">(+C90-D90)/D90</f>
        <v>0.05902903797864273</v>
      </c>
      <c r="F90" s="21">
        <f>+C90-172463</f>
        <v>186443</v>
      </c>
      <c r="G90" s="21">
        <f>+D90-160819</f>
        <v>178082</v>
      </c>
      <c r="H90" s="23">
        <f aca="true" t="shared" si="46" ref="H90:H95">(+F90-G90)/G90</f>
        <v>0.0469502813310722</v>
      </c>
      <c r="I90" s="24">
        <f aca="true" t="shared" si="47" ref="I90:I95">K90/C90</f>
        <v>62.40353460237499</v>
      </c>
      <c r="J90" s="24">
        <f aca="true" t="shared" si="48" ref="J90:J95">K90/F90</f>
        <v>120.12788353545051</v>
      </c>
      <c r="K90" s="21">
        <v>22397002.99</v>
      </c>
      <c r="L90" s="21">
        <v>20138878.38</v>
      </c>
      <c r="M90" s="25">
        <f aca="true" t="shared" si="49" ref="M90:M95">(+K90-L90)/L90</f>
        <v>0.11212762535189408</v>
      </c>
      <c r="N90" s="10"/>
      <c r="R90" s="2"/>
    </row>
    <row r="91" spans="1:18" ht="15.75" customHeight="1">
      <c r="A91" s="19"/>
      <c r="B91" s="20">
        <f>DATE(2022,8,1)</f>
        <v>44774</v>
      </c>
      <c r="C91" s="21">
        <v>332390</v>
      </c>
      <c r="D91" s="21">
        <v>315503</v>
      </c>
      <c r="E91" s="23">
        <f t="shared" si="45"/>
        <v>0.05352405523877744</v>
      </c>
      <c r="F91" s="21">
        <f>+C91-159690</f>
        <v>172700</v>
      </c>
      <c r="G91" s="21">
        <f>+D91-149989</f>
        <v>165514</v>
      </c>
      <c r="H91" s="23">
        <f t="shared" si="46"/>
        <v>0.04341626690189349</v>
      </c>
      <c r="I91" s="24">
        <f t="shared" si="47"/>
        <v>62.33564412286771</v>
      </c>
      <c r="J91" s="24">
        <f t="shared" si="48"/>
        <v>119.97536045165026</v>
      </c>
      <c r="K91" s="21">
        <v>20719744.75</v>
      </c>
      <c r="L91" s="21">
        <v>19194870.57</v>
      </c>
      <c r="M91" s="25">
        <f t="shared" si="49"/>
        <v>0.07944175369347123</v>
      </c>
      <c r="N91" s="10"/>
      <c r="R91" s="2"/>
    </row>
    <row r="92" spans="1:18" ht="15.75" customHeight="1">
      <c r="A92" s="19"/>
      <c r="B92" s="20">
        <f>DATE(2022,9,1)</f>
        <v>44805</v>
      </c>
      <c r="C92" s="21">
        <v>333101</v>
      </c>
      <c r="D92" s="21">
        <v>329297</v>
      </c>
      <c r="E92" s="23">
        <f t="shared" si="45"/>
        <v>0.011551881735940503</v>
      </c>
      <c r="F92" s="21">
        <f>+C92-160339</f>
        <v>172762</v>
      </c>
      <c r="G92" s="21">
        <f>+D92-155913</f>
        <v>173384</v>
      </c>
      <c r="H92" s="23">
        <f t="shared" si="46"/>
        <v>-0.0035874129100724405</v>
      </c>
      <c r="I92" s="24">
        <f t="shared" si="47"/>
        <v>60.98825344264953</v>
      </c>
      <c r="J92" s="24">
        <f t="shared" si="48"/>
        <v>117.59095292946365</v>
      </c>
      <c r="K92" s="21">
        <v>20315248.21</v>
      </c>
      <c r="L92" s="21">
        <v>19476285.94</v>
      </c>
      <c r="M92" s="25">
        <f t="shared" si="49"/>
        <v>0.04307609123138595</v>
      </c>
      <c r="N92" s="10"/>
      <c r="R92" s="2"/>
    </row>
    <row r="93" spans="1:18" ht="15.75" customHeight="1">
      <c r="A93" s="19"/>
      <c r="B93" s="20">
        <f>DATE(2022,10,1)</f>
        <v>44835</v>
      </c>
      <c r="C93" s="21">
        <v>337264</v>
      </c>
      <c r="D93" s="21">
        <v>343168</v>
      </c>
      <c r="E93" s="23">
        <f t="shared" si="45"/>
        <v>-0.017204401342782543</v>
      </c>
      <c r="F93" s="21">
        <f>+C93-160233</f>
        <v>177031</v>
      </c>
      <c r="G93" s="21">
        <f>+D93-164416</f>
        <v>178752</v>
      </c>
      <c r="H93" s="23">
        <f t="shared" si="46"/>
        <v>-0.009627864303616184</v>
      </c>
      <c r="I93" s="24">
        <f t="shared" si="47"/>
        <v>62.27801304022961</v>
      </c>
      <c r="J93" s="24">
        <f t="shared" si="48"/>
        <v>118.64663132445729</v>
      </c>
      <c r="K93" s="21">
        <v>21004131.79</v>
      </c>
      <c r="L93" s="21">
        <v>21027601.49</v>
      </c>
      <c r="M93" s="25">
        <f t="shared" si="49"/>
        <v>-0.0011161377588005286</v>
      </c>
      <c r="N93" s="10"/>
      <c r="R93" s="2"/>
    </row>
    <row r="94" spans="1:18" ht="15.75" customHeight="1">
      <c r="A94" s="19"/>
      <c r="B94" s="20">
        <f>DATE(2022,11,1)</f>
        <v>44866</v>
      </c>
      <c r="C94" s="21">
        <v>335976</v>
      </c>
      <c r="D94" s="21">
        <v>319143</v>
      </c>
      <c r="E94" s="23">
        <f t="shared" si="45"/>
        <v>0.05274438104548745</v>
      </c>
      <c r="F94" s="21">
        <f>+C94-165580</f>
        <v>170396</v>
      </c>
      <c r="G94" s="21">
        <f>+D94-158694</f>
        <v>160449</v>
      </c>
      <c r="H94" s="23">
        <f t="shared" si="46"/>
        <v>0.06199477715660428</v>
      </c>
      <c r="I94" s="24">
        <f t="shared" si="47"/>
        <v>62.16175759578066</v>
      </c>
      <c r="J94" s="24">
        <f t="shared" si="48"/>
        <v>122.56660173947746</v>
      </c>
      <c r="K94" s="21">
        <v>20884858.67</v>
      </c>
      <c r="L94" s="21">
        <v>19834333.84</v>
      </c>
      <c r="M94" s="25">
        <f t="shared" si="49"/>
        <v>0.052964966631821195</v>
      </c>
      <c r="N94" s="10"/>
      <c r="R94" s="2"/>
    </row>
    <row r="95" spans="1:18" ht="15.75" customHeight="1">
      <c r="A95" s="19"/>
      <c r="B95" s="20">
        <f>DATE(2022,12,1)</f>
        <v>44896</v>
      </c>
      <c r="C95" s="21">
        <v>365061</v>
      </c>
      <c r="D95" s="21">
        <v>337706</v>
      </c>
      <c r="E95" s="23">
        <f t="shared" si="45"/>
        <v>0.08100241038062693</v>
      </c>
      <c r="F95" s="21">
        <f>+C95-179997</f>
        <v>185064</v>
      </c>
      <c r="G95" s="21">
        <f>+D95-167775</f>
        <v>169931</v>
      </c>
      <c r="H95" s="23">
        <f t="shared" si="46"/>
        <v>0.08905379242162996</v>
      </c>
      <c r="I95" s="24">
        <f t="shared" si="47"/>
        <v>57.01754262986186</v>
      </c>
      <c r="J95" s="24">
        <f t="shared" si="48"/>
        <v>112.47396106211905</v>
      </c>
      <c r="K95" s="21">
        <v>20814881.13</v>
      </c>
      <c r="L95" s="21">
        <v>21876573.8</v>
      </c>
      <c r="M95" s="25">
        <f t="shared" si="49"/>
        <v>-0.04853103048522167</v>
      </c>
      <c r="N95" s="10"/>
      <c r="R95" s="2"/>
    </row>
    <row r="96" spans="1:18" ht="15.75" customHeight="1" thickBot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Bot="1" thickTop="1">
      <c r="A97" s="39" t="s">
        <v>14</v>
      </c>
      <c r="B97" s="40"/>
      <c r="C97" s="41">
        <f>SUM(C90:C96)</f>
        <v>2062698</v>
      </c>
      <c r="D97" s="41">
        <f>SUM(D90:D96)</f>
        <v>1983718</v>
      </c>
      <c r="E97" s="280">
        <f>(+C97-D97)/D97</f>
        <v>0.039814126806330334</v>
      </c>
      <c r="F97" s="41">
        <f>SUM(F90:F96)</f>
        <v>1064396</v>
      </c>
      <c r="G97" s="41">
        <f>SUM(G90:G96)</f>
        <v>1026112</v>
      </c>
      <c r="H97" s="42">
        <f>(+F97-G97)/G97</f>
        <v>0.03730976735483066</v>
      </c>
      <c r="I97" s="43">
        <f>K97/C97</f>
        <v>61.15091377409586</v>
      </c>
      <c r="J97" s="43">
        <f>K97/F97</f>
        <v>118.504642576635</v>
      </c>
      <c r="K97" s="41">
        <f>SUM(K90:K96)</f>
        <v>126135867.53999999</v>
      </c>
      <c r="L97" s="41">
        <f>SUM(L90:L96)</f>
        <v>121548544.02</v>
      </c>
      <c r="M97" s="44">
        <f>(+K97-L97)/L97</f>
        <v>0.03774067025636426</v>
      </c>
      <c r="N97" s="10"/>
      <c r="R97" s="2"/>
    </row>
    <row r="98" spans="1:18" ht="15.75" customHeight="1" thickTop="1">
      <c r="A98" s="58"/>
      <c r="B98" s="59"/>
      <c r="C98" s="59"/>
      <c r="D98" s="59"/>
      <c r="E98" s="60"/>
      <c r="F98" s="59"/>
      <c r="G98" s="59"/>
      <c r="H98" s="60"/>
      <c r="I98" s="59"/>
      <c r="J98" s="59"/>
      <c r="K98" s="197"/>
      <c r="L98" s="197"/>
      <c r="M98" s="61"/>
      <c r="N98" s="10"/>
      <c r="R98" s="2"/>
    </row>
    <row r="99" spans="1:18" ht="15" customHeight="1">
      <c r="A99" s="19" t="s">
        <v>54</v>
      </c>
      <c r="B99" s="20">
        <f>DATE(2022,7,1)</f>
        <v>44743</v>
      </c>
      <c r="C99" s="21">
        <v>45743</v>
      </c>
      <c r="D99" s="21">
        <v>54523</v>
      </c>
      <c r="E99" s="23">
        <f aca="true" t="shared" si="50" ref="E99:E104">(+C99-D99)/D99</f>
        <v>-0.1610329585679438</v>
      </c>
      <c r="F99" s="21">
        <f>+C99-23748</f>
        <v>21995</v>
      </c>
      <c r="G99" s="21">
        <f>+D99-27936</f>
        <v>26587</v>
      </c>
      <c r="H99" s="23">
        <f aca="true" t="shared" si="51" ref="H99:H104">(+F99-G99)/G99</f>
        <v>-0.17271598901718885</v>
      </c>
      <c r="I99" s="24">
        <f aca="true" t="shared" si="52" ref="I99:I104">K99/C99</f>
        <v>71.13247229084232</v>
      </c>
      <c r="J99" s="24">
        <f aca="true" t="shared" si="53" ref="J99:J104">K99/F99</f>
        <v>147.93419777222095</v>
      </c>
      <c r="K99" s="21">
        <v>3253812.68</v>
      </c>
      <c r="L99" s="21">
        <v>3636808.62</v>
      </c>
      <c r="M99" s="25">
        <f aca="true" t="shared" si="54" ref="M99:M104">(+K99-L99)/L99</f>
        <v>-0.1053109965406978</v>
      </c>
      <c r="N99" s="10"/>
      <c r="R99" s="2"/>
    </row>
    <row r="100" spans="1:18" ht="15" customHeight="1">
      <c r="A100" s="19"/>
      <c r="B100" s="20">
        <f>DATE(2022,8,1)</f>
        <v>44774</v>
      </c>
      <c r="C100" s="21">
        <v>40978</v>
      </c>
      <c r="D100" s="21">
        <v>47684</v>
      </c>
      <c r="E100" s="23">
        <f t="shared" si="50"/>
        <v>-0.14063417498532002</v>
      </c>
      <c r="F100" s="21">
        <f>+C100-21136</f>
        <v>19842</v>
      </c>
      <c r="G100" s="21">
        <f>+D100-24640</f>
        <v>23044</v>
      </c>
      <c r="H100" s="23">
        <f t="shared" si="51"/>
        <v>-0.1389515709078285</v>
      </c>
      <c r="I100" s="24">
        <f t="shared" si="52"/>
        <v>72.08604763531652</v>
      </c>
      <c r="J100" s="24">
        <f t="shared" si="53"/>
        <v>148.87320129019253</v>
      </c>
      <c r="K100" s="21">
        <v>2953942.06</v>
      </c>
      <c r="L100" s="21">
        <v>3224724.59</v>
      </c>
      <c r="M100" s="25">
        <f t="shared" si="54"/>
        <v>-0.0839707461653337</v>
      </c>
      <c r="N100" s="10"/>
      <c r="R100" s="2"/>
    </row>
    <row r="101" spans="1:18" ht="15" customHeight="1">
      <c r="A101" s="19"/>
      <c r="B101" s="20">
        <f>DATE(2022,9,1)</f>
        <v>44805</v>
      </c>
      <c r="C101" s="21">
        <v>41696</v>
      </c>
      <c r="D101" s="21">
        <v>47289</v>
      </c>
      <c r="E101" s="23">
        <f t="shared" si="50"/>
        <v>-0.11827274841929412</v>
      </c>
      <c r="F101" s="21">
        <f>+C101-21639</f>
        <v>20057</v>
      </c>
      <c r="G101" s="21">
        <f>+D101-24190</f>
        <v>23099</v>
      </c>
      <c r="H101" s="23">
        <f t="shared" si="51"/>
        <v>-0.13169401272782372</v>
      </c>
      <c r="I101" s="24">
        <f t="shared" si="52"/>
        <v>74.37283792210285</v>
      </c>
      <c r="J101" s="24">
        <f t="shared" si="53"/>
        <v>154.6118487311163</v>
      </c>
      <c r="K101" s="21">
        <v>3101049.85</v>
      </c>
      <c r="L101" s="21">
        <v>3144600.15</v>
      </c>
      <c r="M101" s="25">
        <f t="shared" si="54"/>
        <v>-0.013849232946198204</v>
      </c>
      <c r="N101" s="10"/>
      <c r="R101" s="2"/>
    </row>
    <row r="102" spans="1:18" ht="15" customHeight="1">
      <c r="A102" s="19"/>
      <c r="B102" s="20">
        <f>DATE(2022,10,1)</f>
        <v>44835</v>
      </c>
      <c r="C102" s="21">
        <v>40713</v>
      </c>
      <c r="D102" s="21">
        <v>51019</v>
      </c>
      <c r="E102" s="23">
        <f t="shared" si="50"/>
        <v>-0.20200317528763795</v>
      </c>
      <c r="F102" s="21">
        <f>+C102-21150</f>
        <v>19563</v>
      </c>
      <c r="G102" s="21">
        <f>+D102-26626</f>
        <v>24393</v>
      </c>
      <c r="H102" s="23">
        <f t="shared" si="51"/>
        <v>-0.19800762513835937</v>
      </c>
      <c r="I102" s="24">
        <f t="shared" si="52"/>
        <v>74.91937391005331</v>
      </c>
      <c r="J102" s="24">
        <f t="shared" si="53"/>
        <v>155.91639676941165</v>
      </c>
      <c r="K102" s="21">
        <v>3050192.47</v>
      </c>
      <c r="L102" s="21">
        <v>3495138.43</v>
      </c>
      <c r="M102" s="25">
        <f t="shared" si="54"/>
        <v>-0.1273042452856438</v>
      </c>
      <c r="N102" s="10"/>
      <c r="R102" s="2"/>
    </row>
    <row r="103" spans="1:18" ht="15" customHeight="1">
      <c r="A103" s="19"/>
      <c r="B103" s="20">
        <f>DATE(2022,11,1)</f>
        <v>44866</v>
      </c>
      <c r="C103" s="21">
        <v>37233</v>
      </c>
      <c r="D103" s="21">
        <v>42978</v>
      </c>
      <c r="E103" s="23">
        <f t="shared" si="50"/>
        <v>-0.13367304202149938</v>
      </c>
      <c r="F103" s="21">
        <f>+C103-19170</f>
        <v>18063</v>
      </c>
      <c r="G103" s="21">
        <f>+D103-22231</f>
        <v>20747</v>
      </c>
      <c r="H103" s="23">
        <f t="shared" si="51"/>
        <v>-0.12936810141225238</v>
      </c>
      <c r="I103" s="24">
        <f t="shared" si="52"/>
        <v>75.17562646039804</v>
      </c>
      <c r="J103" s="24">
        <f t="shared" si="53"/>
        <v>154.95842883241986</v>
      </c>
      <c r="K103" s="21">
        <v>2799014.1</v>
      </c>
      <c r="L103" s="21">
        <v>3192010.29</v>
      </c>
      <c r="M103" s="25">
        <f t="shared" si="54"/>
        <v>-0.12311871024701489</v>
      </c>
      <c r="N103" s="10"/>
      <c r="R103" s="2"/>
    </row>
    <row r="104" spans="1:18" ht="15" customHeight="1">
      <c r="A104" s="19"/>
      <c r="B104" s="20">
        <f>DATE(2022,12,1)</f>
        <v>44896</v>
      </c>
      <c r="C104" s="21">
        <v>38888</v>
      </c>
      <c r="D104" s="21">
        <v>46732</v>
      </c>
      <c r="E104" s="23">
        <f t="shared" si="50"/>
        <v>-0.1678507232731319</v>
      </c>
      <c r="F104" s="21">
        <f>+C104-20548</f>
        <v>18340</v>
      </c>
      <c r="G104" s="21">
        <f>+D104-24398</f>
        <v>22334</v>
      </c>
      <c r="H104" s="23">
        <f t="shared" si="51"/>
        <v>-0.17883048267215904</v>
      </c>
      <c r="I104" s="24">
        <f t="shared" si="52"/>
        <v>79.65988788315163</v>
      </c>
      <c r="J104" s="24">
        <f t="shared" si="53"/>
        <v>168.91023555070885</v>
      </c>
      <c r="K104" s="21">
        <v>3097813.72</v>
      </c>
      <c r="L104" s="21">
        <v>3172345.79</v>
      </c>
      <c r="M104" s="25">
        <f t="shared" si="54"/>
        <v>-0.02349430829228734</v>
      </c>
      <c r="N104" s="10"/>
      <c r="R104" s="2"/>
    </row>
    <row r="105" spans="1:18" ht="15.75" thickBot="1">
      <c r="A105" s="38"/>
      <c r="B105" s="20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Bot="1" thickTop="1">
      <c r="A106" s="62" t="s">
        <v>14</v>
      </c>
      <c r="B106" s="52"/>
      <c r="C106" s="48">
        <f>SUM(C99:C105)</f>
        <v>245251</v>
      </c>
      <c r="D106" s="48">
        <f>SUM(D99:D105)</f>
        <v>290225</v>
      </c>
      <c r="E106" s="280">
        <f>(+C106-D106)/D106</f>
        <v>-0.1549625290722715</v>
      </c>
      <c r="F106" s="48">
        <f>SUM(F99:F105)</f>
        <v>117860</v>
      </c>
      <c r="G106" s="48">
        <f>SUM(G99:G105)</f>
        <v>140204</v>
      </c>
      <c r="H106" s="42">
        <f>(+F106-G106)/G106</f>
        <v>-0.15936777838007474</v>
      </c>
      <c r="I106" s="50">
        <f>K106/C106</f>
        <v>74.43731067355485</v>
      </c>
      <c r="J106" s="50">
        <f>K106/F106</f>
        <v>154.89415306295604</v>
      </c>
      <c r="K106" s="48">
        <f>SUM(K99:K105)</f>
        <v>18255824.88</v>
      </c>
      <c r="L106" s="48">
        <f>SUM(L99:L105)</f>
        <v>19865627.869999997</v>
      </c>
      <c r="M106" s="44">
        <f>(+K106-L106)/L106</f>
        <v>-0.08103458901649095</v>
      </c>
      <c r="N106" s="10"/>
      <c r="R106" s="2"/>
    </row>
    <row r="107" spans="1:18" ht="15.75" customHeight="1" thickTop="1">
      <c r="A107" s="19"/>
      <c r="B107" s="45"/>
      <c r="C107" s="21"/>
      <c r="D107" s="21"/>
      <c r="E107" s="23"/>
      <c r="F107" s="21"/>
      <c r="G107" s="21"/>
      <c r="H107" s="23"/>
      <c r="I107" s="24"/>
      <c r="J107" s="24"/>
      <c r="K107" s="21"/>
      <c r="L107" s="21"/>
      <c r="M107" s="25"/>
      <c r="N107" s="10"/>
      <c r="R107" s="2"/>
    </row>
    <row r="108" spans="1:18" ht="15.75">
      <c r="A108" s="19" t="s">
        <v>17</v>
      </c>
      <c r="B108" s="20">
        <f>DATE(2022,7,1)</f>
        <v>44743</v>
      </c>
      <c r="C108" s="21">
        <v>376535</v>
      </c>
      <c r="D108" s="21">
        <v>395405</v>
      </c>
      <c r="E108" s="23">
        <f aca="true" t="shared" si="55" ref="E108:E113">(+C108-D108)/D108</f>
        <v>-0.047723220495441386</v>
      </c>
      <c r="F108" s="21">
        <f>+C108-192471</f>
        <v>184064</v>
      </c>
      <c r="G108" s="21">
        <f>+D108-202613</f>
        <v>192792</v>
      </c>
      <c r="H108" s="23">
        <f aca="true" t="shared" si="56" ref="H108:H113">(+F108-G108)/G108</f>
        <v>-0.04527158803269845</v>
      </c>
      <c r="I108" s="24">
        <f aca="true" t="shared" si="57" ref="I108:I113">K108/C108</f>
        <v>70.90780094811903</v>
      </c>
      <c r="J108" s="24">
        <f aca="true" t="shared" si="58" ref="J108:J113">K108/F108</f>
        <v>145.05426824365438</v>
      </c>
      <c r="K108" s="21">
        <v>26699268.83</v>
      </c>
      <c r="L108" s="21">
        <v>26479612.13</v>
      </c>
      <c r="M108" s="25">
        <f aca="true" t="shared" si="59" ref="M108:M113">(+K108-L108)/L108</f>
        <v>0.00829531410511636</v>
      </c>
      <c r="N108" s="10"/>
      <c r="R108" s="2"/>
    </row>
    <row r="109" spans="1:18" ht="15.75">
      <c r="A109" s="19"/>
      <c r="B109" s="20">
        <f>DATE(2022,8,1)</f>
        <v>44774</v>
      </c>
      <c r="C109" s="21">
        <v>348725</v>
      </c>
      <c r="D109" s="21">
        <v>360122</v>
      </c>
      <c r="E109" s="23">
        <f t="shared" si="55"/>
        <v>-0.031647608310516995</v>
      </c>
      <c r="F109" s="21">
        <f>+C109-177430</f>
        <v>171295</v>
      </c>
      <c r="G109" s="21">
        <f>+D109-186327</f>
        <v>173795</v>
      </c>
      <c r="H109" s="23">
        <f t="shared" si="56"/>
        <v>-0.014384763658333093</v>
      </c>
      <c r="I109" s="24">
        <f t="shared" si="57"/>
        <v>76.33593679833679</v>
      </c>
      <c r="J109" s="24">
        <f t="shared" si="58"/>
        <v>155.40587617852242</v>
      </c>
      <c r="K109" s="21">
        <v>26620249.56</v>
      </c>
      <c r="L109" s="21">
        <v>24423693.36</v>
      </c>
      <c r="M109" s="25">
        <f t="shared" si="59"/>
        <v>0.08993546420777694</v>
      </c>
      <c r="N109" s="10"/>
      <c r="R109" s="2"/>
    </row>
    <row r="110" spans="1:18" ht="15.75">
      <c r="A110" s="19"/>
      <c r="B110" s="20">
        <f>DATE(2022,9,1)</f>
        <v>44805</v>
      </c>
      <c r="C110" s="21">
        <v>351773</v>
      </c>
      <c r="D110" s="21">
        <v>353289</v>
      </c>
      <c r="E110" s="23">
        <f t="shared" si="55"/>
        <v>-0.004291104449897959</v>
      </c>
      <c r="F110" s="21">
        <f>+C110-180127</f>
        <v>171646</v>
      </c>
      <c r="G110" s="21">
        <f>+D110-183914</f>
        <v>169375</v>
      </c>
      <c r="H110" s="23">
        <f t="shared" si="56"/>
        <v>0.013408118081180812</v>
      </c>
      <c r="I110" s="24">
        <f t="shared" si="57"/>
        <v>69.59239259408766</v>
      </c>
      <c r="J110" s="24">
        <f t="shared" si="58"/>
        <v>142.62333360521072</v>
      </c>
      <c r="K110" s="21">
        <v>24480724.72</v>
      </c>
      <c r="L110" s="21">
        <v>23757941.86</v>
      </c>
      <c r="M110" s="25">
        <f t="shared" si="59"/>
        <v>0.030422789324899856</v>
      </c>
      <c r="N110" s="10"/>
      <c r="R110" s="2"/>
    </row>
    <row r="111" spans="1:18" ht="15.75">
      <c r="A111" s="19"/>
      <c r="B111" s="20">
        <f>DATE(2022,10,1)</f>
        <v>44835</v>
      </c>
      <c r="C111" s="21">
        <v>353411</v>
      </c>
      <c r="D111" s="21">
        <v>364454</v>
      </c>
      <c r="E111" s="23">
        <f t="shared" si="55"/>
        <v>-0.030300120179775774</v>
      </c>
      <c r="F111" s="21">
        <f>+C111-182814</f>
        <v>170597</v>
      </c>
      <c r="G111" s="21">
        <f>+D111-184794</f>
        <v>179660</v>
      </c>
      <c r="H111" s="23">
        <f t="shared" si="56"/>
        <v>-0.05044528553935211</v>
      </c>
      <c r="I111" s="24">
        <f t="shared" si="57"/>
        <v>69.23915308238848</v>
      </c>
      <c r="J111" s="24">
        <f t="shared" si="58"/>
        <v>143.43674466725673</v>
      </c>
      <c r="K111" s="21">
        <v>24469878.33</v>
      </c>
      <c r="L111" s="21">
        <v>26630976.69</v>
      </c>
      <c r="M111" s="25">
        <f t="shared" si="59"/>
        <v>-0.08114979728894063</v>
      </c>
      <c r="N111" s="10"/>
      <c r="R111" s="2"/>
    </row>
    <row r="112" spans="1:18" ht="15.75">
      <c r="A112" s="19"/>
      <c r="B112" s="20">
        <f>DATE(2022,11,1)</f>
        <v>44866</v>
      </c>
      <c r="C112" s="21">
        <v>324947</v>
      </c>
      <c r="D112" s="21">
        <v>343235</v>
      </c>
      <c r="E112" s="23">
        <f t="shared" si="55"/>
        <v>-0.05328127958978542</v>
      </c>
      <c r="F112" s="21">
        <f>+C112-166237</f>
        <v>158710</v>
      </c>
      <c r="G112" s="21">
        <f>+D112-177609</f>
        <v>165626</v>
      </c>
      <c r="H112" s="23">
        <f t="shared" si="56"/>
        <v>-0.041756729015975755</v>
      </c>
      <c r="I112" s="24">
        <f t="shared" si="57"/>
        <v>74.35448291567548</v>
      </c>
      <c r="J112" s="24">
        <f t="shared" si="58"/>
        <v>152.23531069245794</v>
      </c>
      <c r="K112" s="21">
        <v>24161266.16</v>
      </c>
      <c r="L112" s="21">
        <v>23879448.84</v>
      </c>
      <c r="M112" s="25">
        <f t="shared" si="59"/>
        <v>0.011801667697117598</v>
      </c>
      <c r="N112" s="10"/>
      <c r="R112" s="2"/>
    </row>
    <row r="113" spans="1:18" ht="15.75">
      <c r="A113" s="19"/>
      <c r="B113" s="20">
        <f>DATE(2022,12,1)</f>
        <v>44896</v>
      </c>
      <c r="C113" s="21">
        <v>362717</v>
      </c>
      <c r="D113" s="21">
        <v>379724</v>
      </c>
      <c r="E113" s="23">
        <f t="shared" si="55"/>
        <v>-0.04478779323930012</v>
      </c>
      <c r="F113" s="21">
        <f>+C113-186399</f>
        <v>176318</v>
      </c>
      <c r="G113" s="21">
        <f>+D113-197551</f>
        <v>182173</v>
      </c>
      <c r="H113" s="23">
        <f t="shared" si="56"/>
        <v>-0.03213977922085051</v>
      </c>
      <c r="I113" s="24">
        <f t="shared" si="57"/>
        <v>69.68148313974807</v>
      </c>
      <c r="J113" s="24">
        <f t="shared" si="58"/>
        <v>143.34701232999467</v>
      </c>
      <c r="K113" s="21">
        <v>25274658.52</v>
      </c>
      <c r="L113" s="21">
        <v>27250161.7</v>
      </c>
      <c r="M113" s="25">
        <f t="shared" si="59"/>
        <v>-0.07249509935935536</v>
      </c>
      <c r="N113" s="10"/>
      <c r="R113" s="2"/>
    </row>
    <row r="114" spans="1:18" ht="15.75" thickBot="1">
      <c r="A114" s="38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Bot="1" thickTop="1">
      <c r="A115" s="39" t="s">
        <v>14</v>
      </c>
      <c r="B115" s="40"/>
      <c r="C115" s="41">
        <f>SUM(C108:C114)</f>
        <v>2118108</v>
      </c>
      <c r="D115" s="41">
        <f>SUM(D108:D114)</f>
        <v>2196229</v>
      </c>
      <c r="E115" s="280">
        <f>(+C115-D115)/D115</f>
        <v>-0.035570516553601654</v>
      </c>
      <c r="F115" s="41">
        <f>SUM(F108:F114)</f>
        <v>1032630</v>
      </c>
      <c r="G115" s="41">
        <f>SUM(G108:G114)</f>
        <v>1063421</v>
      </c>
      <c r="H115" s="42">
        <f>(+F115-G115)/G115</f>
        <v>-0.02895466612000327</v>
      </c>
      <c r="I115" s="43">
        <f>K115/C115</f>
        <v>71.62337620178008</v>
      </c>
      <c r="J115" s="43">
        <f>K115/F115</f>
        <v>146.91229784143403</v>
      </c>
      <c r="K115" s="41">
        <f>SUM(K108:K114)</f>
        <v>151706046.12</v>
      </c>
      <c r="L115" s="41">
        <f>SUM(L108:L114)</f>
        <v>152421834.57999998</v>
      </c>
      <c r="M115" s="44">
        <f>(+K115-L115)/L115</f>
        <v>-0.00469610185425429</v>
      </c>
      <c r="N115" s="10"/>
      <c r="R115" s="2"/>
    </row>
    <row r="116" spans="1:18" ht="15.75" customHeight="1" thickTop="1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5.75">
      <c r="A117" s="19" t="s">
        <v>56</v>
      </c>
      <c r="B117" s="20">
        <f>DATE(2022,7,1)</f>
        <v>44743</v>
      </c>
      <c r="C117" s="21">
        <v>68778</v>
      </c>
      <c r="D117" s="21">
        <v>70527</v>
      </c>
      <c r="E117" s="23">
        <f aca="true" t="shared" si="60" ref="E117:E122">(+C117-D117)/D117</f>
        <v>-0.024799013143902336</v>
      </c>
      <c r="F117" s="21">
        <f>+C117-29763</f>
        <v>39015</v>
      </c>
      <c r="G117" s="21">
        <f>+D117-30135</f>
        <v>40392</v>
      </c>
      <c r="H117" s="23">
        <f aca="true" t="shared" si="61" ref="H117:H122">(+F117-G117)/G117</f>
        <v>-0.03409090909090909</v>
      </c>
      <c r="I117" s="24">
        <f aca="true" t="shared" si="62" ref="I117:I122">K117/C117</f>
        <v>60.16359446334584</v>
      </c>
      <c r="J117" s="24">
        <f aca="true" t="shared" si="63" ref="J117:J122">K117/F117</f>
        <v>106.060020504934</v>
      </c>
      <c r="K117" s="21">
        <v>4137931.7</v>
      </c>
      <c r="L117" s="21">
        <v>4091344.57</v>
      </c>
      <c r="M117" s="25">
        <f aca="true" t="shared" si="64" ref="M117:M122">(+K117-L117)/L117</f>
        <v>0.011386752986195039</v>
      </c>
      <c r="N117" s="10"/>
      <c r="R117" s="2"/>
    </row>
    <row r="118" spans="1:18" ht="15.75">
      <c r="A118" s="19"/>
      <c r="B118" s="20">
        <f>DATE(2022,8,1)</f>
        <v>44774</v>
      </c>
      <c r="C118" s="21">
        <v>61732</v>
      </c>
      <c r="D118" s="21">
        <v>69916</v>
      </c>
      <c r="E118" s="23">
        <f t="shared" si="60"/>
        <v>-0.1170547514159849</v>
      </c>
      <c r="F118" s="21">
        <f>+C118-26815</f>
        <v>34917</v>
      </c>
      <c r="G118" s="21">
        <f>+D118-30124</f>
        <v>39792</v>
      </c>
      <c r="H118" s="23">
        <f t="shared" si="61"/>
        <v>-0.12251206272617611</v>
      </c>
      <c r="I118" s="24">
        <f t="shared" si="62"/>
        <v>59.28251133933779</v>
      </c>
      <c r="J118" s="24">
        <f t="shared" si="63"/>
        <v>104.80934759572702</v>
      </c>
      <c r="K118" s="21">
        <v>3659627.99</v>
      </c>
      <c r="L118" s="21">
        <v>3930320.16</v>
      </c>
      <c r="M118" s="25">
        <f t="shared" si="64"/>
        <v>-0.06887280399060414</v>
      </c>
      <c r="N118" s="10"/>
      <c r="R118" s="2"/>
    </row>
    <row r="119" spans="1:18" ht="15.75">
      <c r="A119" s="19"/>
      <c r="B119" s="20">
        <f>DATE(2022,9,1)</f>
        <v>44805</v>
      </c>
      <c r="C119" s="21">
        <v>62788</v>
      </c>
      <c r="D119" s="21">
        <v>66900</v>
      </c>
      <c r="E119" s="23">
        <f t="shared" si="60"/>
        <v>-0.06146487294469357</v>
      </c>
      <c r="F119" s="21">
        <f>+C119-27365</f>
        <v>35423</v>
      </c>
      <c r="G119" s="21">
        <f>+D119-28690</f>
        <v>38210</v>
      </c>
      <c r="H119" s="23">
        <f t="shared" si="61"/>
        <v>-0.0729390211986391</v>
      </c>
      <c r="I119" s="24">
        <f t="shared" si="62"/>
        <v>63.07989759189654</v>
      </c>
      <c r="J119" s="24">
        <f t="shared" si="63"/>
        <v>111.81042288908336</v>
      </c>
      <c r="K119" s="21">
        <v>3960660.61</v>
      </c>
      <c r="L119" s="21">
        <v>3635691.87</v>
      </c>
      <c r="M119" s="25">
        <f t="shared" si="64"/>
        <v>0.08938291571997264</v>
      </c>
      <c r="N119" s="10"/>
      <c r="R119" s="2"/>
    </row>
    <row r="120" spans="1:18" ht="15.75">
      <c r="A120" s="19"/>
      <c r="B120" s="20">
        <f>DATE(2022,10,1)</f>
        <v>44835</v>
      </c>
      <c r="C120" s="21">
        <v>62422</v>
      </c>
      <c r="D120" s="21">
        <v>71041</v>
      </c>
      <c r="E120" s="23">
        <f t="shared" si="60"/>
        <v>-0.12132430568263397</v>
      </c>
      <c r="F120" s="21">
        <f>+C120-27630</f>
        <v>34792</v>
      </c>
      <c r="G120" s="21">
        <f>+D120-30775</f>
        <v>40266</v>
      </c>
      <c r="H120" s="23">
        <f t="shared" si="61"/>
        <v>-0.13594595937018825</v>
      </c>
      <c r="I120" s="24">
        <f t="shared" si="62"/>
        <v>61.52534154624972</v>
      </c>
      <c r="J120" s="24">
        <f t="shared" si="63"/>
        <v>110.38557340767993</v>
      </c>
      <c r="K120" s="21">
        <v>3840534.87</v>
      </c>
      <c r="L120" s="21">
        <v>4122858.46</v>
      </c>
      <c r="M120" s="25">
        <f t="shared" si="64"/>
        <v>-0.06847763335537836</v>
      </c>
      <c r="N120" s="10"/>
      <c r="R120" s="2"/>
    </row>
    <row r="121" spans="1:18" ht="15.75">
      <c r="A121" s="19"/>
      <c r="B121" s="20">
        <f>DATE(2022,11,1)</f>
        <v>44866</v>
      </c>
      <c r="C121" s="21">
        <v>58006</v>
      </c>
      <c r="D121" s="21">
        <v>63538</v>
      </c>
      <c r="E121" s="23">
        <f t="shared" si="60"/>
        <v>-0.08706600774339765</v>
      </c>
      <c r="F121" s="21">
        <f>+C121-26107</f>
        <v>31899</v>
      </c>
      <c r="G121" s="21">
        <f>+D121-27532</f>
        <v>36006</v>
      </c>
      <c r="H121" s="23">
        <f t="shared" si="61"/>
        <v>-0.11406432261289785</v>
      </c>
      <c r="I121" s="24">
        <f t="shared" si="62"/>
        <v>61.60523807881943</v>
      </c>
      <c r="J121" s="24">
        <f t="shared" si="63"/>
        <v>112.02462271544562</v>
      </c>
      <c r="K121" s="21">
        <v>3573473.44</v>
      </c>
      <c r="L121" s="21">
        <v>3745220.41</v>
      </c>
      <c r="M121" s="25">
        <f t="shared" si="64"/>
        <v>-0.04585764019159561</v>
      </c>
      <c r="N121" s="10"/>
      <c r="R121" s="2"/>
    </row>
    <row r="122" spans="1:18" ht="15.75">
      <c r="A122" s="19"/>
      <c r="B122" s="20">
        <f>DATE(2022,12,1)</f>
        <v>44896</v>
      </c>
      <c r="C122" s="21">
        <v>64256</v>
      </c>
      <c r="D122" s="21">
        <v>69761</v>
      </c>
      <c r="E122" s="23">
        <f t="shared" si="60"/>
        <v>-0.07891228623442897</v>
      </c>
      <c r="F122" s="21">
        <f>+C122-29013</f>
        <v>35243</v>
      </c>
      <c r="G122" s="21">
        <f>+D122-31055</f>
        <v>38706</v>
      </c>
      <c r="H122" s="23">
        <f t="shared" si="61"/>
        <v>-0.08946933291996073</v>
      </c>
      <c r="I122" s="24">
        <f t="shared" si="62"/>
        <v>61.2319984125996</v>
      </c>
      <c r="J122" s="24">
        <f t="shared" si="63"/>
        <v>111.63985160173651</v>
      </c>
      <c r="K122" s="21">
        <v>3934523.29</v>
      </c>
      <c r="L122" s="21">
        <v>4118536.58</v>
      </c>
      <c r="M122" s="25">
        <f t="shared" si="64"/>
        <v>-0.04467928994332255</v>
      </c>
      <c r="N122" s="10"/>
      <c r="R122" s="2"/>
    </row>
    <row r="123" spans="1:18" ht="15.75" thickBot="1">
      <c r="A123" s="38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Bot="1" thickTop="1">
      <c r="A124" s="26" t="s">
        <v>14</v>
      </c>
      <c r="B124" s="27"/>
      <c r="C124" s="28">
        <f>SUM(C117:C123)</f>
        <v>377982</v>
      </c>
      <c r="D124" s="28">
        <f>SUM(D117:D123)</f>
        <v>411683</v>
      </c>
      <c r="E124" s="280">
        <f>(+C124-D124)/D124</f>
        <v>-0.08186152938061567</v>
      </c>
      <c r="F124" s="28">
        <f>SUM(F117:F123)</f>
        <v>211289</v>
      </c>
      <c r="G124" s="28">
        <f>SUM(G117:G123)</f>
        <v>233372</v>
      </c>
      <c r="H124" s="42">
        <f>(+F124-G124)/G124</f>
        <v>-0.09462574773323278</v>
      </c>
      <c r="I124" s="43">
        <f>K124/C124</f>
        <v>61.131884322533885</v>
      </c>
      <c r="J124" s="43">
        <f>K124/F124</f>
        <v>109.36088438110835</v>
      </c>
      <c r="K124" s="28">
        <f>SUM(K117:K123)</f>
        <v>23106751.900000002</v>
      </c>
      <c r="L124" s="28">
        <f>SUM(L117:L123)</f>
        <v>23643972.050000004</v>
      </c>
      <c r="M124" s="44">
        <f>(+K124-L124)/L124</f>
        <v>-0.02272123097015766</v>
      </c>
      <c r="N124" s="10"/>
      <c r="R124" s="2"/>
    </row>
    <row r="125" spans="1:18" ht="16.5" thickBot="1" thickTop="1">
      <c r="A125" s="63"/>
      <c r="B125" s="34"/>
      <c r="C125" s="35"/>
      <c r="D125" s="35"/>
      <c r="E125" s="29"/>
      <c r="F125" s="35"/>
      <c r="G125" s="35"/>
      <c r="H125" s="29"/>
      <c r="I125" s="36"/>
      <c r="J125" s="36"/>
      <c r="K125" s="35"/>
      <c r="L125" s="35"/>
      <c r="M125" s="37"/>
      <c r="N125" s="10"/>
      <c r="R125" s="2"/>
    </row>
    <row r="126" spans="1:18" ht="17.25" thickBot="1" thickTop="1">
      <c r="A126" s="64" t="s">
        <v>18</v>
      </c>
      <c r="B126" s="65"/>
      <c r="C126" s="28">
        <f>C124+C115+C52+C70+C79+C34+C16+C88+C97+C43+C106+C25+C61</f>
        <v>14431154</v>
      </c>
      <c r="D126" s="28">
        <f>D124+D115+D52+D70+D79+D34+D16+D88+D97+D43+D106+D25+D61</f>
        <v>15261196</v>
      </c>
      <c r="E126" s="279">
        <f>(+C126-D126)/D126</f>
        <v>-0.054389053125325174</v>
      </c>
      <c r="F126" s="28">
        <f>F124+F115+F52+F70+F79+F34+F16+F88+F97+F43+F106+F25+F61</f>
        <v>7370027</v>
      </c>
      <c r="G126" s="28">
        <f>G124+G115+G52+G70+G79+G34+G16+G88+G97+G43+G106+G25+G61</f>
        <v>7743586</v>
      </c>
      <c r="H126" s="30">
        <f>(+F126-G126)/G126</f>
        <v>-0.04824108623575692</v>
      </c>
      <c r="I126" s="31">
        <f>K126/C126</f>
        <v>65.83326895479046</v>
      </c>
      <c r="J126" s="31">
        <f>K126/F126</f>
        <v>128.90726758667233</v>
      </c>
      <c r="K126" s="28">
        <f>K124+K115+K52+K70+K79+K34+K16+K88+K97+K43+K106+K25+K61</f>
        <v>950050042.61</v>
      </c>
      <c r="L126" s="28">
        <f>L124+L115+L52+L70+L79+L34+L16+L88+L97+L43+L106+L25+L61</f>
        <v>949278070.3599999</v>
      </c>
      <c r="M126" s="32">
        <f>(+K126-L126)/L126</f>
        <v>0.0008132203556618136</v>
      </c>
      <c r="N126" s="10"/>
      <c r="R126" s="2"/>
    </row>
    <row r="127" spans="1:18" ht="17.25" thickBot="1" thickTop="1">
      <c r="A127" s="64"/>
      <c r="B127" s="65"/>
      <c r="C127" s="28"/>
      <c r="D127" s="28"/>
      <c r="E127" s="29"/>
      <c r="F127" s="28"/>
      <c r="G127" s="28"/>
      <c r="H127" s="30"/>
      <c r="I127" s="31"/>
      <c r="J127" s="31"/>
      <c r="K127" s="28"/>
      <c r="L127" s="28"/>
      <c r="M127" s="32"/>
      <c r="N127" s="10"/>
      <c r="R127" s="2"/>
    </row>
    <row r="128" spans="1:18" ht="17.25" thickBot="1" thickTop="1">
      <c r="A128" s="64" t="s">
        <v>19</v>
      </c>
      <c r="B128" s="65"/>
      <c r="C128" s="28">
        <f>+C14+C23+C32+C41+C50+C59+C68+C77+C86+C95+C104+C113+C122</f>
        <v>2447987</v>
      </c>
      <c r="D128" s="28">
        <f>+D14+D23+D32+D41+D50+D59+D68+D77+D86+D95+D104+D113+D122</f>
        <v>2538695</v>
      </c>
      <c r="E128" s="279">
        <f>(+C128-D128)/D128</f>
        <v>-0.035730168452689275</v>
      </c>
      <c r="F128" s="28">
        <f>+F14+F23+F32+F41+F50+F59+F68+F77+F86+F95+F104+F113+F122</f>
        <v>1240534</v>
      </c>
      <c r="G128" s="28">
        <f>+G14+G23+G32+G41+G50+G59+G68+G77+G86+G95+G104+G113+G122</f>
        <v>1284048</v>
      </c>
      <c r="H128" s="30">
        <f>(+F128-G128)/G128</f>
        <v>-0.03388814125328648</v>
      </c>
      <c r="I128" s="31">
        <f>K128/C128</f>
        <v>64.41214853673651</v>
      </c>
      <c r="J128" s="31">
        <f>K128/F128</f>
        <v>127.10663493302077</v>
      </c>
      <c r="K128" s="28">
        <f>+K14+K23+K32+K41+K50+K59+K68+K77+K86+K95+K104+K113+K122</f>
        <v>157680102.26</v>
      </c>
      <c r="L128" s="28">
        <f>+L14+L23+L32+L41+L50+L59+L68+L77+L86+L95+L104+L113+L122</f>
        <v>163322774.23</v>
      </c>
      <c r="M128" s="32">
        <f>(+K128-L128)/L128</f>
        <v>-0.034549204767080934</v>
      </c>
      <c r="N128" s="10"/>
      <c r="R128" s="2"/>
    </row>
    <row r="129" spans="1:18" ht="15.75" thickTop="1">
      <c r="A129" s="66"/>
      <c r="B129" s="67"/>
      <c r="C129" s="68"/>
      <c r="D129" s="67"/>
      <c r="E129" s="67"/>
      <c r="F129" s="67"/>
      <c r="G129" s="67"/>
      <c r="H129" s="67"/>
      <c r="I129" s="67"/>
      <c r="J129" s="67"/>
      <c r="K129" s="68"/>
      <c r="L129" s="68"/>
      <c r="M129" s="67"/>
      <c r="R129" s="2"/>
    </row>
    <row r="130" spans="1:18" ht="18.75">
      <c r="A130" s="264" t="s">
        <v>20</v>
      </c>
      <c r="B130" s="70"/>
      <c r="C130" s="71"/>
      <c r="D130" s="71"/>
      <c r="E130" s="71"/>
      <c r="F130" s="71"/>
      <c r="G130" s="71"/>
      <c r="H130" s="71"/>
      <c r="I130" s="71"/>
      <c r="J130" s="71"/>
      <c r="K130" s="198"/>
      <c r="L130" s="198"/>
      <c r="M130" s="71"/>
      <c r="N130" s="2"/>
      <c r="O130" s="2"/>
      <c r="P130" s="2"/>
      <c r="Q130" s="2"/>
      <c r="R130" s="2"/>
    </row>
    <row r="131" spans="1:18" ht="18">
      <c r="A131" s="69"/>
      <c r="B131" s="70"/>
      <c r="C131" s="71"/>
      <c r="D131" s="71"/>
      <c r="E131" s="71"/>
      <c r="F131" s="71"/>
      <c r="G131" s="71"/>
      <c r="H131" s="71"/>
      <c r="I131" s="71"/>
      <c r="J131" s="71"/>
      <c r="K131" s="198"/>
      <c r="L131" s="198"/>
      <c r="M131" s="71"/>
      <c r="N131" s="2"/>
      <c r="O131" s="2"/>
      <c r="P131" s="2"/>
      <c r="Q131" s="2"/>
      <c r="R131" s="2"/>
    </row>
    <row r="132" spans="1:18" ht="15.75">
      <c r="A132" s="72"/>
      <c r="B132" s="73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3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73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3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73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73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3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4"/>
      <c r="N141" s="2"/>
      <c r="O141" s="2"/>
      <c r="P141" s="2"/>
      <c r="Q141" s="2"/>
      <c r="R141" s="2"/>
    </row>
    <row r="142" spans="1:18" ht="15">
      <c r="A142" s="2"/>
      <c r="B142" s="73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4"/>
      <c r="N142" s="2"/>
      <c r="O142" s="2"/>
      <c r="P142" s="2"/>
      <c r="Q142" s="2"/>
      <c r="R142" s="2"/>
    </row>
    <row r="143" spans="1:18" ht="15">
      <c r="A143" s="2"/>
      <c r="B143" s="70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4"/>
      <c r="N143" s="2"/>
      <c r="O143" s="2"/>
      <c r="P143" s="2"/>
      <c r="Q143" s="2"/>
      <c r="R143" s="2"/>
    </row>
    <row r="144" spans="1:18" ht="15.75">
      <c r="A144" s="76"/>
      <c r="B144" s="70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.75">
      <c r="A145" s="76"/>
      <c r="B145" s="70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.75">
      <c r="A146" s="76"/>
      <c r="B146" s="70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0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>
      <c r="A148" s="76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77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>
      <c r="A161" s="76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.75">
      <c r="A164" s="76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>
      <c r="A165" s="76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>
      <c r="A166" s="76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77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77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77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77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>
      <c r="A179" s="76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.75">
      <c r="A182" s="76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.75">
      <c r="A188" s="76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>
      <c r="A191" s="76"/>
      <c r="B191" s="76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52" max="12" man="1"/>
    <brk id="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DATE(2022,7,1)</f>
        <v>44743</v>
      </c>
      <c r="B10" s="89">
        <f>'MONTHLY STATS'!$C$9*2</f>
        <v>435886</v>
      </c>
      <c r="C10" s="89">
        <f>'MONTHLY STATS'!$C$18*2</f>
        <v>229430</v>
      </c>
      <c r="D10" s="89">
        <f>'MONTHLY STATS'!$C$27*2</f>
        <v>113088</v>
      </c>
      <c r="E10" s="89">
        <f>'MONTHLY STATS'!$C$36*2</f>
        <v>655394</v>
      </c>
      <c r="F10" s="89">
        <f>'MONTHLY STATS'!$C$45*2</f>
        <v>438260</v>
      </c>
      <c r="G10" s="89">
        <f>'MONTHLY STATS'!$C$54*2</f>
        <v>190536</v>
      </c>
      <c r="H10" s="89">
        <f>'MONTHLY STATS'!$C$63*2</f>
        <v>441192</v>
      </c>
      <c r="I10" s="89">
        <f>'MONTHLY STATS'!$C$72*2</f>
        <v>452600</v>
      </c>
      <c r="J10" s="89">
        <f>'MONTHLY STATS'!$C$81*2</f>
        <v>542674</v>
      </c>
      <c r="K10" s="89">
        <f>'MONTHLY STATS'!$C$90*2</f>
        <v>717812</v>
      </c>
      <c r="L10" s="89">
        <f>'MONTHLY STATS'!$C$99*2</f>
        <v>91486</v>
      </c>
      <c r="M10" s="89">
        <f>'MONTHLY STATS'!$C$108*2</f>
        <v>753070</v>
      </c>
      <c r="N10" s="89">
        <f>'MONTHLY STATS'!$C$117*2</f>
        <v>137556</v>
      </c>
      <c r="O10" s="90">
        <f aca="true" t="shared" si="0" ref="O10:O15">SUM(B10:N10)</f>
        <v>5198984</v>
      </c>
      <c r="P10" s="83"/>
    </row>
    <row r="11" spans="1:16" ht="15.75">
      <c r="A11" s="88">
        <f>DATE(2022,8,1)</f>
        <v>44774</v>
      </c>
      <c r="B11" s="89">
        <f>'MONTHLY STATS'!$C$10*2</f>
        <v>398888</v>
      </c>
      <c r="C11" s="89">
        <f>'MONTHLY STATS'!$C$19*2</f>
        <v>207568</v>
      </c>
      <c r="D11" s="89">
        <f>'MONTHLY STATS'!$C$28*2</f>
        <v>99338</v>
      </c>
      <c r="E11" s="89">
        <f>'MONTHLY STATS'!$C$37*2</f>
        <v>605550</v>
      </c>
      <c r="F11" s="89">
        <f>'MONTHLY STATS'!$C$46*2</f>
        <v>408762</v>
      </c>
      <c r="G11" s="89">
        <f>'MONTHLY STATS'!$C$55*2</f>
        <v>170412</v>
      </c>
      <c r="H11" s="89">
        <f>'MONTHLY STATS'!$C$64*2</f>
        <v>408416</v>
      </c>
      <c r="I11" s="89">
        <f>'MONTHLY STATS'!$C$73*2</f>
        <v>465170</v>
      </c>
      <c r="J11" s="89">
        <f>'MONTHLY STATS'!$C$82*2</f>
        <v>489244</v>
      </c>
      <c r="K11" s="89">
        <f>'MONTHLY STATS'!$C$91*2</f>
        <v>664780</v>
      </c>
      <c r="L11" s="89">
        <f>'MONTHLY STATS'!$C$100*2</f>
        <v>81956</v>
      </c>
      <c r="M11" s="89">
        <f>'MONTHLY STATS'!$C$109*2</f>
        <v>697450</v>
      </c>
      <c r="N11" s="89">
        <f>'MONTHLY STATS'!$C$118*2</f>
        <v>123464</v>
      </c>
      <c r="O11" s="90">
        <f t="shared" si="0"/>
        <v>4820998</v>
      </c>
      <c r="P11" s="83"/>
    </row>
    <row r="12" spans="1:16" ht="15.75">
      <c r="A12" s="88">
        <f>DATE(2022,9,1)</f>
        <v>44805</v>
      </c>
      <c r="B12" s="89">
        <f>'MONTHLY STATS'!$C$11*2</f>
        <v>381706</v>
      </c>
      <c r="C12" s="89">
        <f>'MONTHLY STATS'!$C$20*2</f>
        <v>215022</v>
      </c>
      <c r="D12" s="89">
        <f>'MONTHLY STATS'!$C$29*2</f>
        <v>101046</v>
      </c>
      <c r="E12" s="89">
        <f>'MONTHLY STATS'!$C$38*2</f>
        <v>599172</v>
      </c>
      <c r="F12" s="89">
        <f>'MONTHLY STATS'!$C$47*2</f>
        <v>391758</v>
      </c>
      <c r="G12" s="89">
        <f>'MONTHLY STATS'!$C$56*2</f>
        <v>168642</v>
      </c>
      <c r="H12" s="89">
        <f>'MONTHLY STATS'!$C$65*2</f>
        <v>405278</v>
      </c>
      <c r="I12" s="89">
        <f>'MONTHLY STATS'!$C$74*2</f>
        <v>459598</v>
      </c>
      <c r="J12" s="89">
        <f>'MONTHLY STATS'!$C$83*2</f>
        <v>476474</v>
      </c>
      <c r="K12" s="89">
        <f>'MONTHLY STATS'!$C$92*2</f>
        <v>666202</v>
      </c>
      <c r="L12" s="89">
        <f>'MONTHLY STATS'!$C$101*2</f>
        <v>83392</v>
      </c>
      <c r="M12" s="89">
        <f>'MONTHLY STATS'!$C$110*2</f>
        <v>703546</v>
      </c>
      <c r="N12" s="89">
        <f>'MONTHLY STATS'!$C$119*2</f>
        <v>125576</v>
      </c>
      <c r="O12" s="90">
        <f t="shared" si="0"/>
        <v>4777412</v>
      </c>
      <c r="P12" s="83"/>
    </row>
    <row r="13" spans="1:16" ht="15.75">
      <c r="A13" s="88">
        <f>DATE(2022,10,1)</f>
        <v>44835</v>
      </c>
      <c r="B13" s="89">
        <f>'MONTHLY STATS'!$C$12*2</f>
        <v>383996</v>
      </c>
      <c r="C13" s="89">
        <f>'MONTHLY STATS'!$C$21*2</f>
        <v>208980</v>
      </c>
      <c r="D13" s="89">
        <f>'MONTHLY STATS'!$C$30*2</f>
        <v>94946</v>
      </c>
      <c r="E13" s="89">
        <f>'MONTHLY STATS'!$C$39*2</f>
        <v>561802</v>
      </c>
      <c r="F13" s="89">
        <f>'MONTHLY STATS'!$C$48*2</f>
        <v>395358</v>
      </c>
      <c r="G13" s="89">
        <f>'MONTHLY STATS'!$C$57*2</f>
        <v>170454</v>
      </c>
      <c r="H13" s="89">
        <f>'MONTHLY STATS'!$C$66*2</f>
        <v>395610</v>
      </c>
      <c r="I13" s="89">
        <f>'MONTHLY STATS'!$C$75*2</f>
        <v>425400</v>
      </c>
      <c r="J13" s="89">
        <f>'MONTHLY STATS'!$C$84*2</f>
        <v>486336</v>
      </c>
      <c r="K13" s="89">
        <f>'MONTHLY STATS'!$C$93*2</f>
        <v>674528</v>
      </c>
      <c r="L13" s="89">
        <f>'MONTHLY STATS'!$C$102*2</f>
        <v>81426</v>
      </c>
      <c r="M13" s="89">
        <f>'MONTHLY STATS'!$C$111*2</f>
        <v>706822</v>
      </c>
      <c r="N13" s="89">
        <f>'MONTHLY STATS'!$C$120*2</f>
        <v>124844</v>
      </c>
      <c r="O13" s="90">
        <f t="shared" si="0"/>
        <v>4710502</v>
      </c>
      <c r="P13" s="83"/>
    </row>
    <row r="14" spans="1:16" ht="15.75">
      <c r="A14" s="88">
        <f>DATE(2022,11,1)</f>
        <v>44866</v>
      </c>
      <c r="B14" s="89">
        <f>'MONTHLY STATS'!$C$13*2</f>
        <v>362658</v>
      </c>
      <c r="C14" s="89">
        <f>'MONTHLY STATS'!$C$22*2</f>
        <v>187356</v>
      </c>
      <c r="D14" s="89">
        <f>'MONTHLY STATS'!$C$31*2</f>
        <v>78850</v>
      </c>
      <c r="E14" s="89">
        <f>'MONTHLY STATS'!$C$40*2</f>
        <v>555404</v>
      </c>
      <c r="F14" s="89">
        <f>'MONTHLY STATS'!$C$49*2</f>
        <v>383954</v>
      </c>
      <c r="G14" s="89">
        <f>'MONTHLY STATS'!$C$58*2</f>
        <v>153436</v>
      </c>
      <c r="H14" s="89">
        <f>'MONTHLY STATS'!$C$67*2</f>
        <v>404640</v>
      </c>
      <c r="I14" s="89">
        <f>'MONTHLY STATS'!$C$76*2</f>
        <v>383016</v>
      </c>
      <c r="J14" s="89">
        <f>'MONTHLY STATS'!$C$85*2</f>
        <v>436800</v>
      </c>
      <c r="K14" s="89">
        <f>'MONTHLY STATS'!$C$94*2</f>
        <v>671952</v>
      </c>
      <c r="L14" s="89">
        <f>'MONTHLY STATS'!$C$103*2</f>
        <v>74466</v>
      </c>
      <c r="M14" s="89">
        <f>'MONTHLY STATS'!$C$112*2</f>
        <v>649894</v>
      </c>
      <c r="N14" s="89">
        <f>'MONTHLY STATS'!$C$121*2</f>
        <v>116012</v>
      </c>
      <c r="O14" s="90">
        <f t="shared" si="0"/>
        <v>4458438</v>
      </c>
      <c r="P14" s="83"/>
    </row>
    <row r="15" spans="1:16" ht="15.75">
      <c r="A15" s="88">
        <f>DATE(2022,12,1)</f>
        <v>44896</v>
      </c>
      <c r="B15" s="89">
        <f>'MONTHLY STATS'!$C$14*2</f>
        <v>396342</v>
      </c>
      <c r="C15" s="89">
        <f>'MONTHLY STATS'!$C$23*2</f>
        <v>204072</v>
      </c>
      <c r="D15" s="89">
        <f>'MONTHLY STATS'!$C$32*2</f>
        <v>86630</v>
      </c>
      <c r="E15" s="89">
        <f>'MONTHLY STATS'!$C$41*2</f>
        <v>605020</v>
      </c>
      <c r="F15" s="89">
        <f>'MONTHLY STATS'!$C$50*2</f>
        <v>386490</v>
      </c>
      <c r="G15" s="89">
        <f>'MONTHLY STATS'!$C$59*2</f>
        <v>179306</v>
      </c>
      <c r="H15" s="89">
        <f>'MONTHLY STATS'!$C$68*2</f>
        <v>446446</v>
      </c>
      <c r="I15" s="89">
        <f>'MONTHLY STATS'!$C$77*2</f>
        <v>428294</v>
      </c>
      <c r="J15" s="89">
        <f>'MONTHLY STATS'!$C$86*2</f>
        <v>501530</v>
      </c>
      <c r="K15" s="89">
        <f>'MONTHLY STATS'!$C$95*2</f>
        <v>730122</v>
      </c>
      <c r="L15" s="89">
        <f>'MONTHLY STATS'!$C$104*2</f>
        <v>77776</v>
      </c>
      <c r="M15" s="89">
        <f>'MONTHLY STATS'!$C$113*2</f>
        <v>725434</v>
      </c>
      <c r="N15" s="89">
        <f>'MONTHLY STATS'!$C$122*2</f>
        <v>128512</v>
      </c>
      <c r="O15" s="90">
        <f t="shared" si="0"/>
        <v>4895974</v>
      </c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27</v>
      </c>
      <c r="B23" s="90">
        <f aca="true" t="shared" si="1" ref="B23:O23">SUM(B10:B21)</f>
        <v>2359476</v>
      </c>
      <c r="C23" s="90">
        <f t="shared" si="1"/>
        <v>1252428</v>
      </c>
      <c r="D23" s="90">
        <f t="shared" si="1"/>
        <v>573898</v>
      </c>
      <c r="E23" s="90">
        <f t="shared" si="1"/>
        <v>3582342</v>
      </c>
      <c r="F23" s="90">
        <f t="shared" si="1"/>
        <v>2404582</v>
      </c>
      <c r="G23" s="90">
        <f>SUM(G10:G21)</f>
        <v>1032786</v>
      </c>
      <c r="H23" s="90">
        <f t="shared" si="1"/>
        <v>2501582</v>
      </c>
      <c r="I23" s="90">
        <f>SUM(I10:I21)</f>
        <v>2614078</v>
      </c>
      <c r="J23" s="90">
        <f t="shared" si="1"/>
        <v>2933058</v>
      </c>
      <c r="K23" s="90">
        <f>SUM(K10:K21)</f>
        <v>4125396</v>
      </c>
      <c r="L23" s="90">
        <f t="shared" si="1"/>
        <v>490502</v>
      </c>
      <c r="M23" s="90">
        <f t="shared" si="1"/>
        <v>4236216</v>
      </c>
      <c r="N23" s="90">
        <f t="shared" si="1"/>
        <v>755964</v>
      </c>
      <c r="O23" s="90">
        <f t="shared" si="1"/>
        <v>28862308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DATE(2022,7,1)</f>
        <v>44743</v>
      </c>
      <c r="B31" s="89">
        <f>'MONTHLY STATS'!$K$9*0.21</f>
        <v>3359049.834</v>
      </c>
      <c r="C31" s="89">
        <f>'MONTHLY STATS'!$K$18*0.21</f>
        <v>1763108.3841000001</v>
      </c>
      <c r="D31" s="89">
        <f>'MONTHLY STATS'!$K$27*0.21</f>
        <v>795167.667</v>
      </c>
      <c r="E31" s="89">
        <f>'MONTHLY STATS'!$K$36*0.21</f>
        <v>4494852.0204</v>
      </c>
      <c r="F31" s="89">
        <f>'MONTHLY STATS'!$K$45*0.21</f>
        <v>3165394.9026</v>
      </c>
      <c r="G31" s="89">
        <f>'MONTHLY STATS'!$K$54*0.21</f>
        <v>1314631.521</v>
      </c>
      <c r="H31" s="89">
        <f>'MONTHLY STATS'!$K$63*0.21</f>
        <v>2227424.3922</v>
      </c>
      <c r="I31" s="89">
        <f>'MONTHLY STATS'!$K$72*0.21</f>
        <v>2765364.9954</v>
      </c>
      <c r="J31" s="89">
        <f>'MONTHLY STATS'!$K$81*0.21</f>
        <v>3822954.2358</v>
      </c>
      <c r="K31" s="89">
        <f>'MONTHLY STATS'!$K$90*0.21</f>
        <v>4703370.6279</v>
      </c>
      <c r="L31" s="89">
        <f>'MONTHLY STATS'!$K$99*0.21</f>
        <v>683300.6628</v>
      </c>
      <c r="M31" s="89">
        <f>'MONTHLY STATS'!$K$108*0.21</f>
        <v>5606846.454299999</v>
      </c>
      <c r="N31" s="89">
        <f>'MONTHLY STATS'!$K$117*0.21</f>
        <v>868965.657</v>
      </c>
      <c r="O31" s="90">
        <f aca="true" t="shared" si="2" ref="O31:O36">SUM(B31:N31)</f>
        <v>35570431.354499996</v>
      </c>
      <c r="P31" s="83"/>
    </row>
    <row r="32" spans="1:16" ht="15.75">
      <c r="A32" s="88">
        <f>DATE(2022,8,1)</f>
        <v>44774</v>
      </c>
      <c r="B32" s="89">
        <f>'MONTHLY STATS'!$K$10*0.21</f>
        <v>3188690.0198999997</v>
      </c>
      <c r="C32" s="89">
        <f>'MONTHLY STATS'!$K$19*0.21</f>
        <v>1588851.9213</v>
      </c>
      <c r="D32" s="89">
        <f>'MONTHLY STATS'!$K$28*0.21</f>
        <v>734372.8370999999</v>
      </c>
      <c r="E32" s="89">
        <f>'MONTHLY STATS'!$K$37*0.21</f>
        <v>4061739.5322</v>
      </c>
      <c r="F32" s="89">
        <f>'MONTHLY STATS'!$K$46*0.21</f>
        <v>3214879.5693</v>
      </c>
      <c r="G32" s="89">
        <f>'MONTHLY STATS'!$K$55*0.21</f>
        <v>1147680.3639</v>
      </c>
      <c r="H32" s="89">
        <f>'MONTHLY STATS'!$K$64*0.21</f>
        <v>2163098.6937</v>
      </c>
      <c r="I32" s="89">
        <f>'MONTHLY STATS'!$K$73*0.21</f>
        <v>2924821.5045</v>
      </c>
      <c r="J32" s="89">
        <f>'MONTHLY STATS'!$K$82*0.21</f>
        <v>3452400.8778</v>
      </c>
      <c r="K32" s="89">
        <f>'MONTHLY STATS'!$K$91*0.21</f>
        <v>4351146.3975</v>
      </c>
      <c r="L32" s="89">
        <f>'MONTHLY STATS'!$K$100*0.21</f>
        <v>620327.8326</v>
      </c>
      <c r="M32" s="89">
        <f>'MONTHLY STATS'!$K$109*0.21</f>
        <v>5590252.4076</v>
      </c>
      <c r="N32" s="89">
        <f>'MONTHLY STATS'!$K$118*0.21</f>
        <v>768521.8779</v>
      </c>
      <c r="O32" s="90">
        <f t="shared" si="2"/>
        <v>33806783.8353</v>
      </c>
      <c r="P32" s="83"/>
    </row>
    <row r="33" spans="1:16" ht="15.75">
      <c r="A33" s="88">
        <f>DATE(2022,9,1)</f>
        <v>44805</v>
      </c>
      <c r="B33" s="89">
        <f>'MONTHLY STATS'!$K$11*0.21</f>
        <v>2913784.8915</v>
      </c>
      <c r="C33" s="89">
        <f>'MONTHLY STATS'!$K$20*0.21</f>
        <v>1636722.8934</v>
      </c>
      <c r="D33" s="89">
        <f>'MONTHLY STATS'!$K$29*0.21</f>
        <v>755328.8925</v>
      </c>
      <c r="E33" s="89">
        <f>'MONTHLY STATS'!$K$38*0.21</f>
        <v>4442412.3933</v>
      </c>
      <c r="F33" s="89">
        <f>'MONTHLY STATS'!$K$47*0.21</f>
        <v>2907957.2151</v>
      </c>
      <c r="G33" s="89">
        <f>'MONTHLY STATS'!$K$56*0.21</f>
        <v>1129976.358</v>
      </c>
      <c r="H33" s="89">
        <f>'MONTHLY STATS'!$K$65*0.21</f>
        <v>2064167.763</v>
      </c>
      <c r="I33" s="89">
        <f>'MONTHLY STATS'!$K$74*0.21</f>
        <v>2839609.1870999997</v>
      </c>
      <c r="J33" s="89">
        <f>'MONTHLY STATS'!$K$83*0.21</f>
        <v>3561956.9558999995</v>
      </c>
      <c r="K33" s="89">
        <f>'MONTHLY STATS'!$K$92*0.21</f>
        <v>4266202.1241</v>
      </c>
      <c r="L33" s="89">
        <f>'MONTHLY STATS'!$K$101*0.21</f>
        <v>651220.4685</v>
      </c>
      <c r="M33" s="89">
        <f>'MONTHLY STATS'!$K$110*0.21</f>
        <v>5140952.191199999</v>
      </c>
      <c r="N33" s="89">
        <f>'MONTHLY STATS'!$K$119*0.21</f>
        <v>831738.7281</v>
      </c>
      <c r="O33" s="90">
        <f t="shared" si="2"/>
        <v>33142030.0617</v>
      </c>
      <c r="P33" s="83"/>
    </row>
    <row r="34" spans="1:16" ht="15.75">
      <c r="A34" s="88">
        <f>DATE(2022,10,1)</f>
        <v>44835</v>
      </c>
      <c r="B34" s="89">
        <f>'MONTHLY STATS'!$K$12*0.21</f>
        <v>3075624.7241999996</v>
      </c>
      <c r="C34" s="89">
        <f>'MONTHLY STATS'!$K$21*0.21</f>
        <v>1608939.4314</v>
      </c>
      <c r="D34" s="89">
        <f>'MONTHLY STATS'!$K$30*0.21</f>
        <v>705512.9004</v>
      </c>
      <c r="E34" s="89">
        <f>'MONTHLY STATS'!$K$39*0.21</f>
        <v>4043854.5</v>
      </c>
      <c r="F34" s="89">
        <f>'MONTHLY STATS'!$K$48*0.21</f>
        <v>2505260.226</v>
      </c>
      <c r="G34" s="89">
        <f>'MONTHLY STATS'!$K$57*0.21</f>
        <v>1158875.3861999998</v>
      </c>
      <c r="H34" s="89">
        <f>'MONTHLY STATS'!$K$66*0.21</f>
        <v>2187891.8501999998</v>
      </c>
      <c r="I34" s="89">
        <f>'MONTHLY STATS'!$K$75*0.21</f>
        <v>2719674.5499</v>
      </c>
      <c r="J34" s="89">
        <f>'MONTHLY STATS'!$K$84*0.21</f>
        <v>3417495.6816000002</v>
      </c>
      <c r="K34" s="89">
        <f>'MONTHLY STATS'!$K$93*0.21</f>
        <v>4410867.675899999</v>
      </c>
      <c r="L34" s="89">
        <f>'MONTHLY STATS'!$K$102*0.21</f>
        <v>640540.4187</v>
      </c>
      <c r="M34" s="89">
        <f>'MONTHLY STATS'!$K$111*0.21</f>
        <v>5138674.4492999995</v>
      </c>
      <c r="N34" s="89">
        <f>'MONTHLY STATS'!$K$120*0.21</f>
        <v>806512.3227</v>
      </c>
      <c r="O34" s="90">
        <f t="shared" si="2"/>
        <v>32419724.116499994</v>
      </c>
      <c r="P34" s="83"/>
    </row>
    <row r="35" spans="1:16" ht="15.75">
      <c r="A35" s="88">
        <f>DATE(2022,11,1)</f>
        <v>44866</v>
      </c>
      <c r="B35" s="89">
        <f>'MONTHLY STATS'!$K$13*0.21</f>
        <v>2845026.8469000002</v>
      </c>
      <c r="C35" s="89">
        <f>'MONTHLY STATS'!$K$22*0.21</f>
        <v>1476735.9725999997</v>
      </c>
      <c r="D35" s="89">
        <f>'MONTHLY STATS'!$K$31*0.21</f>
        <v>650621.4519</v>
      </c>
      <c r="E35" s="89">
        <f>'MONTHLY STATS'!$K$40*0.21</f>
        <v>3763966.5441</v>
      </c>
      <c r="F35" s="89">
        <f>'MONTHLY STATS'!$K$49*0.21</f>
        <v>2960831.6051999996</v>
      </c>
      <c r="G35" s="89">
        <f>'MONTHLY STATS'!$K$58*0.21</f>
        <v>1067059.5663</v>
      </c>
      <c r="H35" s="89">
        <f>'MONTHLY STATS'!$K$67*0.21</f>
        <v>2212111.8285</v>
      </c>
      <c r="I35" s="89">
        <f>'MONTHLY STATS'!$K$76*0.21</f>
        <v>2492792.2173</v>
      </c>
      <c r="J35" s="89">
        <f>'MONTHLY STATS'!$K$85*0.21</f>
        <v>3191663.475</v>
      </c>
      <c r="K35" s="89">
        <f>'MONTHLY STATS'!$K$94*0.21</f>
        <v>4385820.3207</v>
      </c>
      <c r="L35" s="89">
        <f>'MONTHLY STATS'!$K$103*0.21</f>
        <v>587792.961</v>
      </c>
      <c r="M35" s="89">
        <f>'MONTHLY STATS'!$K$112*0.21</f>
        <v>5073865.8936</v>
      </c>
      <c r="N35" s="89">
        <f>'MONTHLY STATS'!$K$121*0.21</f>
        <v>750429.4223999999</v>
      </c>
      <c r="O35" s="90">
        <f t="shared" si="2"/>
        <v>31458718.1055</v>
      </c>
      <c r="P35" s="83"/>
    </row>
    <row r="36" spans="1:16" ht="15.75">
      <c r="A36" s="88">
        <f>DATE(2022,12,1)</f>
        <v>44896</v>
      </c>
      <c r="B36" s="89">
        <f>'MONTHLY STATS'!$K$14*0.21</f>
        <v>2776013.2512</v>
      </c>
      <c r="C36" s="89">
        <f>'MONTHLY STATS'!$K$23*0.21</f>
        <v>1553783.3891999999</v>
      </c>
      <c r="D36" s="89">
        <f>'MONTHLY STATS'!$K$32*0.21</f>
        <v>659461.6434</v>
      </c>
      <c r="E36" s="89">
        <f>'MONTHLY STATS'!$K$41*0.21</f>
        <v>4245789.5613</v>
      </c>
      <c r="F36" s="89">
        <f>'MONTHLY STATS'!$K$50*0.21</f>
        <v>3099068.8049999997</v>
      </c>
      <c r="G36" s="89">
        <f>'MONTHLY STATS'!$K$59*0.21</f>
        <v>1155106.7451</v>
      </c>
      <c r="H36" s="89">
        <f>'MONTHLY STATS'!$K$68*0.21</f>
        <v>2239133.7002999997</v>
      </c>
      <c r="I36" s="89">
        <f>'MONTHLY STATS'!$K$77*0.21</f>
        <v>2741731.9691999997</v>
      </c>
      <c r="J36" s="89">
        <f>'MONTHLY STATS'!$K$86*0.21</f>
        <v>3487138.3112999997</v>
      </c>
      <c r="K36" s="89">
        <f>'MONTHLY STATS'!$K$95*0.21</f>
        <v>4371125.0373</v>
      </c>
      <c r="L36" s="89">
        <f>'MONTHLY STATS'!$K$104*0.21</f>
        <v>650540.8812000001</v>
      </c>
      <c r="M36" s="89">
        <f>'MONTHLY STATS'!$K$113*0.21</f>
        <v>5307678.2891999995</v>
      </c>
      <c r="N36" s="89">
        <f>'MONTHLY STATS'!$K$122*0.21</f>
        <v>826249.8909</v>
      </c>
      <c r="O36" s="90">
        <f t="shared" si="2"/>
        <v>33112821.474600002</v>
      </c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27</v>
      </c>
      <c r="B44" s="90">
        <f aca="true" t="shared" si="3" ref="B44:O44">SUM(B31:B42)</f>
        <v>18158189.5677</v>
      </c>
      <c r="C44" s="90">
        <f t="shared" si="3"/>
        <v>9628141.991999999</v>
      </c>
      <c r="D44" s="90">
        <f t="shared" si="3"/>
        <v>4300465.3923</v>
      </c>
      <c r="E44" s="90">
        <f t="shared" si="3"/>
        <v>25052614.551300004</v>
      </c>
      <c r="F44" s="90">
        <f t="shared" si="3"/>
        <v>17853392.323200002</v>
      </c>
      <c r="G44" s="90">
        <f t="shared" si="3"/>
        <v>6973329.9405</v>
      </c>
      <c r="H44" s="90">
        <f t="shared" si="3"/>
        <v>13093828.227900002</v>
      </c>
      <c r="I44" s="90">
        <f>SUM(I31:I42)</f>
        <v>16483994.423399998</v>
      </c>
      <c r="J44" s="90">
        <f t="shared" si="3"/>
        <v>20933609.5374</v>
      </c>
      <c r="K44" s="90">
        <f>SUM(K31:K42)</f>
        <v>26488532.183399998</v>
      </c>
      <c r="L44" s="90">
        <f t="shared" si="3"/>
        <v>3833723.2248000004</v>
      </c>
      <c r="M44" s="90">
        <f t="shared" si="3"/>
        <v>31858269.6852</v>
      </c>
      <c r="N44" s="90">
        <f t="shared" si="3"/>
        <v>4852417.899</v>
      </c>
      <c r="O44" s="90">
        <f t="shared" si="3"/>
        <v>199510508.94810003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.7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>
      <c r="A49" s="115"/>
      <c r="B49" s="98"/>
      <c r="C49" s="98"/>
      <c r="D49" s="98"/>
      <c r="E49" s="98"/>
      <c r="F49" s="98"/>
      <c r="G49" s="98"/>
      <c r="H49" s="98"/>
      <c r="I49" s="98"/>
    </row>
    <row r="50" ht="15.7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 aca="true" t="shared" si="0" ref="F9:F14">(+D9-E9)/E9</f>
        <v>0.2566573202559024</v>
      </c>
      <c r="G9" s="215">
        <f aca="true" t="shared" si="1" ref="G9:G14">D9/C9</f>
        <v>0.19344916872828888</v>
      </c>
      <c r="H9" s="123"/>
    </row>
    <row r="10" spans="1:8" ht="15.7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 t="shared" si="0"/>
        <v>0.2926934085122923</v>
      </c>
      <c r="G10" s="215">
        <f t="shared" si="1"/>
        <v>0.2128511063255812</v>
      </c>
      <c r="H10" s="123"/>
    </row>
    <row r="11" spans="1:8" ht="15.7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 t="shared" si="0"/>
        <v>0.038312502105668965</v>
      </c>
      <c r="G11" s="215">
        <f t="shared" si="1"/>
        <v>0.15063131234930932</v>
      </c>
      <c r="H11" s="123"/>
    </row>
    <row r="12" spans="1:8" ht="15.7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 t="shared" si="0"/>
        <v>0.01981918704181328</v>
      </c>
      <c r="G12" s="215">
        <f t="shared" si="1"/>
        <v>0.18676185590475985</v>
      </c>
      <c r="H12" s="123"/>
    </row>
    <row r="13" spans="1:8" ht="15.7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 t="shared" si="0"/>
        <v>0.302589561643313</v>
      </c>
      <c r="G13" s="215">
        <f t="shared" si="1"/>
        <v>0.2059698381253435</v>
      </c>
      <c r="H13" s="123"/>
    </row>
    <row r="14" spans="1:8" ht="15.75">
      <c r="A14" s="130"/>
      <c r="B14" s="131">
        <f>DATE(2022,12,1)</f>
        <v>44896</v>
      </c>
      <c r="C14" s="204">
        <v>14490087</v>
      </c>
      <c r="D14" s="204">
        <v>2019034</v>
      </c>
      <c r="E14" s="204">
        <v>2277304.5</v>
      </c>
      <c r="F14" s="132">
        <f t="shared" si="0"/>
        <v>-0.11341061329304009</v>
      </c>
      <c r="G14" s="215">
        <f t="shared" si="1"/>
        <v>0.13933898395503078</v>
      </c>
      <c r="H14" s="123"/>
    </row>
    <row r="15" spans="1:8" ht="15.75" thickBot="1">
      <c r="A15" s="133"/>
      <c r="B15" s="134"/>
      <c r="C15" s="204"/>
      <c r="D15" s="204"/>
      <c r="E15" s="204"/>
      <c r="F15" s="132"/>
      <c r="G15" s="215"/>
      <c r="H15" s="123"/>
    </row>
    <row r="16" spans="1:8" ht="17.25" thickBot="1" thickTop="1">
      <c r="A16" s="135" t="s">
        <v>14</v>
      </c>
      <c r="B16" s="136"/>
      <c r="C16" s="201">
        <f>SUM(C9:C15)</f>
        <v>87468941.25</v>
      </c>
      <c r="D16" s="201">
        <f>SUM(D9:D15)</f>
        <v>15939542.85</v>
      </c>
      <c r="E16" s="201">
        <f>SUM(E9:E15)</f>
        <v>14038983.56</v>
      </c>
      <c r="F16" s="137">
        <f>(+D16-E16)/E16</f>
        <v>0.13537727157221624</v>
      </c>
      <c r="G16" s="212">
        <f>D16/C16</f>
        <v>0.18223088815539995</v>
      </c>
      <c r="H16" s="123"/>
    </row>
    <row r="17" spans="1:8" ht="15.75" customHeight="1" thickTop="1">
      <c r="A17" s="138"/>
      <c r="B17" s="139"/>
      <c r="C17" s="205"/>
      <c r="D17" s="205"/>
      <c r="E17" s="205"/>
      <c r="F17" s="140"/>
      <c r="G17" s="216"/>
      <c r="H17" s="123"/>
    </row>
    <row r="18" spans="1:8" ht="15.75">
      <c r="A18" s="19" t="s">
        <v>15</v>
      </c>
      <c r="B18" s="131">
        <f>DATE(2022,7,1)</f>
        <v>44743</v>
      </c>
      <c r="C18" s="204">
        <v>2670326</v>
      </c>
      <c r="D18" s="204">
        <v>637839.5</v>
      </c>
      <c r="E18" s="204">
        <v>753311.5</v>
      </c>
      <c r="F18" s="132">
        <f aca="true" t="shared" si="2" ref="F18:F23">(+D18-E18)/E18</f>
        <v>-0.15328585850607618</v>
      </c>
      <c r="G18" s="215">
        <f aca="true" t="shared" si="3" ref="G18:G23">D18/C18</f>
        <v>0.23886203407374232</v>
      </c>
      <c r="H18" s="123"/>
    </row>
    <row r="19" spans="1:8" ht="15.75">
      <c r="A19" s="19"/>
      <c r="B19" s="131">
        <f>DATE(2022,8,1)</f>
        <v>44774</v>
      </c>
      <c r="C19" s="204">
        <v>2364635</v>
      </c>
      <c r="D19" s="204">
        <v>695761.5</v>
      </c>
      <c r="E19" s="204">
        <v>615974.5</v>
      </c>
      <c r="F19" s="132">
        <f t="shared" si="2"/>
        <v>0.12952971267479416</v>
      </c>
      <c r="G19" s="215">
        <f t="shared" si="3"/>
        <v>0.2942363197702817</v>
      </c>
      <c r="H19" s="123"/>
    </row>
    <row r="20" spans="1:8" ht="15.75">
      <c r="A20" s="19"/>
      <c r="B20" s="131">
        <f>DATE(2022,9,1)</f>
        <v>44805</v>
      </c>
      <c r="C20" s="204">
        <v>2764905</v>
      </c>
      <c r="D20" s="204">
        <v>780368</v>
      </c>
      <c r="E20" s="204">
        <v>858656</v>
      </c>
      <c r="F20" s="132">
        <f t="shared" si="2"/>
        <v>-0.09117504565274102</v>
      </c>
      <c r="G20" s="215">
        <f t="shared" si="3"/>
        <v>0.28224043864074894</v>
      </c>
      <c r="H20" s="123"/>
    </row>
    <row r="21" spans="1:8" ht="15.75">
      <c r="A21" s="19"/>
      <c r="B21" s="131">
        <f>DATE(2022,10,1)</f>
        <v>44835</v>
      </c>
      <c r="C21" s="204">
        <v>2297950</v>
      </c>
      <c r="D21" s="204">
        <v>868243</v>
      </c>
      <c r="E21" s="204">
        <v>649914</v>
      </c>
      <c r="F21" s="132">
        <f t="shared" si="2"/>
        <v>0.3359352160439689</v>
      </c>
      <c r="G21" s="215">
        <f t="shared" si="3"/>
        <v>0.37783372136034293</v>
      </c>
      <c r="H21" s="123"/>
    </row>
    <row r="22" spans="1:8" ht="15.75">
      <c r="A22" s="19"/>
      <c r="B22" s="131">
        <f>DATE(2022,11,1)</f>
        <v>44866</v>
      </c>
      <c r="C22" s="204">
        <v>2194110</v>
      </c>
      <c r="D22" s="204">
        <v>714136.5</v>
      </c>
      <c r="E22" s="204">
        <v>707738</v>
      </c>
      <c r="F22" s="132">
        <f t="shared" si="2"/>
        <v>0.009040774976050459</v>
      </c>
      <c r="G22" s="215">
        <f t="shared" si="3"/>
        <v>0.3254788957709504</v>
      </c>
      <c r="H22" s="123"/>
    </row>
    <row r="23" spans="1:8" ht="15.75">
      <c r="A23" s="19"/>
      <c r="B23" s="131">
        <f>DATE(2022,12,1)</f>
        <v>44896</v>
      </c>
      <c r="C23" s="204">
        <v>2541586</v>
      </c>
      <c r="D23" s="204">
        <v>736054</v>
      </c>
      <c r="E23" s="204">
        <v>706014</v>
      </c>
      <c r="F23" s="132">
        <f t="shared" si="2"/>
        <v>0.04254873132827394</v>
      </c>
      <c r="G23" s="215">
        <f t="shared" si="3"/>
        <v>0.2896042077663317</v>
      </c>
      <c r="H23" s="123"/>
    </row>
    <row r="24" spans="1:8" ht="15.75" thickBot="1">
      <c r="A24" s="133"/>
      <c r="B24" s="131"/>
      <c r="C24" s="204"/>
      <c r="D24" s="204"/>
      <c r="E24" s="204"/>
      <c r="F24" s="132"/>
      <c r="G24" s="215"/>
      <c r="H24" s="123"/>
    </row>
    <row r="25" spans="1:8" ht="17.25" thickBot="1" thickTop="1">
      <c r="A25" s="135" t="s">
        <v>14</v>
      </c>
      <c r="B25" s="136"/>
      <c r="C25" s="201">
        <f>SUM(C18:C24)</f>
        <v>14833512</v>
      </c>
      <c r="D25" s="201">
        <f>SUM(D18:D24)</f>
        <v>4432402.5</v>
      </c>
      <c r="E25" s="201">
        <f>SUM(E18:E24)</f>
        <v>4291608</v>
      </c>
      <c r="F25" s="137">
        <f>(+D25-E25)/E25</f>
        <v>0.03280693390449454</v>
      </c>
      <c r="G25" s="212">
        <f>D25/C25</f>
        <v>0.29881005253509757</v>
      </c>
      <c r="H25" s="123"/>
    </row>
    <row r="26" spans="1:8" ht="15.75" customHeight="1" thickTop="1">
      <c r="A26" s="255"/>
      <c r="B26" s="139"/>
      <c r="C26" s="205"/>
      <c r="D26" s="205"/>
      <c r="E26" s="205"/>
      <c r="F26" s="140"/>
      <c r="G26" s="219"/>
      <c r="H26" s="123"/>
    </row>
    <row r="27" spans="1:8" ht="15.75">
      <c r="A27" s="19" t="s">
        <v>62</v>
      </c>
      <c r="B27" s="131">
        <f>DATE(2022,7,1)</f>
        <v>44743</v>
      </c>
      <c r="C27" s="204">
        <v>1113934</v>
      </c>
      <c r="D27" s="204">
        <v>249087.5</v>
      </c>
      <c r="E27" s="204">
        <v>419659</v>
      </c>
      <c r="F27" s="132">
        <f aca="true" t="shared" si="4" ref="F27:F32">(+D27-E27)/E27</f>
        <v>-0.4064526198651762</v>
      </c>
      <c r="G27" s="215">
        <f aca="true" t="shared" si="5" ref="G27:G32">D27/C27</f>
        <v>0.2236106447958317</v>
      </c>
      <c r="H27" s="123"/>
    </row>
    <row r="28" spans="1:8" ht="15.75">
      <c r="A28" s="19"/>
      <c r="B28" s="131">
        <f>DATE(2022,8,1)</f>
        <v>44774</v>
      </c>
      <c r="C28" s="204">
        <v>982269</v>
      </c>
      <c r="D28" s="204">
        <v>272495.5</v>
      </c>
      <c r="E28" s="204">
        <v>283741.5</v>
      </c>
      <c r="F28" s="132">
        <f t="shared" si="4"/>
        <v>-0.03963466747021497</v>
      </c>
      <c r="G28" s="215">
        <f t="shared" si="5"/>
        <v>0.2774143335481421</v>
      </c>
      <c r="H28" s="123"/>
    </row>
    <row r="29" spans="1:8" ht="15.75">
      <c r="A29" s="19"/>
      <c r="B29" s="131">
        <f>DATE(2022,9,1)</f>
        <v>44805</v>
      </c>
      <c r="C29" s="204">
        <v>1082836</v>
      </c>
      <c r="D29" s="204">
        <v>310850</v>
      </c>
      <c r="E29" s="204">
        <v>271461</v>
      </c>
      <c r="F29" s="132">
        <f t="shared" si="4"/>
        <v>0.14510003278555667</v>
      </c>
      <c r="G29" s="215">
        <f t="shared" si="5"/>
        <v>0.2870702488650174</v>
      </c>
      <c r="H29" s="123"/>
    </row>
    <row r="30" spans="1:8" ht="15.75">
      <c r="A30" s="19"/>
      <c r="B30" s="131">
        <f>DATE(2022,10,1)</f>
        <v>44835</v>
      </c>
      <c r="C30" s="204">
        <v>954912</v>
      </c>
      <c r="D30" s="204">
        <v>204149.5</v>
      </c>
      <c r="E30" s="204">
        <v>344180</v>
      </c>
      <c r="F30" s="132">
        <f t="shared" si="4"/>
        <v>-0.4068525190307397</v>
      </c>
      <c r="G30" s="215">
        <f t="shared" si="5"/>
        <v>0.21378880985891893</v>
      </c>
      <c r="H30" s="123"/>
    </row>
    <row r="31" spans="1:8" ht="15.75">
      <c r="A31" s="19"/>
      <c r="B31" s="131">
        <f>DATE(2022,11,1)</f>
        <v>44866</v>
      </c>
      <c r="C31" s="204">
        <v>1174084</v>
      </c>
      <c r="D31" s="204">
        <v>292609</v>
      </c>
      <c r="E31" s="204">
        <v>349298.5</v>
      </c>
      <c r="F31" s="132">
        <f t="shared" si="4"/>
        <v>-0.1622952861234732</v>
      </c>
      <c r="G31" s="215">
        <f t="shared" si="5"/>
        <v>0.24922322423267843</v>
      </c>
      <c r="H31" s="123"/>
    </row>
    <row r="32" spans="1:8" ht="15.75">
      <c r="A32" s="19"/>
      <c r="B32" s="131">
        <f>DATE(2022,12,1)</f>
        <v>44896</v>
      </c>
      <c r="C32" s="204">
        <v>1076281</v>
      </c>
      <c r="D32" s="204">
        <v>300188</v>
      </c>
      <c r="E32" s="204">
        <v>335226</v>
      </c>
      <c r="F32" s="132">
        <f t="shared" si="4"/>
        <v>-0.10452053241693664</v>
      </c>
      <c r="G32" s="215">
        <f t="shared" si="5"/>
        <v>0.27891229149264923</v>
      </c>
      <c r="H32" s="123"/>
    </row>
    <row r="33" spans="1:8" ht="15.75" thickBot="1">
      <c r="A33" s="133"/>
      <c r="B33" s="131"/>
      <c r="C33" s="204"/>
      <c r="D33" s="204"/>
      <c r="E33" s="204"/>
      <c r="F33" s="132"/>
      <c r="G33" s="215"/>
      <c r="H33" s="123"/>
    </row>
    <row r="34" spans="1:8" ht="17.25" thickBot="1" thickTop="1">
      <c r="A34" s="141" t="s">
        <v>14</v>
      </c>
      <c r="B34" s="142"/>
      <c r="C34" s="206">
        <f>SUM(C27:C33)</f>
        <v>6384316</v>
      </c>
      <c r="D34" s="206">
        <f>SUM(D27:D33)</f>
        <v>1629379.5</v>
      </c>
      <c r="E34" s="206">
        <f>SUM(E27:E33)</f>
        <v>2003566</v>
      </c>
      <c r="F34" s="143">
        <f>(+D34-E34)/E34</f>
        <v>-0.18676025646272695</v>
      </c>
      <c r="G34" s="217">
        <f>D34/C34</f>
        <v>0.25521598554958747</v>
      </c>
      <c r="H34" s="123"/>
    </row>
    <row r="35" spans="1:8" ht="15.75" thickTop="1">
      <c r="A35" s="133"/>
      <c r="B35" s="134"/>
      <c r="C35" s="204"/>
      <c r="D35" s="204"/>
      <c r="E35" s="204"/>
      <c r="F35" s="132"/>
      <c r="G35" s="218"/>
      <c r="H35" s="123"/>
    </row>
    <row r="36" spans="1:8" ht="15.75">
      <c r="A36" s="177" t="s">
        <v>58</v>
      </c>
      <c r="B36" s="131">
        <f>DATE(2022,7,1)</f>
        <v>44743</v>
      </c>
      <c r="C36" s="204">
        <v>14706873</v>
      </c>
      <c r="D36" s="204">
        <v>3390213</v>
      </c>
      <c r="E36" s="204">
        <v>2503983</v>
      </c>
      <c r="F36" s="132">
        <f aca="true" t="shared" si="6" ref="F36:F41">(+D36-E36)/E36</f>
        <v>0.3539281217164813</v>
      </c>
      <c r="G36" s="215">
        <f aca="true" t="shared" si="7" ref="G36:G41">D36/C36</f>
        <v>0.23051895532109376</v>
      </c>
      <c r="H36" s="123"/>
    </row>
    <row r="37" spans="1:8" ht="15.75">
      <c r="A37" s="177"/>
      <c r="B37" s="131">
        <f>DATE(2022,8,1)</f>
        <v>44774</v>
      </c>
      <c r="C37" s="204">
        <v>13496707</v>
      </c>
      <c r="D37" s="204">
        <v>2096973.67</v>
      </c>
      <c r="E37" s="204">
        <v>2387806</v>
      </c>
      <c r="F37" s="132">
        <f t="shared" si="6"/>
        <v>-0.12179897780640474</v>
      </c>
      <c r="G37" s="215">
        <f t="shared" si="7"/>
        <v>0.15536928155882765</v>
      </c>
      <c r="H37" s="123"/>
    </row>
    <row r="38" spans="1:8" ht="15.75">
      <c r="A38" s="177"/>
      <c r="B38" s="131">
        <f>DATE(2022,9,1)</f>
        <v>44805</v>
      </c>
      <c r="C38" s="204">
        <v>14000972</v>
      </c>
      <c r="D38" s="204">
        <v>3937084.53</v>
      </c>
      <c r="E38" s="204">
        <v>2689723.5</v>
      </c>
      <c r="F38" s="132">
        <f t="shared" si="6"/>
        <v>0.463750653180522</v>
      </c>
      <c r="G38" s="215">
        <f t="shared" si="7"/>
        <v>0.281200800201586</v>
      </c>
      <c r="H38" s="123"/>
    </row>
    <row r="39" spans="1:8" ht="15.75">
      <c r="A39" s="177"/>
      <c r="B39" s="131">
        <f>DATE(2022,10,1)</f>
        <v>44835</v>
      </c>
      <c r="C39" s="204">
        <v>12585717</v>
      </c>
      <c r="D39" s="204">
        <v>2819327.04</v>
      </c>
      <c r="E39" s="204">
        <v>2470116.03</v>
      </c>
      <c r="F39" s="132">
        <f t="shared" si="6"/>
        <v>0.1413743345489727</v>
      </c>
      <c r="G39" s="215">
        <f t="shared" si="7"/>
        <v>0.2240100456732024</v>
      </c>
      <c r="H39" s="123"/>
    </row>
    <row r="40" spans="1:8" ht="15.75">
      <c r="A40" s="177"/>
      <c r="B40" s="131">
        <f>DATE(2022,11,1)</f>
        <v>44866</v>
      </c>
      <c r="C40" s="204">
        <v>13050666</v>
      </c>
      <c r="D40" s="204">
        <v>2876740.26</v>
      </c>
      <c r="E40" s="204">
        <v>3414579.43</v>
      </c>
      <c r="F40" s="132">
        <f t="shared" si="6"/>
        <v>-0.15751256663547591</v>
      </c>
      <c r="G40" s="215">
        <f t="shared" si="7"/>
        <v>0.22042861720620233</v>
      </c>
      <c r="H40" s="123"/>
    </row>
    <row r="41" spans="1:8" ht="15.75">
      <c r="A41" s="177"/>
      <c r="B41" s="131">
        <f>DATE(2022,12,1)</f>
        <v>44896</v>
      </c>
      <c r="C41" s="204">
        <v>13836635</v>
      </c>
      <c r="D41" s="204">
        <v>3108188.89</v>
      </c>
      <c r="E41" s="204">
        <v>3251944</v>
      </c>
      <c r="F41" s="132">
        <f t="shared" si="6"/>
        <v>-0.04420589960958733</v>
      </c>
      <c r="G41" s="215">
        <f t="shared" si="7"/>
        <v>0.2246347388653383</v>
      </c>
      <c r="H41" s="123"/>
    </row>
    <row r="42" spans="1:8" ht="15.75" customHeight="1" thickBot="1">
      <c r="A42" s="133"/>
      <c r="B42" s="134"/>
      <c r="C42" s="204"/>
      <c r="D42" s="204"/>
      <c r="E42" s="204"/>
      <c r="F42" s="132"/>
      <c r="G42" s="215"/>
      <c r="H42" s="123"/>
    </row>
    <row r="43" spans="1:8" ht="17.25" customHeight="1" thickBot="1" thickTop="1">
      <c r="A43" s="141" t="s">
        <v>14</v>
      </c>
      <c r="B43" s="142"/>
      <c r="C43" s="206">
        <f>SUM(C36:C42)</f>
        <v>81677570</v>
      </c>
      <c r="D43" s="206">
        <f>SUM(D36:D42)</f>
        <v>18228527.389999997</v>
      </c>
      <c r="E43" s="206">
        <f>SUM(E36:E42)</f>
        <v>16718151.959999999</v>
      </c>
      <c r="F43" s="143">
        <f>(+D43-E43)/E43</f>
        <v>0.09034344427624152</v>
      </c>
      <c r="G43" s="217">
        <f>D43/C43</f>
        <v>0.22317666147511486</v>
      </c>
      <c r="H43" s="123"/>
    </row>
    <row r="44" spans="1:8" ht="15.75" customHeight="1" thickTop="1">
      <c r="A44" s="133"/>
      <c r="B44" s="134"/>
      <c r="C44" s="204"/>
      <c r="D44" s="204"/>
      <c r="E44" s="204"/>
      <c r="F44" s="132"/>
      <c r="G44" s="218"/>
      <c r="H44" s="123"/>
    </row>
    <row r="45" spans="1:8" ht="15" customHeight="1">
      <c r="A45" s="130" t="s">
        <v>60</v>
      </c>
      <c r="B45" s="131">
        <f>DATE(2022,7,1)</f>
        <v>44743</v>
      </c>
      <c r="C45" s="204">
        <v>14151945</v>
      </c>
      <c r="D45" s="204">
        <v>3195567.5</v>
      </c>
      <c r="E45" s="204">
        <v>3475895.5</v>
      </c>
      <c r="F45" s="132">
        <f aca="true" t="shared" si="8" ref="F45:F50">(+D45-E45)/E45</f>
        <v>-0.08064914494696403</v>
      </c>
      <c r="G45" s="215">
        <f aca="true" t="shared" si="9" ref="G45:G50">D45/C45</f>
        <v>0.22580412091765478</v>
      </c>
      <c r="H45" s="123"/>
    </row>
    <row r="46" spans="1:8" ht="15" customHeight="1">
      <c r="A46" s="130"/>
      <c r="B46" s="131">
        <f>DATE(2022,8,1)</f>
        <v>44774</v>
      </c>
      <c r="C46" s="204">
        <v>12695452</v>
      </c>
      <c r="D46" s="204">
        <v>3909171</v>
      </c>
      <c r="E46" s="204">
        <v>1742952</v>
      </c>
      <c r="F46" s="132">
        <f t="shared" si="8"/>
        <v>1.2428448976219655</v>
      </c>
      <c r="G46" s="215">
        <f t="shared" si="9"/>
        <v>0.3079190091065682</v>
      </c>
      <c r="H46" s="123"/>
    </row>
    <row r="47" spans="1:8" ht="15" customHeight="1">
      <c r="A47" s="130"/>
      <c r="B47" s="131">
        <f>DATE(2022,9,1)</f>
        <v>44805</v>
      </c>
      <c r="C47" s="204">
        <v>12298202</v>
      </c>
      <c r="D47" s="204">
        <v>3778062.5</v>
      </c>
      <c r="E47" s="204">
        <v>3305560.5</v>
      </c>
      <c r="F47" s="132">
        <f t="shared" si="8"/>
        <v>0.14294156770084832</v>
      </c>
      <c r="G47" s="215">
        <f t="shared" si="9"/>
        <v>0.3072044596437756</v>
      </c>
      <c r="H47" s="123"/>
    </row>
    <row r="48" spans="1:8" ht="15" customHeight="1">
      <c r="A48" s="130"/>
      <c r="B48" s="131">
        <f>DATE(2022,10,1)</f>
        <v>44835</v>
      </c>
      <c r="C48" s="204">
        <v>12569173</v>
      </c>
      <c r="D48" s="204">
        <v>1234436</v>
      </c>
      <c r="E48" s="204">
        <v>3513957.5</v>
      </c>
      <c r="F48" s="132">
        <f t="shared" si="8"/>
        <v>-0.6487049146155012</v>
      </c>
      <c r="G48" s="215">
        <f t="shared" si="9"/>
        <v>0.09821139386020067</v>
      </c>
      <c r="H48" s="123"/>
    </row>
    <row r="49" spans="1:8" ht="15" customHeight="1">
      <c r="A49" s="130"/>
      <c r="B49" s="131">
        <f>DATE(2022,11,1)</f>
        <v>44866</v>
      </c>
      <c r="C49" s="204">
        <v>12421811</v>
      </c>
      <c r="D49" s="204">
        <v>3487549</v>
      </c>
      <c r="E49" s="204">
        <v>3943943</v>
      </c>
      <c r="F49" s="132">
        <f t="shared" si="8"/>
        <v>-0.11572023226502005</v>
      </c>
      <c r="G49" s="215">
        <f t="shared" si="9"/>
        <v>0.28076010816780256</v>
      </c>
      <c r="H49" s="123"/>
    </row>
    <row r="50" spans="1:8" ht="15" customHeight="1">
      <c r="A50" s="130"/>
      <c r="B50" s="131">
        <f>DATE(2022,12,1)</f>
        <v>44896</v>
      </c>
      <c r="C50" s="204">
        <v>11896885</v>
      </c>
      <c r="D50" s="204">
        <v>3689598</v>
      </c>
      <c r="E50" s="204">
        <v>2827634.5</v>
      </c>
      <c r="F50" s="132">
        <f t="shared" si="8"/>
        <v>0.3048355436319652</v>
      </c>
      <c r="G50" s="215">
        <f t="shared" si="9"/>
        <v>0.31013143356433215</v>
      </c>
      <c r="H50" s="123"/>
    </row>
    <row r="51" spans="1:8" ht="15.75" thickBot="1">
      <c r="A51" s="133"/>
      <c r="B51" s="131"/>
      <c r="C51" s="204"/>
      <c r="D51" s="204"/>
      <c r="E51" s="204"/>
      <c r="F51" s="132"/>
      <c r="G51" s="215"/>
      <c r="H51" s="123"/>
    </row>
    <row r="52" spans="1:8" ht="17.25" customHeight="1" thickBot="1" thickTop="1">
      <c r="A52" s="141" t="s">
        <v>14</v>
      </c>
      <c r="B52" s="142"/>
      <c r="C52" s="207">
        <f>SUM(C45:C51)</f>
        <v>76033468</v>
      </c>
      <c r="D52" s="261">
        <f>SUM(D45:D51)</f>
        <v>19294384</v>
      </c>
      <c r="E52" s="206">
        <f>SUM(E45:E51)</f>
        <v>18809943</v>
      </c>
      <c r="F52" s="268">
        <f>(+D52-E52)/E52</f>
        <v>0.025754517172114768</v>
      </c>
      <c r="G52" s="267">
        <f>D52/C52</f>
        <v>0.2537617250340337</v>
      </c>
      <c r="H52" s="123"/>
    </row>
    <row r="53" spans="1:8" ht="15.75" customHeight="1" thickTop="1">
      <c r="A53" s="130"/>
      <c r="B53" s="134"/>
      <c r="C53" s="204"/>
      <c r="D53" s="204"/>
      <c r="E53" s="204"/>
      <c r="F53" s="132"/>
      <c r="G53" s="218"/>
      <c r="H53" s="123"/>
    </row>
    <row r="54" spans="1:8" ht="15.75">
      <c r="A54" s="130" t="s">
        <v>64</v>
      </c>
      <c r="B54" s="131">
        <f>DATE(2022,7,1)</f>
        <v>44743</v>
      </c>
      <c r="C54" s="204">
        <v>3016522</v>
      </c>
      <c r="D54" s="204">
        <v>700930</v>
      </c>
      <c r="E54" s="204">
        <v>729030</v>
      </c>
      <c r="F54" s="132">
        <f aca="true" t="shared" si="10" ref="F54:F59">(+D54-E54)/E54</f>
        <v>-0.03854436717281868</v>
      </c>
      <c r="G54" s="215">
        <f aca="true" t="shared" si="11" ref="G54:G59">D54/C54</f>
        <v>0.2323636293718395</v>
      </c>
      <c r="H54" s="123"/>
    </row>
    <row r="55" spans="1:8" ht="15.75">
      <c r="A55" s="130"/>
      <c r="B55" s="131">
        <f>DATE(2022,8,1)</f>
        <v>44774</v>
      </c>
      <c r="C55" s="204">
        <v>2699781</v>
      </c>
      <c r="D55" s="204">
        <v>630145.5</v>
      </c>
      <c r="E55" s="204">
        <v>844084.5</v>
      </c>
      <c r="F55" s="132">
        <f t="shared" si="10"/>
        <v>-0.25345685177254174</v>
      </c>
      <c r="G55" s="215">
        <f t="shared" si="11"/>
        <v>0.23340615405471776</v>
      </c>
      <c r="H55" s="123"/>
    </row>
    <row r="56" spans="1:8" ht="15.75">
      <c r="A56" s="130"/>
      <c r="B56" s="131">
        <f>DATE(2022,9,1)</f>
        <v>44805</v>
      </c>
      <c r="C56" s="204">
        <v>2497205</v>
      </c>
      <c r="D56" s="204">
        <v>538940</v>
      </c>
      <c r="E56" s="204">
        <v>707619</v>
      </c>
      <c r="F56" s="132">
        <f t="shared" si="10"/>
        <v>-0.23837545345729835</v>
      </c>
      <c r="G56" s="215">
        <f t="shared" si="11"/>
        <v>0.21581728372320255</v>
      </c>
      <c r="H56" s="123"/>
    </row>
    <row r="57" spans="1:8" ht="15.75">
      <c r="A57" s="130"/>
      <c r="B57" s="131">
        <f>DATE(2022,10,1)</f>
        <v>44835</v>
      </c>
      <c r="C57" s="204">
        <v>2946833</v>
      </c>
      <c r="D57" s="204">
        <v>664586</v>
      </c>
      <c r="E57" s="204">
        <v>435392</v>
      </c>
      <c r="F57" s="132">
        <f t="shared" si="10"/>
        <v>0.5264083860061738</v>
      </c>
      <c r="G57" s="215">
        <f t="shared" si="11"/>
        <v>0.22552550483858433</v>
      </c>
      <c r="H57" s="123"/>
    </row>
    <row r="58" spans="1:8" ht="15.75">
      <c r="A58" s="130"/>
      <c r="B58" s="131">
        <f>DATE(2022,11,1)</f>
        <v>44866</v>
      </c>
      <c r="C58" s="204">
        <v>2417115</v>
      </c>
      <c r="D58" s="204">
        <v>644592.5</v>
      </c>
      <c r="E58" s="204">
        <v>706210</v>
      </c>
      <c r="F58" s="132">
        <f t="shared" si="10"/>
        <v>-0.08725095934637006</v>
      </c>
      <c r="G58" s="215">
        <f t="shared" si="11"/>
        <v>0.2666784575826967</v>
      </c>
      <c r="H58" s="123"/>
    </row>
    <row r="59" spans="1:8" ht="15.75">
      <c r="A59" s="130"/>
      <c r="B59" s="131">
        <f>DATE(2022,12,1)</f>
        <v>44896</v>
      </c>
      <c r="C59" s="204">
        <v>2832616</v>
      </c>
      <c r="D59" s="204">
        <v>621789.5</v>
      </c>
      <c r="E59" s="204">
        <v>737876.5</v>
      </c>
      <c r="F59" s="132">
        <f t="shared" si="10"/>
        <v>-0.15732578554812357</v>
      </c>
      <c r="G59" s="215">
        <f t="shared" si="11"/>
        <v>0.219510692589465</v>
      </c>
      <c r="H59" s="123"/>
    </row>
    <row r="60" spans="1:8" ht="15.75" customHeight="1" thickBot="1">
      <c r="A60" s="130"/>
      <c r="B60" s="131"/>
      <c r="C60" s="204"/>
      <c r="D60" s="204"/>
      <c r="E60" s="204"/>
      <c r="F60" s="132"/>
      <c r="G60" s="215"/>
      <c r="H60" s="123"/>
    </row>
    <row r="61" spans="1:8" ht="17.25" thickBot="1" thickTop="1">
      <c r="A61" s="141" t="s">
        <v>14</v>
      </c>
      <c r="B61" s="142"/>
      <c r="C61" s="207">
        <f>SUM(C54:C60)</f>
        <v>16410072</v>
      </c>
      <c r="D61" s="261">
        <f>SUM(D54:D60)</f>
        <v>3800983.5</v>
      </c>
      <c r="E61" s="207">
        <f>SUM(E54:E60)</f>
        <v>4160212</v>
      </c>
      <c r="F61" s="268">
        <f>(+D61-E61)/E61</f>
        <v>-0.08634860434997063</v>
      </c>
      <c r="G61" s="267">
        <f>D61/C61</f>
        <v>0.23162503491757988</v>
      </c>
      <c r="H61" s="123"/>
    </row>
    <row r="62" spans="1:8" ht="15.75" customHeight="1" thickTop="1">
      <c r="A62" s="130"/>
      <c r="B62" s="134"/>
      <c r="C62" s="204"/>
      <c r="D62" s="204"/>
      <c r="E62" s="204"/>
      <c r="F62" s="132"/>
      <c r="G62" s="218"/>
      <c r="H62" s="123"/>
    </row>
    <row r="63" spans="1:8" ht="15.75">
      <c r="A63" s="130" t="s">
        <v>67</v>
      </c>
      <c r="B63" s="131">
        <f>DATE(2022,7,1)</f>
        <v>44743</v>
      </c>
      <c r="C63" s="204">
        <v>6177101</v>
      </c>
      <c r="D63" s="204">
        <v>951854</v>
      </c>
      <c r="E63" s="204">
        <v>1067021</v>
      </c>
      <c r="F63" s="132">
        <f aca="true" t="shared" si="12" ref="F63:F68">(+D63-E63)/E63</f>
        <v>-0.10793320843732222</v>
      </c>
      <c r="G63" s="215">
        <f aca="true" t="shared" si="13" ref="G63:G68">D63/C63</f>
        <v>0.15409396738049128</v>
      </c>
      <c r="H63" s="123"/>
    </row>
    <row r="64" spans="1:8" ht="15.75">
      <c r="A64" s="130"/>
      <c r="B64" s="131">
        <f>DATE(2022,8,1)</f>
        <v>44774</v>
      </c>
      <c r="C64" s="204">
        <v>6063193</v>
      </c>
      <c r="D64" s="204">
        <v>1029739</v>
      </c>
      <c r="E64" s="204">
        <v>666603.5</v>
      </c>
      <c r="F64" s="132">
        <f t="shared" si="12"/>
        <v>0.5447548655235084</v>
      </c>
      <c r="G64" s="215">
        <f t="shared" si="13"/>
        <v>0.169834442017597</v>
      </c>
      <c r="H64" s="123"/>
    </row>
    <row r="65" spans="1:8" ht="15.75">
      <c r="A65" s="130"/>
      <c r="B65" s="131">
        <f>DATE(2022,9,1)</f>
        <v>44805</v>
      </c>
      <c r="C65" s="204">
        <v>6587163</v>
      </c>
      <c r="D65" s="204">
        <v>389281</v>
      </c>
      <c r="E65" s="204">
        <v>1135711.5</v>
      </c>
      <c r="F65" s="132">
        <f t="shared" si="12"/>
        <v>-0.657236014604061</v>
      </c>
      <c r="G65" s="215">
        <f t="shared" si="13"/>
        <v>0.05909691319313033</v>
      </c>
      <c r="H65" s="123"/>
    </row>
    <row r="66" spans="1:8" ht="15.75">
      <c r="A66" s="130"/>
      <c r="B66" s="131">
        <f>DATE(2022,10,1)</f>
        <v>44835</v>
      </c>
      <c r="C66" s="204">
        <v>6082166</v>
      </c>
      <c r="D66" s="204">
        <v>1134882.5</v>
      </c>
      <c r="E66" s="204">
        <v>1168170.5</v>
      </c>
      <c r="F66" s="132">
        <f t="shared" si="12"/>
        <v>-0.028495840290437054</v>
      </c>
      <c r="G66" s="215">
        <f t="shared" si="13"/>
        <v>0.18659183258069575</v>
      </c>
      <c r="H66" s="123"/>
    </row>
    <row r="67" spans="1:8" ht="15.75">
      <c r="A67" s="130"/>
      <c r="B67" s="131">
        <f>DATE(2022,11,1)</f>
        <v>44866</v>
      </c>
      <c r="C67" s="204">
        <v>5974545</v>
      </c>
      <c r="D67" s="204">
        <v>1197761</v>
      </c>
      <c r="E67" s="204">
        <v>1079072</v>
      </c>
      <c r="F67" s="132">
        <f t="shared" si="12"/>
        <v>0.10999173363779248</v>
      </c>
      <c r="G67" s="215">
        <f t="shared" si="13"/>
        <v>0.20047735852688364</v>
      </c>
      <c r="H67" s="123"/>
    </row>
    <row r="68" spans="1:8" ht="15.75">
      <c r="A68" s="130"/>
      <c r="B68" s="131">
        <f>DATE(2022,12,1)</f>
        <v>44896</v>
      </c>
      <c r="C68" s="204">
        <v>5430834</v>
      </c>
      <c r="D68" s="204">
        <v>867923</v>
      </c>
      <c r="E68" s="204">
        <v>924398</v>
      </c>
      <c r="F68" s="132">
        <f t="shared" si="12"/>
        <v>-0.06109381456904926</v>
      </c>
      <c r="G68" s="215">
        <f t="shared" si="13"/>
        <v>0.1598139438620293</v>
      </c>
      <c r="H68" s="123"/>
    </row>
    <row r="69" spans="1:8" ht="15.75" customHeight="1" thickBot="1">
      <c r="A69" s="130"/>
      <c r="B69" s="131"/>
      <c r="C69" s="204"/>
      <c r="D69" s="204"/>
      <c r="E69" s="204"/>
      <c r="F69" s="132"/>
      <c r="G69" s="215"/>
      <c r="H69" s="123"/>
    </row>
    <row r="70" spans="1:8" ht="17.25" thickBot="1" thickTop="1">
      <c r="A70" s="141" t="s">
        <v>14</v>
      </c>
      <c r="B70" s="142"/>
      <c r="C70" s="207">
        <f>SUM(C63:C69)</f>
        <v>36315002</v>
      </c>
      <c r="D70" s="261">
        <f>SUM(D63:D69)</f>
        <v>5571440.5</v>
      </c>
      <c r="E70" s="207">
        <f>SUM(E63:E69)</f>
        <v>6040976.5</v>
      </c>
      <c r="F70" s="269">
        <f>(+D70-E70)/E70</f>
        <v>-0.07772518234427828</v>
      </c>
      <c r="G70" s="267">
        <f>D70/C70</f>
        <v>0.15341980430016222</v>
      </c>
      <c r="H70" s="123"/>
    </row>
    <row r="71" spans="1:8" ht="15.75" customHeight="1" thickTop="1">
      <c r="A71" s="130"/>
      <c r="B71" s="139"/>
      <c r="C71" s="205"/>
      <c r="D71" s="205"/>
      <c r="E71" s="205"/>
      <c r="F71" s="140"/>
      <c r="G71" s="216"/>
      <c r="H71" s="123"/>
    </row>
    <row r="72" spans="1:8" ht="15.75">
      <c r="A72" s="130" t="s">
        <v>69</v>
      </c>
      <c r="B72" s="131">
        <f>DATE(2022,7,1)</f>
        <v>44743</v>
      </c>
      <c r="C72" s="204">
        <v>5606930</v>
      </c>
      <c r="D72" s="204">
        <v>1405783</v>
      </c>
      <c r="E72" s="204">
        <v>1287648</v>
      </c>
      <c r="F72" s="132">
        <f aca="true" t="shared" si="14" ref="F72:F77">(+D72-E72)/E72</f>
        <v>0.09174479360819106</v>
      </c>
      <c r="G72" s="215">
        <f aca="true" t="shared" si="15" ref="G72:G77">D72/C72</f>
        <v>0.2507224095895615</v>
      </c>
      <c r="H72" s="123"/>
    </row>
    <row r="73" spans="1:8" ht="15.75">
      <c r="A73" s="130"/>
      <c r="B73" s="131">
        <f>DATE(2022,8,1)</f>
        <v>44774</v>
      </c>
      <c r="C73" s="204">
        <v>5378141</v>
      </c>
      <c r="D73" s="204">
        <v>1387184.42</v>
      </c>
      <c r="E73" s="204">
        <v>1323019.5</v>
      </c>
      <c r="F73" s="132">
        <f t="shared" si="14"/>
        <v>0.04849884676680875</v>
      </c>
      <c r="G73" s="215">
        <f t="shared" si="15"/>
        <v>0.2579300951760097</v>
      </c>
      <c r="H73" s="123"/>
    </row>
    <row r="74" spans="1:8" ht="15.75">
      <c r="A74" s="130"/>
      <c r="B74" s="131">
        <f>DATE(2022,9,1)</f>
        <v>44805</v>
      </c>
      <c r="C74" s="204">
        <v>5602602</v>
      </c>
      <c r="D74" s="204">
        <v>1318470</v>
      </c>
      <c r="E74" s="204">
        <v>858985.36</v>
      </c>
      <c r="F74" s="132">
        <f t="shared" si="14"/>
        <v>0.5349155659649427</v>
      </c>
      <c r="G74" s="215">
        <f t="shared" si="15"/>
        <v>0.23533172622292284</v>
      </c>
      <c r="H74" s="123"/>
    </row>
    <row r="75" spans="1:8" ht="15.75">
      <c r="A75" s="130"/>
      <c r="B75" s="131">
        <f>DATE(2022,10,1)</f>
        <v>44835</v>
      </c>
      <c r="C75" s="204">
        <v>5424917</v>
      </c>
      <c r="D75" s="204">
        <v>1379988.01</v>
      </c>
      <c r="E75" s="204">
        <v>980676.58</v>
      </c>
      <c r="F75" s="132">
        <f t="shared" si="14"/>
        <v>0.4071795310947469</v>
      </c>
      <c r="G75" s="215">
        <f t="shared" si="15"/>
        <v>0.25437956193615496</v>
      </c>
      <c r="H75" s="123"/>
    </row>
    <row r="76" spans="1:8" ht="15.75">
      <c r="A76" s="130"/>
      <c r="B76" s="131">
        <f>DATE(2022,11,1)</f>
        <v>44866</v>
      </c>
      <c r="C76" s="204">
        <v>4989462</v>
      </c>
      <c r="D76" s="204">
        <v>1234881.42</v>
      </c>
      <c r="E76" s="204">
        <v>1337612.57</v>
      </c>
      <c r="F76" s="132">
        <f t="shared" si="14"/>
        <v>-0.07680187245848036</v>
      </c>
      <c r="G76" s="215">
        <f t="shared" si="15"/>
        <v>0.2474979105963729</v>
      </c>
      <c r="H76" s="123"/>
    </row>
    <row r="77" spans="1:8" ht="15.75">
      <c r="A77" s="130"/>
      <c r="B77" s="131">
        <f>DATE(2022,12,1)</f>
        <v>44896</v>
      </c>
      <c r="C77" s="204">
        <v>5823111</v>
      </c>
      <c r="D77" s="204">
        <v>1290058.78</v>
      </c>
      <c r="E77" s="204">
        <v>927044</v>
      </c>
      <c r="F77" s="132">
        <f t="shared" si="14"/>
        <v>0.39158311795340894</v>
      </c>
      <c r="G77" s="215">
        <f t="shared" si="15"/>
        <v>0.22154116244735847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6">
        <f>SUM(C72:C78)</f>
        <v>32825163</v>
      </c>
      <c r="D79" s="206">
        <f>SUM(D72:D78)</f>
        <v>8016365.63</v>
      </c>
      <c r="E79" s="206">
        <f>SUM(E72:E78)</f>
        <v>6714986.01</v>
      </c>
      <c r="F79" s="143">
        <f>(+D79-E79)/E79</f>
        <v>0.19380228314131664</v>
      </c>
      <c r="G79" s="217">
        <f>D79/C79</f>
        <v>0.24421403878481882</v>
      </c>
      <c r="H79" s="123"/>
    </row>
    <row r="80" spans="1:8" ht="15.75" customHeight="1" thickTop="1">
      <c r="A80" s="138"/>
      <c r="B80" s="139"/>
      <c r="C80" s="205"/>
      <c r="D80" s="205"/>
      <c r="E80" s="205"/>
      <c r="F80" s="140"/>
      <c r="G80" s="216"/>
      <c r="H80" s="123"/>
    </row>
    <row r="81" spans="1:8" ht="15.75">
      <c r="A81" s="130" t="s">
        <v>16</v>
      </c>
      <c r="B81" s="131">
        <f>DATE(2022,7,1)</f>
        <v>44743</v>
      </c>
      <c r="C81" s="204">
        <v>10366880</v>
      </c>
      <c r="D81" s="204">
        <v>2290229.5</v>
      </c>
      <c r="E81" s="204">
        <v>1960105</v>
      </c>
      <c r="F81" s="132">
        <f aca="true" t="shared" si="16" ref="F81:F86">(+D81-E81)/E81</f>
        <v>0.16842184474811298</v>
      </c>
      <c r="G81" s="215">
        <f aca="true" t="shared" si="17" ref="G81:G86">D81/C81</f>
        <v>0.22091791358634422</v>
      </c>
      <c r="H81" s="123"/>
    </row>
    <row r="82" spans="1:8" ht="15.75">
      <c r="A82" s="130"/>
      <c r="B82" s="131">
        <f>DATE(2022,8,1)</f>
        <v>44774</v>
      </c>
      <c r="C82" s="204">
        <v>9734457</v>
      </c>
      <c r="D82" s="204">
        <v>2099615</v>
      </c>
      <c r="E82" s="204">
        <v>2275188.5</v>
      </c>
      <c r="F82" s="132">
        <f t="shared" si="16"/>
        <v>-0.0771687708512943</v>
      </c>
      <c r="G82" s="215">
        <f t="shared" si="17"/>
        <v>0.21568896960559794</v>
      </c>
      <c r="H82" s="123"/>
    </row>
    <row r="83" spans="1:8" ht="15.75">
      <c r="A83" s="130"/>
      <c r="B83" s="131">
        <f>DATE(2022,9,1)</f>
        <v>44805</v>
      </c>
      <c r="C83" s="204">
        <v>9237427</v>
      </c>
      <c r="D83" s="204">
        <v>1892853.5</v>
      </c>
      <c r="E83" s="204">
        <v>937001</v>
      </c>
      <c r="F83" s="132">
        <f t="shared" si="16"/>
        <v>1.0201189753266005</v>
      </c>
      <c r="G83" s="215">
        <f t="shared" si="17"/>
        <v>0.2049113351585891</v>
      </c>
      <c r="H83" s="123"/>
    </row>
    <row r="84" spans="1:8" ht="15.75">
      <c r="A84" s="130"/>
      <c r="B84" s="131">
        <f>DATE(2022,10,1)</f>
        <v>44835</v>
      </c>
      <c r="C84" s="204">
        <v>10140690</v>
      </c>
      <c r="D84" s="204">
        <v>1720920</v>
      </c>
      <c r="E84" s="204">
        <v>1775955</v>
      </c>
      <c r="F84" s="132">
        <f t="shared" si="16"/>
        <v>-0.030988960868940936</v>
      </c>
      <c r="G84" s="215">
        <f t="shared" si="17"/>
        <v>0.16970442839688424</v>
      </c>
      <c r="H84" s="123"/>
    </row>
    <row r="85" spans="1:8" ht="15.75">
      <c r="A85" s="130"/>
      <c r="B85" s="131">
        <f>DATE(2022,11,1)</f>
        <v>44866</v>
      </c>
      <c r="C85" s="204">
        <v>9461662</v>
      </c>
      <c r="D85" s="204">
        <v>1878662</v>
      </c>
      <c r="E85" s="204">
        <v>2249032.5</v>
      </c>
      <c r="F85" s="132">
        <f t="shared" si="16"/>
        <v>-0.16467992347820673</v>
      </c>
      <c r="G85" s="215">
        <f t="shared" si="17"/>
        <v>0.19855517984049736</v>
      </c>
      <c r="H85" s="123"/>
    </row>
    <row r="86" spans="1:8" ht="15.75">
      <c r="A86" s="130"/>
      <c r="B86" s="131">
        <f>DATE(2022,12,1)</f>
        <v>44896</v>
      </c>
      <c r="C86" s="204">
        <v>9800152.3</v>
      </c>
      <c r="D86" s="204">
        <v>2169033.8</v>
      </c>
      <c r="E86" s="204">
        <v>1877718</v>
      </c>
      <c r="F86" s="132">
        <f t="shared" si="16"/>
        <v>0.15514353060470198</v>
      </c>
      <c r="G86" s="215">
        <f t="shared" si="17"/>
        <v>0.22132653999673044</v>
      </c>
      <c r="H86" s="123"/>
    </row>
    <row r="87" spans="1:8" ht="15.75" customHeight="1" thickBot="1">
      <c r="A87" s="130"/>
      <c r="B87" s="131"/>
      <c r="C87" s="204"/>
      <c r="D87" s="204"/>
      <c r="E87" s="204"/>
      <c r="F87" s="132"/>
      <c r="G87" s="215"/>
      <c r="H87" s="123"/>
    </row>
    <row r="88" spans="1:8" ht="17.25" thickBot="1" thickTop="1">
      <c r="A88" s="141" t="s">
        <v>14</v>
      </c>
      <c r="B88" s="142"/>
      <c r="C88" s="206">
        <f>SUM(C81:C87)</f>
        <v>58741268.3</v>
      </c>
      <c r="D88" s="206">
        <f>SUM(D81:D87)</f>
        <v>12051313.8</v>
      </c>
      <c r="E88" s="206">
        <f>SUM(E81:E87)</f>
        <v>11075000</v>
      </c>
      <c r="F88" s="143">
        <f>(+D88-E88)/E88</f>
        <v>0.08815474492099329</v>
      </c>
      <c r="G88" s="217">
        <f>D88/C88</f>
        <v>0.20515923725807605</v>
      </c>
      <c r="H88" s="123"/>
    </row>
    <row r="89" spans="1:8" ht="15.75" customHeight="1" thickTop="1">
      <c r="A89" s="138"/>
      <c r="B89" s="139"/>
      <c r="C89" s="205"/>
      <c r="D89" s="205"/>
      <c r="E89" s="205"/>
      <c r="F89" s="140"/>
      <c r="G89" s="216"/>
      <c r="H89" s="123"/>
    </row>
    <row r="90" spans="1:8" ht="15.75">
      <c r="A90" s="130" t="s">
        <v>53</v>
      </c>
      <c r="B90" s="131">
        <f>DATE(2022,7,1)</f>
        <v>44743</v>
      </c>
      <c r="C90" s="204">
        <v>14277956</v>
      </c>
      <c r="D90" s="204">
        <v>2740415.54</v>
      </c>
      <c r="E90" s="204">
        <v>2503594.66</v>
      </c>
      <c r="F90" s="132">
        <f aca="true" t="shared" si="18" ref="F90:F95">(+D90-E90)/E90</f>
        <v>0.09459234107808805</v>
      </c>
      <c r="G90" s="215">
        <f aca="true" t="shared" si="19" ref="G90:G95">D90/C90</f>
        <v>0.19193332294902715</v>
      </c>
      <c r="H90" s="123"/>
    </row>
    <row r="91" spans="1:8" ht="15.75">
      <c r="A91" s="130"/>
      <c r="B91" s="131">
        <f>DATE(2022,8,1)</f>
        <v>44774</v>
      </c>
      <c r="C91" s="204">
        <v>14131755</v>
      </c>
      <c r="D91" s="204">
        <v>2943976.84</v>
      </c>
      <c r="E91" s="204">
        <v>2041955.48</v>
      </c>
      <c r="F91" s="132">
        <f t="shared" si="18"/>
        <v>0.4417438914975756</v>
      </c>
      <c r="G91" s="215">
        <f t="shared" si="19"/>
        <v>0.208323512543205</v>
      </c>
      <c r="H91" s="123"/>
    </row>
    <row r="92" spans="1:8" ht="15.75">
      <c r="A92" s="130"/>
      <c r="B92" s="131">
        <f>DATE(2022,9,1)</f>
        <v>44805</v>
      </c>
      <c r="C92" s="204">
        <v>13855244</v>
      </c>
      <c r="D92" s="204">
        <v>2470080.11</v>
      </c>
      <c r="E92" s="204">
        <v>2713567.27</v>
      </c>
      <c r="F92" s="132">
        <f t="shared" si="18"/>
        <v>-0.0897295463030847</v>
      </c>
      <c r="G92" s="215">
        <f t="shared" si="19"/>
        <v>0.1782776333639451</v>
      </c>
      <c r="H92" s="123"/>
    </row>
    <row r="93" spans="1:8" ht="15.75">
      <c r="A93" s="130"/>
      <c r="B93" s="131">
        <f>DATE(2022,10,1)</f>
        <v>44835</v>
      </c>
      <c r="C93" s="204">
        <v>14256461</v>
      </c>
      <c r="D93" s="204">
        <v>3215532.42</v>
      </c>
      <c r="E93" s="204">
        <v>2659301.47</v>
      </c>
      <c r="F93" s="132">
        <f t="shared" si="18"/>
        <v>0.20916430734722216</v>
      </c>
      <c r="G93" s="215">
        <f t="shared" si="19"/>
        <v>0.22554913312637687</v>
      </c>
      <c r="H93" s="123"/>
    </row>
    <row r="94" spans="1:8" ht="15.75">
      <c r="A94" s="130"/>
      <c r="B94" s="131">
        <f>DATE(2022,11,1)</f>
        <v>44866</v>
      </c>
      <c r="C94" s="204">
        <v>13386623</v>
      </c>
      <c r="D94" s="204">
        <v>3265973.52</v>
      </c>
      <c r="E94" s="204">
        <v>2735220.29</v>
      </c>
      <c r="F94" s="132">
        <f t="shared" si="18"/>
        <v>0.19404405266385324</v>
      </c>
      <c r="G94" s="215">
        <f t="shared" si="19"/>
        <v>0.24397292132601328</v>
      </c>
      <c r="H94" s="123"/>
    </row>
    <row r="95" spans="1:8" ht="15.75">
      <c r="A95" s="130"/>
      <c r="B95" s="131">
        <f>DATE(2022,12,1)</f>
        <v>44896</v>
      </c>
      <c r="C95" s="204">
        <v>15242874</v>
      </c>
      <c r="D95" s="204">
        <v>2403855.66</v>
      </c>
      <c r="E95" s="204">
        <v>3180649.5</v>
      </c>
      <c r="F95" s="132">
        <f t="shared" si="18"/>
        <v>-0.24422491066683075</v>
      </c>
      <c r="G95" s="215">
        <f t="shared" si="19"/>
        <v>0.15770357086203035</v>
      </c>
      <c r="H95" s="123"/>
    </row>
    <row r="96" spans="1:8" ht="15.75" thickBot="1">
      <c r="A96" s="133"/>
      <c r="B96" s="131"/>
      <c r="C96" s="204"/>
      <c r="D96" s="204"/>
      <c r="E96" s="204"/>
      <c r="F96" s="132"/>
      <c r="G96" s="215"/>
      <c r="H96" s="123"/>
    </row>
    <row r="97" spans="1:8" ht="17.25" thickBot="1" thickTop="1">
      <c r="A97" s="141" t="s">
        <v>14</v>
      </c>
      <c r="B97" s="142"/>
      <c r="C97" s="207">
        <f>SUM(C90:C96)</f>
        <v>85150913</v>
      </c>
      <c r="D97" s="207">
        <f>SUM(D90:D96)</f>
        <v>17039834.09</v>
      </c>
      <c r="E97" s="207">
        <f>SUM(E90:E96)</f>
        <v>15834288.670000002</v>
      </c>
      <c r="F97" s="143">
        <f>(+D97-E97)/E97</f>
        <v>0.07613511696828235</v>
      </c>
      <c r="G97" s="267">
        <f>D97/C97</f>
        <v>0.20011334570188344</v>
      </c>
      <c r="H97" s="123"/>
    </row>
    <row r="98" spans="1:8" ht="15.75" customHeight="1" thickTop="1">
      <c r="A98" s="138"/>
      <c r="B98" s="139"/>
      <c r="C98" s="205"/>
      <c r="D98" s="205"/>
      <c r="E98" s="205"/>
      <c r="F98" s="140"/>
      <c r="G98" s="219"/>
      <c r="H98" s="123"/>
    </row>
    <row r="99" spans="1:8" ht="15.75">
      <c r="A99" s="130" t="s">
        <v>54</v>
      </c>
      <c r="B99" s="131">
        <f>DATE(2022,7,1)</f>
        <v>44743</v>
      </c>
      <c r="C99" s="204">
        <v>138495</v>
      </c>
      <c r="D99" s="204">
        <v>33672.5</v>
      </c>
      <c r="E99" s="204">
        <v>95940.5</v>
      </c>
      <c r="F99" s="132">
        <f aca="true" t="shared" si="20" ref="F99:F104">(+D99-E99)/E99</f>
        <v>-0.6490272616882339</v>
      </c>
      <c r="G99" s="215">
        <f aca="true" t="shared" si="21" ref="G99:G104">D99/C99</f>
        <v>0.2431315209935377</v>
      </c>
      <c r="H99" s="123"/>
    </row>
    <row r="100" spans="1:8" ht="15.75">
      <c r="A100" s="130"/>
      <c r="B100" s="131">
        <f>DATE(2022,8,1)</f>
        <v>44774</v>
      </c>
      <c r="C100" s="204">
        <v>107572</v>
      </c>
      <c r="D100" s="204">
        <v>43554</v>
      </c>
      <c r="E100" s="204">
        <v>109429</v>
      </c>
      <c r="F100" s="132">
        <f t="shared" si="20"/>
        <v>-0.6019885039614727</v>
      </c>
      <c r="G100" s="215">
        <f t="shared" si="21"/>
        <v>0.40488231138214403</v>
      </c>
      <c r="H100" s="123"/>
    </row>
    <row r="101" spans="1:8" ht="15.75">
      <c r="A101" s="130"/>
      <c r="B101" s="131">
        <f>DATE(2022,9,1)</f>
        <v>44805</v>
      </c>
      <c r="C101" s="204">
        <v>96319</v>
      </c>
      <c r="D101" s="204">
        <v>21940.5</v>
      </c>
      <c r="E101" s="204">
        <v>101758.5</v>
      </c>
      <c r="F101" s="132">
        <f t="shared" si="20"/>
        <v>-0.7843865623019207</v>
      </c>
      <c r="G101" s="215">
        <f t="shared" si="21"/>
        <v>0.22778994798534039</v>
      </c>
      <c r="H101" s="123"/>
    </row>
    <row r="102" spans="1:8" ht="15.75">
      <c r="A102" s="130"/>
      <c r="B102" s="131">
        <f>DATE(2022,10,1)</f>
        <v>44835</v>
      </c>
      <c r="C102" s="204">
        <v>100492</v>
      </c>
      <c r="D102" s="204">
        <v>23452.5</v>
      </c>
      <c r="E102" s="204">
        <v>79721.5</v>
      </c>
      <c r="F102" s="132">
        <f t="shared" si="20"/>
        <v>-0.7058196346029616</v>
      </c>
      <c r="G102" s="215">
        <f t="shared" si="21"/>
        <v>0.23337678621183774</v>
      </c>
      <c r="H102" s="123"/>
    </row>
    <row r="103" spans="1:8" ht="15.75">
      <c r="A103" s="130"/>
      <c r="B103" s="131">
        <f>DATE(2022,11,1)</f>
        <v>44866</v>
      </c>
      <c r="C103" s="204">
        <v>84332</v>
      </c>
      <c r="D103" s="204">
        <v>27986</v>
      </c>
      <c r="E103" s="204">
        <v>65199</v>
      </c>
      <c r="F103" s="132">
        <f t="shared" si="20"/>
        <v>-0.5707602877344744</v>
      </c>
      <c r="G103" s="215">
        <f t="shared" si="21"/>
        <v>0.33185504909168523</v>
      </c>
      <c r="H103" s="123"/>
    </row>
    <row r="104" spans="1:8" ht="15.75">
      <c r="A104" s="130"/>
      <c r="B104" s="131">
        <f>DATE(2022,12,1)</f>
        <v>44896</v>
      </c>
      <c r="C104" s="204">
        <v>96692</v>
      </c>
      <c r="D104" s="204">
        <v>31936</v>
      </c>
      <c r="E104" s="204">
        <v>91444</v>
      </c>
      <c r="F104" s="132">
        <f t="shared" si="20"/>
        <v>-0.6507589344298149</v>
      </c>
      <c r="G104" s="215">
        <f t="shared" si="21"/>
        <v>0.33028585612046496</v>
      </c>
      <c r="H104" s="123"/>
    </row>
    <row r="105" spans="1:8" ht="15.75" thickBot="1">
      <c r="A105" s="133"/>
      <c r="B105" s="134"/>
      <c r="C105" s="204"/>
      <c r="D105" s="204"/>
      <c r="E105" s="204"/>
      <c r="F105" s="132"/>
      <c r="G105" s="215"/>
      <c r="H105" s="123"/>
    </row>
    <row r="106" spans="1:8" ht="17.25" thickBot="1" thickTop="1">
      <c r="A106" s="144" t="s">
        <v>14</v>
      </c>
      <c r="B106" s="145"/>
      <c r="C106" s="207">
        <f>SUM(C99:C105)</f>
        <v>623902</v>
      </c>
      <c r="D106" s="207">
        <f>SUM(D99:D105)</f>
        <v>182541.5</v>
      </c>
      <c r="E106" s="207">
        <f>SUM(E99:E105)</f>
        <v>543492.5</v>
      </c>
      <c r="F106" s="143">
        <f>(+D106-E106)/E106</f>
        <v>-0.6641324397300791</v>
      </c>
      <c r="G106" s="217">
        <f>D106/C106</f>
        <v>0.29258040525595364</v>
      </c>
      <c r="H106" s="123"/>
    </row>
    <row r="107" spans="1:8" ht="15.75" customHeight="1" thickTop="1">
      <c r="A107" s="130"/>
      <c r="B107" s="134"/>
      <c r="C107" s="204"/>
      <c r="D107" s="204"/>
      <c r="E107" s="204"/>
      <c r="F107" s="132"/>
      <c r="G107" s="218"/>
      <c r="H107" s="123"/>
    </row>
    <row r="108" spans="1:8" ht="15.75">
      <c r="A108" s="130" t="s">
        <v>37</v>
      </c>
      <c r="B108" s="131">
        <f>DATE(2022,7,1)</f>
        <v>44743</v>
      </c>
      <c r="C108" s="204">
        <v>23474853</v>
      </c>
      <c r="D108" s="204">
        <v>4747644.93</v>
      </c>
      <c r="E108" s="204">
        <v>4828759.44</v>
      </c>
      <c r="F108" s="132">
        <f aca="true" t="shared" si="22" ref="F108:F113">(+D108-E108)/E108</f>
        <v>-0.01679820894121839</v>
      </c>
      <c r="G108" s="215">
        <f aca="true" t="shared" si="23" ref="G108:G113">D108/C108</f>
        <v>0.20224386197434335</v>
      </c>
      <c r="H108" s="123"/>
    </row>
    <row r="109" spans="1:8" ht="15.75">
      <c r="A109" s="130"/>
      <c r="B109" s="131">
        <f>DATE(2022,8,1)</f>
        <v>44774</v>
      </c>
      <c r="C109" s="204">
        <v>21618581</v>
      </c>
      <c r="D109" s="204">
        <v>5944421.23</v>
      </c>
      <c r="E109" s="204">
        <v>4617763.22</v>
      </c>
      <c r="F109" s="132">
        <f t="shared" si="22"/>
        <v>0.28729450749101004</v>
      </c>
      <c r="G109" s="215">
        <f t="shared" si="23"/>
        <v>0.2749681503147686</v>
      </c>
      <c r="H109" s="123"/>
    </row>
    <row r="110" spans="1:8" ht="15.75">
      <c r="A110" s="130"/>
      <c r="B110" s="131">
        <f>DATE(2022,9,1)</f>
        <v>44805</v>
      </c>
      <c r="C110" s="204">
        <v>22214362</v>
      </c>
      <c r="D110" s="204">
        <v>4482002.35</v>
      </c>
      <c r="E110" s="204">
        <v>4146063.59</v>
      </c>
      <c r="F110" s="132">
        <f t="shared" si="22"/>
        <v>0.08102595454885432</v>
      </c>
      <c r="G110" s="215">
        <f t="shared" si="23"/>
        <v>0.20176147079983658</v>
      </c>
      <c r="H110" s="123"/>
    </row>
    <row r="111" spans="1:8" ht="15.75">
      <c r="A111" s="130"/>
      <c r="B111" s="131">
        <f>DATE(2022,10,1)</f>
        <v>44835</v>
      </c>
      <c r="C111" s="204">
        <v>22521885</v>
      </c>
      <c r="D111" s="204">
        <v>4856222.42</v>
      </c>
      <c r="E111" s="204">
        <v>5459139.57</v>
      </c>
      <c r="F111" s="132">
        <f t="shared" si="22"/>
        <v>-0.11044179073809618</v>
      </c>
      <c r="G111" s="215">
        <f t="shared" si="23"/>
        <v>0.21562237885505586</v>
      </c>
      <c r="H111" s="123"/>
    </row>
    <row r="112" spans="1:8" ht="15.75">
      <c r="A112" s="130"/>
      <c r="B112" s="131">
        <f>DATE(2022,11,1)</f>
        <v>44866</v>
      </c>
      <c r="C112" s="204">
        <v>19717008</v>
      </c>
      <c r="D112" s="204">
        <v>4475648.35</v>
      </c>
      <c r="E112" s="204">
        <v>4253233.65</v>
      </c>
      <c r="F112" s="132">
        <f t="shared" si="22"/>
        <v>0.05229308293467471</v>
      </c>
      <c r="G112" s="215">
        <f t="shared" si="23"/>
        <v>0.22699429599054785</v>
      </c>
      <c r="H112" s="123"/>
    </row>
    <row r="113" spans="1:8" ht="15.75">
      <c r="A113" s="130"/>
      <c r="B113" s="131">
        <f>DATE(2022,12,1)</f>
        <v>44896</v>
      </c>
      <c r="C113" s="204">
        <v>20731313</v>
      </c>
      <c r="D113" s="204">
        <v>4385866.74</v>
      </c>
      <c r="E113" s="204">
        <v>5369859.74</v>
      </c>
      <c r="F113" s="132">
        <f t="shared" si="22"/>
        <v>-0.18324370610097163</v>
      </c>
      <c r="G113" s="215">
        <f t="shared" si="23"/>
        <v>0.21155759599018162</v>
      </c>
      <c r="H113" s="123"/>
    </row>
    <row r="114" spans="1:8" ht="15.75" thickBot="1">
      <c r="A114" s="133"/>
      <c r="B114" s="134"/>
      <c r="C114" s="204"/>
      <c r="D114" s="204"/>
      <c r="E114" s="204"/>
      <c r="F114" s="132"/>
      <c r="G114" s="215"/>
      <c r="H114" s="123"/>
    </row>
    <row r="115" spans="1:8" ht="17.25" thickBot="1" thickTop="1">
      <c r="A115" s="141" t="s">
        <v>14</v>
      </c>
      <c r="B115" s="142"/>
      <c r="C115" s="206">
        <f>SUM(C108:C114)</f>
        <v>130278002</v>
      </c>
      <c r="D115" s="207">
        <f>SUM(D108:D114)</f>
        <v>28891806.020000003</v>
      </c>
      <c r="E115" s="206">
        <f>SUM(E108:E114)</f>
        <v>28674819.21</v>
      </c>
      <c r="F115" s="143">
        <f>(+D115-E115)/E115</f>
        <v>0.007567155294368197</v>
      </c>
      <c r="G115" s="217">
        <f>D115/C115</f>
        <v>0.22177041078661924</v>
      </c>
      <c r="H115" s="123"/>
    </row>
    <row r="116" spans="1:8" ht="15.75" customHeight="1" thickTop="1">
      <c r="A116" s="130"/>
      <c r="B116" s="134"/>
      <c r="C116" s="204"/>
      <c r="D116" s="204"/>
      <c r="E116" s="204"/>
      <c r="F116" s="132"/>
      <c r="G116" s="218"/>
      <c r="H116" s="123"/>
    </row>
    <row r="117" spans="1:8" ht="15.75">
      <c r="A117" s="130" t="s">
        <v>57</v>
      </c>
      <c r="B117" s="131">
        <f>DATE(2022,7,1)</f>
        <v>44743</v>
      </c>
      <c r="C117" s="204">
        <v>726679</v>
      </c>
      <c r="D117" s="204">
        <v>196833</v>
      </c>
      <c r="E117" s="204">
        <v>127439.5</v>
      </c>
      <c r="F117" s="132">
        <f aca="true" t="shared" si="24" ref="F117:F122">(+D117-E117)/E117</f>
        <v>0.5445211257106313</v>
      </c>
      <c r="G117" s="215">
        <f aca="true" t="shared" si="25" ref="G117:G122">D117/C117</f>
        <v>0.27086650364191067</v>
      </c>
      <c r="H117" s="123"/>
    </row>
    <row r="118" spans="1:8" ht="15.75">
      <c r="A118" s="130"/>
      <c r="B118" s="131">
        <f>DATE(2022,8,1)</f>
        <v>44774</v>
      </c>
      <c r="C118" s="204">
        <v>607303</v>
      </c>
      <c r="D118" s="204">
        <v>151280.5</v>
      </c>
      <c r="E118" s="204">
        <v>132624</v>
      </c>
      <c r="F118" s="132">
        <f t="shared" si="24"/>
        <v>0.14067212570877066</v>
      </c>
      <c r="G118" s="215">
        <f t="shared" si="25"/>
        <v>0.24910217799022893</v>
      </c>
      <c r="H118" s="123"/>
    </row>
    <row r="119" spans="1:8" ht="15.75">
      <c r="A119" s="130"/>
      <c r="B119" s="131">
        <f>DATE(2022,9,1)</f>
        <v>44805</v>
      </c>
      <c r="C119" s="204">
        <v>597896</v>
      </c>
      <c r="D119" s="204">
        <v>193974</v>
      </c>
      <c r="E119" s="204">
        <v>116203.5</v>
      </c>
      <c r="F119" s="132">
        <f t="shared" si="24"/>
        <v>0.6692612528882521</v>
      </c>
      <c r="G119" s="215">
        <f t="shared" si="25"/>
        <v>0.32442765965987397</v>
      </c>
      <c r="H119" s="123"/>
    </row>
    <row r="120" spans="1:8" ht="15.75">
      <c r="A120" s="130"/>
      <c r="B120" s="131">
        <f>DATE(2022,10,1)</f>
        <v>44835</v>
      </c>
      <c r="C120" s="204">
        <v>616111</v>
      </c>
      <c r="D120" s="204">
        <v>196489.5</v>
      </c>
      <c r="E120" s="204">
        <v>167500.5</v>
      </c>
      <c r="F120" s="132">
        <f t="shared" si="24"/>
        <v>0.17306814009510418</v>
      </c>
      <c r="G120" s="215">
        <f t="shared" si="25"/>
        <v>0.31891899349305564</v>
      </c>
      <c r="H120" s="123"/>
    </row>
    <row r="121" spans="1:8" ht="15.75">
      <c r="A121" s="130"/>
      <c r="B121" s="131">
        <f>DATE(2022,11,1)</f>
        <v>44866</v>
      </c>
      <c r="C121" s="204">
        <v>588129</v>
      </c>
      <c r="D121" s="204">
        <v>205853.5</v>
      </c>
      <c r="E121" s="204">
        <v>144385.5</v>
      </c>
      <c r="F121" s="132">
        <f t="shared" si="24"/>
        <v>0.4257214193946068</v>
      </c>
      <c r="G121" s="215">
        <f t="shared" si="25"/>
        <v>0.35001419756550006</v>
      </c>
      <c r="H121" s="123"/>
    </row>
    <row r="122" spans="1:8" ht="15.75">
      <c r="A122" s="130"/>
      <c r="B122" s="131">
        <f>DATE(2022,12,1)</f>
        <v>44896</v>
      </c>
      <c r="C122" s="204">
        <v>601617</v>
      </c>
      <c r="D122" s="204">
        <v>179648</v>
      </c>
      <c r="E122" s="204">
        <v>189046.5</v>
      </c>
      <c r="F122" s="132">
        <f t="shared" si="24"/>
        <v>-0.04971528168995459</v>
      </c>
      <c r="G122" s="215">
        <f t="shared" si="25"/>
        <v>0.298608583201605</v>
      </c>
      <c r="H122" s="123"/>
    </row>
    <row r="123" spans="1:8" ht="15.75" thickBot="1">
      <c r="A123" s="133"/>
      <c r="B123" s="134"/>
      <c r="C123" s="204"/>
      <c r="D123" s="204"/>
      <c r="E123" s="204"/>
      <c r="F123" s="132"/>
      <c r="G123" s="215"/>
      <c r="H123" s="123"/>
    </row>
    <row r="124" spans="1:8" ht="17.25" thickBot="1" thickTop="1">
      <c r="A124" s="135" t="s">
        <v>14</v>
      </c>
      <c r="B124" s="136"/>
      <c r="C124" s="201">
        <f>SUM(C117:C123)</f>
        <v>3737735</v>
      </c>
      <c r="D124" s="207">
        <f>SUM(D117:D123)</f>
        <v>1124078.5</v>
      </c>
      <c r="E124" s="207">
        <f>SUM(E117:E123)</f>
        <v>877199.5</v>
      </c>
      <c r="F124" s="143">
        <f>(+D124-E124)/E124</f>
        <v>0.28143996890103107</v>
      </c>
      <c r="G124" s="217">
        <f>D124/C124</f>
        <v>0.3007378800262726</v>
      </c>
      <c r="H124" s="123"/>
    </row>
    <row r="125" spans="1:8" ht="16.5" thickBot="1" thickTop="1">
      <c r="A125" s="146"/>
      <c r="B125" s="139"/>
      <c r="C125" s="205"/>
      <c r="D125" s="205"/>
      <c r="E125" s="205"/>
      <c r="F125" s="140"/>
      <c r="G125" s="216"/>
      <c r="H125" s="123"/>
    </row>
    <row r="126" spans="1:8" ht="17.25" thickBot="1" thickTop="1">
      <c r="A126" s="147" t="s">
        <v>38</v>
      </c>
      <c r="B126" s="121"/>
      <c r="C126" s="201">
        <f>C124+C115+C88+C70+C52+C34+C16+C43+C106+C25+C79+C97+C61</f>
        <v>630479864.55</v>
      </c>
      <c r="D126" s="201">
        <f>D124+D115+D88+D70+D52+D34+D16+D43+D106+D25+D79+D97+D61</f>
        <v>136202599.78</v>
      </c>
      <c r="E126" s="201">
        <f>E124+E115+E88+E70+E52+E34+E16+E43+E106+E25+E79+E97+E61</f>
        <v>129783226.91000001</v>
      </c>
      <c r="F126" s="137">
        <f>(+D126-E126)/E126</f>
        <v>0.0494622689143921</v>
      </c>
      <c r="G126" s="212">
        <f>D126/C126</f>
        <v>0.21603005494428207</v>
      </c>
      <c r="H126" s="123"/>
    </row>
    <row r="127" spans="1:8" ht="17.25" thickBot="1" thickTop="1">
      <c r="A127" s="147"/>
      <c r="B127" s="121"/>
      <c r="C127" s="201"/>
      <c r="D127" s="201"/>
      <c r="E127" s="201"/>
      <c r="F127" s="137"/>
      <c r="G127" s="212"/>
      <c r="H127" s="123"/>
    </row>
    <row r="128" spans="1:8" ht="17.25" thickBot="1" thickTop="1">
      <c r="A128" s="265" t="s">
        <v>39</v>
      </c>
      <c r="B128" s="266"/>
      <c r="C128" s="206">
        <f>+C14+C23+C32+C41+C50+C59+C68+C77+C86+C95+C104+C113+C122</f>
        <v>104400683.3</v>
      </c>
      <c r="D128" s="206">
        <f>+D14+D23+D32+D41+D50+D59+D68+D77+D86+D95+D104+D113+D122</f>
        <v>21803174.369999997</v>
      </c>
      <c r="E128" s="206">
        <f>+E14+E23+E32+E41+E50+E59+E68+E77+E86+E95+E104+E113+E122</f>
        <v>22696159.240000002</v>
      </c>
      <c r="F128" s="268">
        <f>(+D128-E128)/E128</f>
        <v>-0.03934519759740656</v>
      </c>
      <c r="G128" s="217">
        <f>D128/C128</f>
        <v>0.20884129950900424</v>
      </c>
      <c r="H128" s="123"/>
    </row>
    <row r="129" spans="1:8" ht="16.5" thickTop="1">
      <c r="A129" s="256"/>
      <c r="B129" s="258"/>
      <c r="C129" s="259"/>
      <c r="D129" s="259"/>
      <c r="E129" s="259"/>
      <c r="F129" s="260"/>
      <c r="G129" s="257"/>
      <c r="H129" s="257"/>
    </row>
    <row r="130" spans="1:7" ht="18.75">
      <c r="A130" s="263" t="s">
        <v>40</v>
      </c>
      <c r="B130" s="117"/>
      <c r="C130" s="208"/>
      <c r="D130" s="208"/>
      <c r="E130" s="208"/>
      <c r="F130" s="148"/>
      <c r="G130" s="220"/>
    </row>
    <row r="131" ht="15.75">
      <c r="A131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52" max="7" man="1"/>
    <brk id="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8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>
      <c r="A9" s="161"/>
      <c r="B9" s="162"/>
      <c r="C9" s="225"/>
      <c r="D9" s="225"/>
      <c r="E9" s="225"/>
      <c r="F9" s="163"/>
      <c r="G9" s="239"/>
      <c r="H9" s="240"/>
    </row>
    <row r="10" spans="1:8" ht="15.7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.7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.7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0.041740423437317854</v>
      </c>
      <c r="H12" s="289">
        <f>1-G12</f>
        <v>0.9582595765626821</v>
      </c>
    </row>
    <row r="13" spans="1:8" ht="15.7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0.04735969853906982</v>
      </c>
      <c r="H13" s="289">
        <f>1-G13</f>
        <v>0.9526403014609302</v>
      </c>
    </row>
    <row r="14" spans="1:8" ht="15.7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</v>
      </c>
      <c r="G14" s="241">
        <f>+D14/C14</f>
        <v>0.05069968847392133</v>
      </c>
      <c r="H14" s="289">
        <f>1-G14</f>
        <v>0.9493003115260786</v>
      </c>
    </row>
    <row r="15" spans="1:8" ht="15.75">
      <c r="A15" s="164"/>
      <c r="B15" s="165">
        <f>DATE(22,12,1)</f>
        <v>8371</v>
      </c>
      <c r="C15" s="226">
        <v>0</v>
      </c>
      <c r="D15" s="226">
        <v>0</v>
      </c>
      <c r="E15" s="226">
        <v>90195.59</v>
      </c>
      <c r="F15" s="166">
        <v>-1</v>
      </c>
      <c r="G15" s="241">
        <v>0</v>
      </c>
      <c r="H15" s="289">
        <v>0</v>
      </c>
    </row>
    <row r="16" spans="1:8" ht="15.75" thickBot="1">
      <c r="A16" s="167"/>
      <c r="B16" s="168"/>
      <c r="C16" s="226"/>
      <c r="D16" s="226"/>
      <c r="E16" s="226"/>
      <c r="F16" s="166"/>
      <c r="G16" s="241"/>
      <c r="H16" s="242"/>
    </row>
    <row r="17" spans="1:8" ht="17.25" thickBot="1" thickTop="1">
      <c r="A17" s="169" t="s">
        <v>14</v>
      </c>
      <c r="B17" s="155"/>
      <c r="C17" s="223">
        <f>SUM(C10:C16)</f>
        <v>10220732.540000001</v>
      </c>
      <c r="D17" s="223">
        <f>SUM(D10:D16)</f>
        <v>506770.29000000004</v>
      </c>
      <c r="E17" s="223">
        <f>SUM(E10:E16)</f>
        <v>141296.62</v>
      </c>
      <c r="F17" s="176">
        <f>+(D17-E17)/E17</f>
        <v>2.586570506782116</v>
      </c>
      <c r="G17" s="245">
        <f>+D17/C17</f>
        <v>0.0495825801151431</v>
      </c>
      <c r="H17" s="246">
        <f>1-G17</f>
        <v>0.950417419884857</v>
      </c>
    </row>
    <row r="18" spans="1:8" ht="15.75" thickTop="1">
      <c r="A18" s="171"/>
      <c r="B18" s="172"/>
      <c r="C18" s="227"/>
      <c r="D18" s="227"/>
      <c r="E18" s="227"/>
      <c r="F18" s="173"/>
      <c r="G18" s="243"/>
      <c r="H18" s="244"/>
    </row>
    <row r="19" spans="1:8" ht="15.75">
      <c r="A19" s="19" t="s">
        <v>48</v>
      </c>
      <c r="B19" s="165">
        <f>DATE(22,7,1)</f>
        <v>8218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>
      <c r="A20" s="19"/>
      <c r="B20" s="165">
        <f>DATE(22,8,1)</f>
        <v>8249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>
      <c r="A21" s="19"/>
      <c r="B21" s="165">
        <f>DATE(22,9,1)</f>
        <v>8280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>
      <c r="A22" s="19"/>
      <c r="B22" s="165">
        <f>DATE(22,10,1)</f>
        <v>8310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>
      <c r="A23" s="19"/>
      <c r="B23" s="165">
        <f>DATE(22,11,1)</f>
        <v>8341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>
      <c r="A24" s="19"/>
      <c r="B24" s="165">
        <f>DATE(22,12,1)</f>
        <v>8371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thickBot="1">
      <c r="A25" s="167"/>
      <c r="B25" s="165"/>
      <c r="C25" s="226"/>
      <c r="D25" s="226"/>
      <c r="E25" s="226"/>
      <c r="F25" s="166"/>
      <c r="G25" s="241"/>
      <c r="H25" s="242"/>
    </row>
    <row r="26" spans="1:8" ht="17.25" thickBot="1" thickTop="1">
      <c r="A26" s="169" t="s">
        <v>14</v>
      </c>
      <c r="B26" s="155"/>
      <c r="C26" s="223">
        <f>SUM(C19:C25)</f>
        <v>0</v>
      </c>
      <c r="D26" s="223">
        <f>SUM(D19:D25)</f>
        <v>0</v>
      </c>
      <c r="E26" s="223">
        <f>SUM(E19:E25)</f>
        <v>0</v>
      </c>
      <c r="F26" s="170">
        <v>0</v>
      </c>
      <c r="G26" s="236">
        <v>0</v>
      </c>
      <c r="H26" s="237">
        <v>0</v>
      </c>
    </row>
    <row r="27" spans="1:8" ht="15.75" thickTop="1">
      <c r="A27" s="171"/>
      <c r="B27" s="172"/>
      <c r="C27" s="227"/>
      <c r="D27" s="227"/>
      <c r="E27" s="227"/>
      <c r="F27" s="173"/>
      <c r="G27" s="243"/>
      <c r="H27" s="244"/>
    </row>
    <row r="28" spans="1:8" ht="15.75">
      <c r="A28" s="19" t="s">
        <v>62</v>
      </c>
      <c r="B28" s="165">
        <f>DATE(22,7,1)</f>
        <v>8218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>
      <c r="A29" s="19"/>
      <c r="B29" s="165">
        <f>DATE(22,8,1)</f>
        <v>8249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>
      <c r="A30" s="19"/>
      <c r="B30" s="165">
        <f>DATE(22,9,1)</f>
        <v>8280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>
      <c r="A31" s="19"/>
      <c r="B31" s="165">
        <f>DATE(22,10,1)</f>
        <v>8310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>
      <c r="A32" s="19"/>
      <c r="B32" s="165">
        <f>DATE(22,11,1)</f>
        <v>8341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>
      <c r="A33" s="19"/>
      <c r="B33" s="165">
        <f>DATE(22,12,1)</f>
        <v>8371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thickBot="1">
      <c r="A34" s="167"/>
      <c r="B34" s="165"/>
      <c r="C34" s="226"/>
      <c r="D34" s="226"/>
      <c r="E34" s="226"/>
      <c r="F34" s="166"/>
      <c r="G34" s="241"/>
      <c r="H34" s="242"/>
    </row>
    <row r="35" spans="1:8" ht="17.25" thickBot="1" thickTop="1">
      <c r="A35" s="174" t="s">
        <v>14</v>
      </c>
      <c r="B35" s="175"/>
      <c r="C35" s="228">
        <f>SUM(C28:C34)</f>
        <v>0</v>
      </c>
      <c r="D35" s="228">
        <f>SUM(D28:D34)</f>
        <v>0</v>
      </c>
      <c r="E35" s="228">
        <f>SUM(E28:E34)</f>
        <v>0</v>
      </c>
      <c r="F35" s="176">
        <v>0</v>
      </c>
      <c r="G35" s="245">
        <v>0</v>
      </c>
      <c r="H35" s="246">
        <v>0</v>
      </c>
    </row>
    <row r="36" spans="1:8" ht="15.75" thickTop="1">
      <c r="A36" s="167"/>
      <c r="B36" s="168"/>
      <c r="C36" s="226"/>
      <c r="D36" s="226"/>
      <c r="E36" s="226"/>
      <c r="F36" s="166"/>
      <c r="G36" s="241"/>
      <c r="H36" s="242"/>
    </row>
    <row r="37" spans="1:8" ht="15.75">
      <c r="A37" s="177" t="s">
        <v>58</v>
      </c>
      <c r="B37" s="165">
        <f>DATE(22,7,1)</f>
        <v>8218</v>
      </c>
      <c r="C37" s="226">
        <v>3178065.75</v>
      </c>
      <c r="D37" s="226">
        <v>133554.04</v>
      </c>
      <c r="E37" s="226">
        <v>0</v>
      </c>
      <c r="F37" s="166">
        <v>1</v>
      </c>
      <c r="G37" s="241">
        <f aca="true" t="shared" si="0" ref="G37:G42">+D37/C37</f>
        <v>0.042023686891940484</v>
      </c>
      <c r="H37" s="289">
        <f aca="true" t="shared" si="1" ref="H37:H42">1-G37</f>
        <v>0.9579763131080595</v>
      </c>
    </row>
    <row r="38" spans="1:8" ht="15.75">
      <c r="A38" s="177"/>
      <c r="B38" s="165">
        <f>DATE(22,8,1)</f>
        <v>8249</v>
      </c>
      <c r="C38" s="226">
        <v>3240013.32</v>
      </c>
      <c r="D38" s="226">
        <v>183775.77</v>
      </c>
      <c r="E38" s="226">
        <v>0</v>
      </c>
      <c r="F38" s="166">
        <v>1</v>
      </c>
      <c r="G38" s="241">
        <f t="shared" si="0"/>
        <v>0.05672068348163457</v>
      </c>
      <c r="H38" s="289">
        <f t="shared" si="1"/>
        <v>0.9432793165183654</v>
      </c>
    </row>
    <row r="39" spans="1:8" ht="15.75">
      <c r="A39" s="177"/>
      <c r="B39" s="165">
        <f>DATE(22,9,1)</f>
        <v>8280</v>
      </c>
      <c r="C39" s="226">
        <v>3318547.55</v>
      </c>
      <c r="D39" s="226">
        <v>155342.66</v>
      </c>
      <c r="E39" s="226">
        <v>0</v>
      </c>
      <c r="F39" s="166">
        <v>1</v>
      </c>
      <c r="G39" s="241">
        <f t="shared" si="0"/>
        <v>0.04681043669240177</v>
      </c>
      <c r="H39" s="289">
        <f t="shared" si="1"/>
        <v>0.9531895633075982</v>
      </c>
    </row>
    <row r="40" spans="1:8" ht="15.75">
      <c r="A40" s="177"/>
      <c r="B40" s="165">
        <f>DATE(22,10,1)</f>
        <v>8310</v>
      </c>
      <c r="C40" s="226">
        <v>2155526.53</v>
      </c>
      <c r="D40" s="226">
        <v>95342.11</v>
      </c>
      <c r="E40" s="226">
        <v>0</v>
      </c>
      <c r="F40" s="166">
        <v>1</v>
      </c>
      <c r="G40" s="241">
        <f t="shared" si="0"/>
        <v>0.044231471370477636</v>
      </c>
      <c r="H40" s="289">
        <f t="shared" si="1"/>
        <v>0.9557685286295223</v>
      </c>
    </row>
    <row r="41" spans="1:8" ht="15.75">
      <c r="A41" s="177"/>
      <c r="B41" s="165">
        <f>DATE(22,11,1)</f>
        <v>8341</v>
      </c>
      <c r="C41" s="226">
        <v>2999410.04</v>
      </c>
      <c r="D41" s="226">
        <v>123201.53</v>
      </c>
      <c r="E41" s="226">
        <v>0</v>
      </c>
      <c r="F41" s="166">
        <v>1</v>
      </c>
      <c r="G41" s="241">
        <f t="shared" si="0"/>
        <v>0.0410752542523329</v>
      </c>
      <c r="H41" s="289">
        <f t="shared" si="1"/>
        <v>0.9589247457476671</v>
      </c>
    </row>
    <row r="42" spans="1:8" ht="15.75">
      <c r="A42" s="177"/>
      <c r="B42" s="165">
        <f>DATE(22,12,1)</f>
        <v>8371</v>
      </c>
      <c r="C42" s="226">
        <v>3500515.65</v>
      </c>
      <c r="D42" s="226">
        <v>124084.02</v>
      </c>
      <c r="E42" s="226">
        <v>0</v>
      </c>
      <c r="F42" s="166">
        <v>1</v>
      </c>
      <c r="G42" s="241">
        <f t="shared" si="0"/>
        <v>0.03544735473472316</v>
      </c>
      <c r="H42" s="289">
        <f t="shared" si="1"/>
        <v>0.9645526452652768</v>
      </c>
    </row>
    <row r="43" spans="1:8" ht="15.75" thickBot="1">
      <c r="A43" s="167"/>
      <c r="B43" s="168"/>
      <c r="C43" s="226"/>
      <c r="D43" s="226"/>
      <c r="E43" s="226"/>
      <c r="F43" s="166"/>
      <c r="G43" s="241"/>
      <c r="H43" s="242"/>
    </row>
    <row r="44" spans="1:8" ht="17.25" thickBot="1" thickTop="1">
      <c r="A44" s="174" t="s">
        <v>14</v>
      </c>
      <c r="B44" s="178"/>
      <c r="C44" s="228">
        <f>SUM(C37:C43)</f>
        <v>18392078.84</v>
      </c>
      <c r="D44" s="228">
        <f>SUM(D37:D43)</f>
        <v>815300.13</v>
      </c>
      <c r="E44" s="228">
        <f>SUM(E37:E43)</f>
        <v>0</v>
      </c>
      <c r="F44" s="176">
        <v>1</v>
      </c>
      <c r="G44" s="245">
        <f>+D44/C44</f>
        <v>0.044328873157440205</v>
      </c>
      <c r="H44" s="246">
        <f>1-G44</f>
        <v>0.9556711268425598</v>
      </c>
    </row>
    <row r="45" spans="1:8" ht="15.75" thickTop="1">
      <c r="A45" s="167"/>
      <c r="B45" s="168"/>
      <c r="C45" s="226"/>
      <c r="D45" s="226"/>
      <c r="E45" s="226"/>
      <c r="F45" s="166"/>
      <c r="G45" s="241"/>
      <c r="H45" s="242"/>
    </row>
    <row r="46" spans="1:8" ht="15.75">
      <c r="A46" s="164" t="s">
        <v>60</v>
      </c>
      <c r="B46" s="165">
        <f>DATE(22,7,1)</f>
        <v>8218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>
      <c r="A47" s="164"/>
      <c r="B47" s="165">
        <f>DATE(22,8,1)</f>
        <v>8249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>
      <c r="A48" s="164"/>
      <c r="B48" s="165">
        <f>DATE(22,9,1)</f>
        <v>8280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>
      <c r="A49" s="164"/>
      <c r="B49" s="165">
        <f>DATE(22,10,1)</f>
        <v>8310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>
      <c r="A50" s="164"/>
      <c r="B50" s="165">
        <f>DATE(22,11,1)</f>
        <v>8341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>
      <c r="A51" s="164"/>
      <c r="B51" s="165">
        <f>DATE(22,12,1)</f>
        <v>8371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thickBot="1">
      <c r="A52" s="167"/>
      <c r="B52" s="165"/>
      <c r="C52" s="226"/>
      <c r="D52" s="226"/>
      <c r="E52" s="226"/>
      <c r="F52" s="166"/>
      <c r="G52" s="241"/>
      <c r="H52" s="242"/>
    </row>
    <row r="53" spans="1:8" ht="17.25" thickBot="1" thickTop="1">
      <c r="A53" s="174" t="s">
        <v>14</v>
      </c>
      <c r="B53" s="175"/>
      <c r="C53" s="228">
        <f>SUM(C46:C52)</f>
        <v>0</v>
      </c>
      <c r="D53" s="230">
        <f>SUM(D46:D52)</f>
        <v>0</v>
      </c>
      <c r="E53" s="271">
        <f>SUM(E46:E52)</f>
        <v>0</v>
      </c>
      <c r="F53" s="176">
        <v>0</v>
      </c>
      <c r="G53" s="245">
        <v>0</v>
      </c>
      <c r="H53" s="246">
        <v>0</v>
      </c>
    </row>
    <row r="54" spans="1:8" ht="15.75" thickTop="1">
      <c r="A54" s="167"/>
      <c r="B54" s="168"/>
      <c r="C54" s="226"/>
      <c r="D54" s="226"/>
      <c r="E54" s="226"/>
      <c r="F54" s="166"/>
      <c r="G54" s="241"/>
      <c r="H54" s="242"/>
    </row>
    <row r="55" spans="1:8" ht="15.75">
      <c r="A55" s="164" t="s">
        <v>64</v>
      </c>
      <c r="B55" s="165">
        <f>DATE(22,7,1)</f>
        <v>8218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>
      <c r="A56" s="164"/>
      <c r="B56" s="165">
        <f>DATE(22,8,1)</f>
        <v>8249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>
      <c r="A57" s="164"/>
      <c r="B57" s="165">
        <f>DATE(22,9,1)</f>
        <v>8280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>
      <c r="A58" s="164"/>
      <c r="B58" s="165">
        <f>DATE(22,10,1)</f>
        <v>8310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>
      <c r="A59" s="164"/>
      <c r="B59" s="165">
        <f>DATE(22,11,1)</f>
        <v>8341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>
      <c r="A60" s="164"/>
      <c r="B60" s="165">
        <f>DATE(22,12,1)</f>
        <v>8371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thickBot="1">
      <c r="A61" s="167"/>
      <c r="B61" s="165"/>
      <c r="C61" s="226"/>
      <c r="D61" s="226"/>
      <c r="E61" s="226"/>
      <c r="F61" s="166"/>
      <c r="G61" s="241"/>
      <c r="H61" s="242"/>
    </row>
    <row r="62" spans="1:8" ht="17.25" thickBot="1" thickTop="1">
      <c r="A62" s="174" t="s">
        <v>14</v>
      </c>
      <c r="B62" s="175"/>
      <c r="C62" s="228">
        <f>SUM(C55:C61)</f>
        <v>0</v>
      </c>
      <c r="D62" s="230">
        <f>SUM(D55:D61)</f>
        <v>0</v>
      </c>
      <c r="E62" s="271">
        <f>SUM(E55:E61)</f>
        <v>0</v>
      </c>
      <c r="F62" s="176">
        <v>0</v>
      </c>
      <c r="G62" s="245">
        <v>0</v>
      </c>
      <c r="H62" s="246">
        <v>0</v>
      </c>
    </row>
    <row r="63" spans="1:8" ht="15.75" thickTop="1">
      <c r="A63" s="167"/>
      <c r="B63" s="168"/>
      <c r="C63" s="226"/>
      <c r="D63" s="226"/>
      <c r="E63" s="226"/>
      <c r="F63" s="166"/>
      <c r="G63" s="241"/>
      <c r="H63" s="242"/>
    </row>
    <row r="64" spans="1:8" ht="15.75">
      <c r="A64" s="164" t="s">
        <v>67</v>
      </c>
      <c r="B64" s="165">
        <f>DATE(22,7,1)</f>
        <v>8218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>
      <c r="A65" s="164"/>
      <c r="B65" s="165">
        <f>DATE(22,8,1)</f>
        <v>8249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>
      <c r="A66" s="164"/>
      <c r="B66" s="165">
        <f>DATE(22,9,1)</f>
        <v>8280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>
      <c r="A67" s="164"/>
      <c r="B67" s="165">
        <f>DATE(22,10,1)</f>
        <v>8310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>
      <c r="A68" s="164"/>
      <c r="B68" s="165">
        <f>DATE(22,11,1)</f>
        <v>8341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>
      <c r="A69" s="164"/>
      <c r="B69" s="165">
        <f>DATE(22,12,1)</f>
        <v>8371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thickBot="1">
      <c r="A70" s="167"/>
      <c r="B70" s="165"/>
      <c r="C70" s="226"/>
      <c r="D70" s="226"/>
      <c r="E70" s="226"/>
      <c r="F70" s="166"/>
      <c r="G70" s="241"/>
      <c r="H70" s="242"/>
    </row>
    <row r="71" spans="1:8" ht="17.25" thickBot="1" thickTop="1">
      <c r="A71" s="174" t="s">
        <v>14</v>
      </c>
      <c r="B71" s="175"/>
      <c r="C71" s="228">
        <f>SUM(C64:C70)</f>
        <v>0</v>
      </c>
      <c r="D71" s="230">
        <f>SUM(D64:D70)</f>
        <v>0</v>
      </c>
      <c r="E71" s="271">
        <f>SUM(E64:E70)</f>
        <v>0</v>
      </c>
      <c r="F71" s="176">
        <v>0</v>
      </c>
      <c r="G71" s="245">
        <v>0</v>
      </c>
      <c r="H71" s="246">
        <v>0</v>
      </c>
    </row>
    <row r="72" spans="1:8" ht="15.75" thickTop="1">
      <c r="A72" s="167"/>
      <c r="B72" s="168"/>
      <c r="C72" s="226"/>
      <c r="D72" s="226"/>
      <c r="E72" s="226"/>
      <c r="F72" s="166"/>
      <c r="G72" s="241"/>
      <c r="H72" s="242"/>
    </row>
    <row r="73" spans="1:8" ht="15.75">
      <c r="A73" s="164" t="s">
        <v>69</v>
      </c>
      <c r="B73" s="165">
        <f>DATE(22,7,1)</f>
        <v>8218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>
      <c r="A74" s="164"/>
      <c r="B74" s="165">
        <f>DATE(22,8,1)</f>
        <v>8249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>
      <c r="A75" s="164"/>
      <c r="B75" s="165">
        <f>DATE(22,9,1)</f>
        <v>8280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>
      <c r="A76" s="164"/>
      <c r="B76" s="165">
        <f>DATE(22,10,1)</f>
        <v>8310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>
      <c r="A77" s="164"/>
      <c r="B77" s="165">
        <f>DATE(22,11,1)</f>
        <v>8341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>
      <c r="A78" s="164"/>
      <c r="B78" s="165">
        <f>DATE(22,12,1)</f>
        <v>8371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thickBot="1">
      <c r="A79" s="167"/>
      <c r="B79" s="165"/>
      <c r="C79" s="226"/>
      <c r="D79" s="226"/>
      <c r="E79" s="226"/>
      <c r="F79" s="166"/>
      <c r="G79" s="241"/>
      <c r="H79" s="242"/>
    </row>
    <row r="80" spans="1:8" ht="17.25" thickBot="1" thickTop="1">
      <c r="A80" s="174" t="s">
        <v>14</v>
      </c>
      <c r="B80" s="175"/>
      <c r="C80" s="228">
        <f>SUM(C73:C79)</f>
        <v>0</v>
      </c>
      <c r="D80" s="230">
        <f>SUM(D73:D79)</f>
        <v>0</v>
      </c>
      <c r="E80" s="271">
        <f>SUM(E73:E79)</f>
        <v>0</v>
      </c>
      <c r="F80" s="176">
        <v>0</v>
      </c>
      <c r="G80" s="249">
        <v>0</v>
      </c>
      <c r="H80" s="270">
        <v>0</v>
      </c>
    </row>
    <row r="81" spans="1:8" ht="15.75" thickTop="1">
      <c r="A81" s="167"/>
      <c r="B81" s="179"/>
      <c r="C81" s="229"/>
      <c r="D81" s="229"/>
      <c r="E81" s="229"/>
      <c r="F81" s="180"/>
      <c r="G81" s="247"/>
      <c r="H81" s="248"/>
    </row>
    <row r="82" spans="1:8" ht="15.75">
      <c r="A82" s="164" t="s">
        <v>16</v>
      </c>
      <c r="B82" s="165">
        <f>DATE(22,7,1)</f>
        <v>8218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>
      <c r="A83" s="164"/>
      <c r="B83" s="165">
        <f>DATE(22,8,1)</f>
        <v>8249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>
      <c r="A84" s="164"/>
      <c r="B84" s="165">
        <f>DATE(22,9,1)</f>
        <v>8280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>
      <c r="A85" s="164"/>
      <c r="B85" s="165">
        <f>DATE(22,10,1)</f>
        <v>8310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>
      <c r="A86" s="164"/>
      <c r="B86" s="165">
        <f>DATE(22,11,1)</f>
        <v>8341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>
      <c r="A87" s="164"/>
      <c r="B87" s="165">
        <f>DATE(22,12,1)</f>
        <v>8371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6.5" thickBot="1">
      <c r="A88" s="164"/>
      <c r="B88" s="165"/>
      <c r="C88" s="226"/>
      <c r="D88" s="226"/>
      <c r="E88" s="226"/>
      <c r="F88" s="166"/>
      <c r="G88" s="241"/>
      <c r="H88" s="242"/>
    </row>
    <row r="89" spans="1:8" ht="17.25" thickBot="1" thickTop="1">
      <c r="A89" s="174" t="s">
        <v>14</v>
      </c>
      <c r="B89" s="181"/>
      <c r="C89" s="228">
        <f>SUM(C82:C88)</f>
        <v>0</v>
      </c>
      <c r="D89" s="228">
        <f>SUM(D82:D88)</f>
        <v>0</v>
      </c>
      <c r="E89" s="228">
        <f>SUM(E82:E88)</f>
        <v>0</v>
      </c>
      <c r="F89" s="176">
        <v>0</v>
      </c>
      <c r="G89" s="245">
        <v>0</v>
      </c>
      <c r="H89" s="246">
        <v>0</v>
      </c>
    </row>
    <row r="90" spans="1:8" ht="15.75" thickTop="1">
      <c r="A90" s="171"/>
      <c r="B90" s="172"/>
      <c r="C90" s="227"/>
      <c r="D90" s="227"/>
      <c r="E90" s="227"/>
      <c r="F90" s="173"/>
      <c r="G90" s="243"/>
      <c r="H90" s="244"/>
    </row>
    <row r="91" spans="1:8" ht="15.75">
      <c r="A91" s="164" t="s">
        <v>53</v>
      </c>
      <c r="B91" s="165">
        <f>DATE(22,7,1)</f>
        <v>8218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>
      <c r="A92" s="164"/>
      <c r="B92" s="165">
        <f>DATE(22,8,1)</f>
        <v>8249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>
      <c r="A93" s="164"/>
      <c r="B93" s="165">
        <f>DATE(22,9,1)</f>
        <v>8280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>
      <c r="A94" s="164"/>
      <c r="B94" s="165">
        <f>DATE(22,10,1)</f>
        <v>8310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>
      <c r="A95" s="164"/>
      <c r="B95" s="165">
        <f>DATE(22,11,1)</f>
        <v>8341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>
      <c r="A96" s="164"/>
      <c r="B96" s="165">
        <f>DATE(22,12,1)</f>
        <v>8371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thickBot="1">
      <c r="A97" s="167"/>
      <c r="B97" s="168"/>
      <c r="C97" s="226"/>
      <c r="D97" s="226"/>
      <c r="E97" s="226"/>
      <c r="F97" s="166"/>
      <c r="G97" s="241"/>
      <c r="H97" s="242"/>
    </row>
    <row r="98" spans="1:8" ht="17.25" thickBot="1" thickTop="1">
      <c r="A98" s="174" t="s">
        <v>14</v>
      </c>
      <c r="B98" s="175"/>
      <c r="C98" s="228">
        <f>SUM(C91:C97)</f>
        <v>0</v>
      </c>
      <c r="D98" s="228">
        <f>SUM(D91:D97)</f>
        <v>0</v>
      </c>
      <c r="E98" s="228">
        <f>SUM(E91:E97)</f>
        <v>0</v>
      </c>
      <c r="F98" s="176">
        <v>0</v>
      </c>
      <c r="G98" s="245">
        <v>0</v>
      </c>
      <c r="H98" s="246">
        <v>0</v>
      </c>
    </row>
    <row r="99" spans="1:8" ht="15.75" thickTop="1">
      <c r="A99" s="167"/>
      <c r="B99" s="168"/>
      <c r="C99" s="226"/>
      <c r="D99" s="226"/>
      <c r="E99" s="226"/>
      <c r="F99" s="166"/>
      <c r="G99" s="241"/>
      <c r="H99" s="242"/>
    </row>
    <row r="100" spans="1:8" ht="15.75">
      <c r="A100" s="164" t="s">
        <v>54</v>
      </c>
      <c r="B100" s="165">
        <f>DATE(22,7,1)</f>
        <v>8218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>
      <c r="A101" s="164"/>
      <c r="B101" s="165">
        <f>DATE(22,8,1)</f>
        <v>8249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>
      <c r="A102" s="164"/>
      <c r="B102" s="165">
        <f>DATE(22,9,1)</f>
        <v>8280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>
      <c r="A103" s="164"/>
      <c r="B103" s="165">
        <f>DATE(22,10,1)</f>
        <v>8310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>
      <c r="A104" s="164"/>
      <c r="B104" s="165">
        <f>DATE(22,11,1)</f>
        <v>8341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>
      <c r="A105" s="164"/>
      <c r="B105" s="165">
        <f>DATE(22,12,1)</f>
        <v>8371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thickBot="1">
      <c r="A106" s="167"/>
      <c r="B106" s="168"/>
      <c r="C106" s="226"/>
      <c r="D106" s="226"/>
      <c r="E106" s="226"/>
      <c r="F106" s="166"/>
      <c r="G106" s="241"/>
      <c r="H106" s="242"/>
    </row>
    <row r="107" spans="1:8" ht="17.25" thickBot="1" thickTop="1">
      <c r="A107" s="182" t="s">
        <v>14</v>
      </c>
      <c r="B107" s="183"/>
      <c r="C107" s="230">
        <f>SUM(C100:C106)</f>
        <v>0</v>
      </c>
      <c r="D107" s="230">
        <f>SUM(D100:D106)</f>
        <v>0</v>
      </c>
      <c r="E107" s="230">
        <f>SUM(E100:E106)</f>
        <v>0</v>
      </c>
      <c r="F107" s="176">
        <v>0</v>
      </c>
      <c r="G107" s="245">
        <v>0</v>
      </c>
      <c r="H107" s="246">
        <v>0</v>
      </c>
    </row>
    <row r="108" spans="1:8" ht="15.75" thickTop="1">
      <c r="A108" s="167"/>
      <c r="B108" s="168"/>
      <c r="C108" s="226"/>
      <c r="D108" s="226"/>
      <c r="E108" s="226"/>
      <c r="F108" s="166"/>
      <c r="G108" s="241"/>
      <c r="H108" s="242"/>
    </row>
    <row r="109" spans="1:8" ht="15.75">
      <c r="A109" s="164" t="s">
        <v>37</v>
      </c>
      <c r="B109" s="165">
        <f>DATE(22,7,1)</f>
        <v>8218</v>
      </c>
      <c r="C109" s="226">
        <v>5095922.64</v>
      </c>
      <c r="D109" s="226">
        <v>215844.68</v>
      </c>
      <c r="E109" s="226">
        <v>209181.95</v>
      </c>
      <c r="F109" s="166">
        <f aca="true" t="shared" si="2" ref="F109:F114">+(D109-E109)/E109</f>
        <v>0.03185136193634289</v>
      </c>
      <c r="G109" s="241">
        <f aca="true" t="shared" si="3" ref="G109:G114">+D109/C109</f>
        <v>0.042356349428412834</v>
      </c>
      <c r="H109" s="289">
        <f aca="true" t="shared" si="4" ref="H109:H114">1-G109</f>
        <v>0.9576436505715872</v>
      </c>
    </row>
    <row r="110" spans="1:8" ht="15.75">
      <c r="A110" s="164"/>
      <c r="B110" s="165">
        <f>DATE(22,8,1)</f>
        <v>8249</v>
      </c>
      <c r="C110" s="226">
        <v>4684772.5</v>
      </c>
      <c r="D110" s="226">
        <v>222475.66</v>
      </c>
      <c r="E110" s="226">
        <v>126701.54</v>
      </c>
      <c r="F110" s="166">
        <f t="shared" si="2"/>
        <v>0.7559033615534587</v>
      </c>
      <c r="G110" s="241">
        <f t="shared" si="3"/>
        <v>0.047489106461413015</v>
      </c>
      <c r="H110" s="289">
        <f t="shared" si="4"/>
        <v>0.952510893538587</v>
      </c>
    </row>
    <row r="111" spans="1:8" ht="15.75">
      <c r="A111" s="164"/>
      <c r="B111" s="165">
        <f>DATE(22,9,1)</f>
        <v>8280</v>
      </c>
      <c r="C111" s="226">
        <v>4372547.5</v>
      </c>
      <c r="D111" s="226">
        <v>213180.35</v>
      </c>
      <c r="E111" s="226">
        <v>145306.89</v>
      </c>
      <c r="F111" s="166">
        <f t="shared" si="2"/>
        <v>0.46710420958015125</v>
      </c>
      <c r="G111" s="241">
        <f t="shared" si="3"/>
        <v>0.048754267392178134</v>
      </c>
      <c r="H111" s="289">
        <f t="shared" si="4"/>
        <v>0.9512457326078219</v>
      </c>
    </row>
    <row r="112" spans="1:8" ht="15.75">
      <c r="A112" s="164"/>
      <c r="B112" s="165">
        <f>DATE(22,10,1)</f>
        <v>8310</v>
      </c>
      <c r="C112" s="226">
        <v>4954774</v>
      </c>
      <c r="D112" s="226">
        <v>197241.83</v>
      </c>
      <c r="E112" s="226">
        <v>179665.17</v>
      </c>
      <c r="F112" s="166">
        <f t="shared" si="2"/>
        <v>0.09783009138610435</v>
      </c>
      <c r="G112" s="241">
        <f t="shared" si="3"/>
        <v>0.03980844131336767</v>
      </c>
      <c r="H112" s="289">
        <f t="shared" si="4"/>
        <v>0.9601915586866323</v>
      </c>
    </row>
    <row r="113" spans="1:8" ht="15.75">
      <c r="A113" s="164"/>
      <c r="B113" s="165">
        <f>DATE(22,11,1)</f>
        <v>8341</v>
      </c>
      <c r="C113" s="226">
        <v>3855288</v>
      </c>
      <c r="D113" s="226">
        <v>191836.78</v>
      </c>
      <c r="E113" s="226">
        <v>200635.43</v>
      </c>
      <c r="F113" s="166">
        <f t="shared" si="2"/>
        <v>-0.04385391951959828</v>
      </c>
      <c r="G113" s="241">
        <f t="shared" si="3"/>
        <v>0.049759390219355853</v>
      </c>
      <c r="H113" s="289">
        <f t="shared" si="4"/>
        <v>0.9502406097806442</v>
      </c>
    </row>
    <row r="114" spans="1:8" ht="15.75">
      <c r="A114" s="164"/>
      <c r="B114" s="165">
        <f>DATE(22,12,1)</f>
        <v>8371</v>
      </c>
      <c r="C114" s="226">
        <v>4154017.5</v>
      </c>
      <c r="D114" s="226">
        <v>198418.76</v>
      </c>
      <c r="E114" s="226">
        <v>258639.24</v>
      </c>
      <c r="F114" s="166">
        <f t="shared" si="2"/>
        <v>-0.2328358218188392</v>
      </c>
      <c r="G114" s="241">
        <f t="shared" si="3"/>
        <v>0.04776550893201582</v>
      </c>
      <c r="H114" s="289">
        <f t="shared" si="4"/>
        <v>0.9522344910679842</v>
      </c>
    </row>
    <row r="115" spans="1:8" ht="15.75" thickBot="1">
      <c r="A115" s="167"/>
      <c r="B115" s="168"/>
      <c r="C115" s="226"/>
      <c r="D115" s="226"/>
      <c r="E115" s="226"/>
      <c r="F115" s="166"/>
      <c r="G115" s="241"/>
      <c r="H115" s="242"/>
    </row>
    <row r="116" spans="1:8" ht="17.25" thickBot="1" thickTop="1">
      <c r="A116" s="174" t="s">
        <v>14</v>
      </c>
      <c r="B116" s="175"/>
      <c r="C116" s="228">
        <f>SUM(C109:C115)</f>
        <v>27117322.14</v>
      </c>
      <c r="D116" s="228">
        <f>SUM(D109:D115)</f>
        <v>1238998.06</v>
      </c>
      <c r="E116" s="228">
        <f>SUM(E109:E115)</f>
        <v>1120130.22</v>
      </c>
      <c r="F116" s="176">
        <f>+(D116-E116)/E116</f>
        <v>0.10611966169433415</v>
      </c>
      <c r="G116" s="245">
        <f>+D116/C116</f>
        <v>0.04569028068492017</v>
      </c>
      <c r="H116" s="246">
        <f>1-G116</f>
        <v>0.9543097193150798</v>
      </c>
    </row>
    <row r="117" spans="1:8" ht="15.75" thickTop="1">
      <c r="A117" s="167"/>
      <c r="B117" s="168"/>
      <c r="C117" s="226"/>
      <c r="D117" s="226"/>
      <c r="E117" s="226"/>
      <c r="F117" s="166"/>
      <c r="G117" s="241"/>
      <c r="H117" s="242"/>
    </row>
    <row r="118" spans="1:8" ht="15.75">
      <c r="A118" s="164" t="s">
        <v>57</v>
      </c>
      <c r="B118" s="165">
        <f>DATE(22,7,1)</f>
        <v>8218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>
      <c r="A119" s="164"/>
      <c r="B119" s="165">
        <f>DATE(22,8,1)</f>
        <v>8249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>
      <c r="A120" s="164"/>
      <c r="B120" s="165">
        <f>DATE(22,9,1)</f>
        <v>8280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>
      <c r="A121" s="164"/>
      <c r="B121" s="165">
        <f>DATE(22,10,1)</f>
        <v>8310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>
      <c r="A122" s="164"/>
      <c r="B122" s="165">
        <f>DATE(22,11,1)</f>
        <v>8341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>
      <c r="A123" s="164"/>
      <c r="B123" s="165">
        <f>DATE(22,12,1)</f>
        <v>8371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thickBot="1">
      <c r="A124" s="167"/>
      <c r="B124" s="168"/>
      <c r="C124" s="226"/>
      <c r="D124" s="226"/>
      <c r="E124" s="226"/>
      <c r="F124" s="166"/>
      <c r="G124" s="241"/>
      <c r="H124" s="242"/>
    </row>
    <row r="125" spans="1:8" ht="17.25" thickBot="1" thickTop="1">
      <c r="A125" s="169" t="s">
        <v>14</v>
      </c>
      <c r="B125" s="155"/>
      <c r="C125" s="223">
        <f>SUM(C118:C124)</f>
        <v>0</v>
      </c>
      <c r="D125" s="223">
        <f>SUM(D118:D124)</f>
        <v>0</v>
      </c>
      <c r="E125" s="223">
        <f>SUM(E118:E124)</f>
        <v>0</v>
      </c>
      <c r="F125" s="176">
        <v>0</v>
      </c>
      <c r="G125" s="245">
        <v>0</v>
      </c>
      <c r="H125" s="246">
        <v>0</v>
      </c>
    </row>
    <row r="126" spans="1:8" ht="16.5" thickBot="1" thickTop="1">
      <c r="A126" s="171"/>
      <c r="B126" s="172"/>
      <c r="C126" s="227"/>
      <c r="D126" s="227"/>
      <c r="E126" s="227"/>
      <c r="F126" s="173"/>
      <c r="G126" s="243"/>
      <c r="H126" s="244"/>
    </row>
    <row r="127" spans="1:8" ht="17.25" thickBot="1" thickTop="1">
      <c r="A127" s="184" t="s">
        <v>38</v>
      </c>
      <c r="B127" s="155"/>
      <c r="C127" s="223">
        <f>C125+C116+C89+C71+C53+C35+C17+C44+C107+C26+C80+C98+C62</f>
        <v>55730133.519999996</v>
      </c>
      <c r="D127" s="223">
        <f>D125+D116+D89+D71+D53+D35+D17+D44+D107+D26+D80+D98+D62</f>
        <v>2561068.48</v>
      </c>
      <c r="E127" s="223">
        <f>E125+E116+E89+E71+E53+E35+E17+E44+E107+E26+E80+E98+E62</f>
        <v>1261426.8399999999</v>
      </c>
      <c r="F127" s="176">
        <f>+(D127-E127)/E127</f>
        <v>1.030294900019727</v>
      </c>
      <c r="G127" s="236">
        <f>D127/C127</f>
        <v>0.045954824046508046</v>
      </c>
      <c r="H127" s="237">
        <f>1-G127</f>
        <v>0.9540451759534919</v>
      </c>
    </row>
    <row r="128" spans="1:8" ht="17.25" thickBot="1" thickTop="1">
      <c r="A128" s="184"/>
      <c r="B128" s="155"/>
      <c r="C128" s="223"/>
      <c r="D128" s="223"/>
      <c r="E128" s="223"/>
      <c r="F128" s="170"/>
      <c r="G128" s="236"/>
      <c r="H128" s="237"/>
    </row>
    <row r="129" spans="1:8" ht="17.25" thickBot="1" thickTop="1">
      <c r="A129" s="184" t="s">
        <v>39</v>
      </c>
      <c r="B129" s="155"/>
      <c r="C129" s="223">
        <f>+C15+C24+C33+C42+C51+C60+C69+C78+C87+C96+C105+C114+C123</f>
        <v>7654533.15</v>
      </c>
      <c r="D129" s="223">
        <f>+D15+D24+D33+D42+D51+D60+D69+D78+D87+D96+D105+D114+D123</f>
        <v>322502.78</v>
      </c>
      <c r="E129" s="223">
        <f>+E15+E24+E33+E42+E51+E60+E69+E78+E87+E96+E105+E114+E123</f>
        <v>348834.82999999996</v>
      </c>
      <c r="F129" s="176">
        <f>+(D129-E129)/E129</f>
        <v>-0.07548572486296719</v>
      </c>
      <c r="G129" s="236">
        <f>D129/C129</f>
        <v>0.04213225988837739</v>
      </c>
      <c r="H129" s="246">
        <f>1-G129</f>
        <v>0.9578677401116226</v>
      </c>
    </row>
    <row r="130" spans="1:8" ht="16.5" thickTop="1">
      <c r="A130" s="185"/>
      <c r="B130" s="186"/>
      <c r="C130" s="231"/>
      <c r="D130" s="231"/>
      <c r="E130" s="231"/>
      <c r="F130" s="187"/>
      <c r="G130" s="250"/>
      <c r="H130" s="250"/>
    </row>
    <row r="131" spans="1:8" ht="18.75">
      <c r="A131" s="188" t="s">
        <v>49</v>
      </c>
      <c r="B131" s="189"/>
      <c r="C131" s="232"/>
      <c r="D131" s="232"/>
      <c r="E131" s="232"/>
      <c r="F131" s="190"/>
      <c r="G131" s="251"/>
      <c r="H131" s="251"/>
    </row>
    <row r="132" spans="1:8" ht="15.75">
      <c r="A132" s="191"/>
      <c r="B132" s="189"/>
      <c r="C132" s="232"/>
      <c r="D132" s="232"/>
      <c r="E132" s="232"/>
      <c r="F132" s="190"/>
      <c r="G132" s="257"/>
      <c r="H132" s="257"/>
    </row>
  </sheetData>
  <sheetProtection/>
  <printOptions horizontalCentered="1"/>
  <pageMargins left="0.7" right="0.45" top="0.25" bottom="0.25" header="0.3" footer="0.3"/>
  <pageSetup horizontalDpi="600" verticalDpi="600" orientation="landscape" scale="64" r:id="rId1"/>
  <rowBreaks count="2" manualBreakCount="2">
    <brk id="53" max="255" man="1"/>
    <brk id="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 aca="true" t="shared" si="0" ref="F10:F15">(+D10-E10)/E10</f>
        <v>-0.050274622998703784</v>
      </c>
      <c r="G10" s="241">
        <f aca="true" t="shared" si="1" ref="G10:G15">D10/C10</f>
        <v>0.09543807894024711</v>
      </c>
      <c r="H10" s="242">
        <f aca="true" t="shared" si="2" ref="H10:H15">1-G10</f>
        <v>0.9045619210597529</v>
      </c>
      <c r="I10" s="157"/>
    </row>
    <row r="11" spans="1:9" ht="15.75">
      <c r="A11" s="164"/>
      <c r="B11" s="165">
        <f>DATE(22,8,1)</f>
        <v>8249</v>
      </c>
      <c r="C11" s="226">
        <v>124862515.53</v>
      </c>
      <c r="D11" s="226">
        <v>11827521.81</v>
      </c>
      <c r="E11" s="226">
        <v>12571995.62</v>
      </c>
      <c r="F11" s="166">
        <f t="shared" si="0"/>
        <v>-0.05921683657093087</v>
      </c>
      <c r="G11" s="241">
        <f t="shared" si="1"/>
        <v>0.09472435950690317</v>
      </c>
      <c r="H11" s="242">
        <f t="shared" si="2"/>
        <v>0.9052756404930968</v>
      </c>
      <c r="I11" s="157"/>
    </row>
    <row r="12" spans="1:9" ht="15.75">
      <c r="A12" s="164"/>
      <c r="B12" s="165">
        <f>DATE(22,9,1)</f>
        <v>8280</v>
      </c>
      <c r="C12" s="226">
        <v>120845603.62</v>
      </c>
      <c r="D12" s="226">
        <v>11779242.13</v>
      </c>
      <c r="E12" s="226">
        <v>11932276.22</v>
      </c>
      <c r="F12" s="166">
        <f t="shared" si="0"/>
        <v>-0.012825221875395023</v>
      </c>
      <c r="G12" s="241">
        <f t="shared" si="1"/>
        <v>0.09747348498535309</v>
      </c>
      <c r="H12" s="242">
        <f t="shared" si="2"/>
        <v>0.9025265150146469</v>
      </c>
      <c r="I12" s="157"/>
    </row>
    <row r="13" spans="1:9" ht="15.7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 t="shared" si="0"/>
        <v>-0.0598119061606977</v>
      </c>
      <c r="G13" s="241">
        <f t="shared" si="1"/>
        <v>0.09629289624789654</v>
      </c>
      <c r="H13" s="242">
        <f t="shared" si="2"/>
        <v>0.9037071037521035</v>
      </c>
      <c r="I13" s="157"/>
    </row>
    <row r="14" spans="1:9" ht="15.75">
      <c r="A14" s="164"/>
      <c r="B14" s="165">
        <f>DATE(22,11,1)</f>
        <v>8341</v>
      </c>
      <c r="C14" s="226">
        <v>116767090.33</v>
      </c>
      <c r="D14" s="226">
        <v>10518258.62</v>
      </c>
      <c r="E14" s="226">
        <v>11228260.11</v>
      </c>
      <c r="F14" s="166">
        <f t="shared" si="0"/>
        <v>-0.06323343804332301</v>
      </c>
      <c r="G14" s="241">
        <f t="shared" si="1"/>
        <v>0.09007896480313024</v>
      </c>
      <c r="H14" s="242">
        <f t="shared" si="2"/>
        <v>0.9099210351968697</v>
      </c>
      <c r="I14" s="157"/>
    </row>
    <row r="15" spans="1:9" ht="15.75">
      <c r="A15" s="164"/>
      <c r="B15" s="165">
        <f>DATE(22,12,1)</f>
        <v>8371</v>
      </c>
      <c r="C15" s="226">
        <v>124025911.41</v>
      </c>
      <c r="D15" s="226">
        <v>11200076.72</v>
      </c>
      <c r="E15" s="226">
        <v>12242955.61</v>
      </c>
      <c r="F15" s="166">
        <f t="shared" si="0"/>
        <v>-0.08518195468651207</v>
      </c>
      <c r="G15" s="241">
        <f t="shared" si="1"/>
        <v>0.09030432909277503</v>
      </c>
      <c r="H15" s="242">
        <f t="shared" si="2"/>
        <v>0.909695670907225</v>
      </c>
      <c r="I15" s="157"/>
    </row>
    <row r="16" spans="1:9" ht="15.75" thickBot="1">
      <c r="A16" s="167"/>
      <c r="B16" s="168"/>
      <c r="C16" s="226"/>
      <c r="D16" s="226"/>
      <c r="E16" s="226"/>
      <c r="F16" s="166"/>
      <c r="G16" s="241"/>
      <c r="H16" s="242"/>
      <c r="I16" s="157"/>
    </row>
    <row r="17" spans="1:9" ht="17.25" thickBot="1" thickTop="1">
      <c r="A17" s="169" t="s">
        <v>14</v>
      </c>
      <c r="B17" s="155"/>
      <c r="C17" s="223">
        <f>SUM(C10:C16)</f>
        <v>744166175.87</v>
      </c>
      <c r="D17" s="223">
        <f>SUM(D10:D16)</f>
        <v>70021256.23</v>
      </c>
      <c r="E17" s="223">
        <f>SUM(E10:E16)</f>
        <v>74105413.02</v>
      </c>
      <c r="F17" s="170">
        <f>(+D17-E17)/E17</f>
        <v>-0.05511279977479831</v>
      </c>
      <c r="G17" s="236">
        <f>D17/C17</f>
        <v>0.09409357546805805</v>
      </c>
      <c r="H17" s="237">
        <f>1-G17</f>
        <v>0.9059064245319419</v>
      </c>
      <c r="I17" s="157"/>
    </row>
    <row r="18" spans="1:9" ht="15.75" thickTop="1">
      <c r="A18" s="171"/>
      <c r="B18" s="172"/>
      <c r="C18" s="227"/>
      <c r="D18" s="227"/>
      <c r="E18" s="227"/>
      <c r="F18" s="173"/>
      <c r="G18" s="243"/>
      <c r="H18" s="244"/>
      <c r="I18" s="157"/>
    </row>
    <row r="19" spans="1:9" ht="15.75">
      <c r="A19" s="19" t="s">
        <v>48</v>
      </c>
      <c r="B19" s="165">
        <f>DATE(22,7,1)</f>
        <v>8218</v>
      </c>
      <c r="C19" s="226">
        <v>76496067.98</v>
      </c>
      <c r="D19" s="226">
        <v>7757914.71</v>
      </c>
      <c r="E19" s="226">
        <v>7305624.15</v>
      </c>
      <c r="F19" s="166">
        <f aca="true" t="shared" si="3" ref="F19:F24">(+D19-E19)/E19</f>
        <v>0.06190991361087191</v>
      </c>
      <c r="G19" s="241">
        <f aca="true" t="shared" si="4" ref="G19:G24">D19/C19</f>
        <v>0.10141586247319688</v>
      </c>
      <c r="H19" s="242">
        <f aca="true" t="shared" si="5" ref="H19:H24">1-G19</f>
        <v>0.8985841375268031</v>
      </c>
      <c r="I19" s="157"/>
    </row>
    <row r="20" spans="1:9" ht="15.75">
      <c r="A20" s="19"/>
      <c r="B20" s="165">
        <f>DATE(22,8,1)</f>
        <v>8249</v>
      </c>
      <c r="C20" s="226">
        <v>71699704.19</v>
      </c>
      <c r="D20" s="226">
        <v>6870200.03</v>
      </c>
      <c r="E20" s="226">
        <v>6574172.11</v>
      </c>
      <c r="F20" s="166">
        <f t="shared" si="3"/>
        <v>0.04502892760439153</v>
      </c>
      <c r="G20" s="241">
        <f t="shared" si="4"/>
        <v>0.09581908471748188</v>
      </c>
      <c r="H20" s="242">
        <f t="shared" si="5"/>
        <v>0.9041809152825181</v>
      </c>
      <c r="I20" s="157"/>
    </row>
    <row r="21" spans="1:9" ht="15.75">
      <c r="A21" s="19"/>
      <c r="B21" s="165">
        <f>DATE(22,9,1)</f>
        <v>8280</v>
      </c>
      <c r="C21" s="226">
        <v>72118161.13</v>
      </c>
      <c r="D21" s="226">
        <v>7013550.54</v>
      </c>
      <c r="E21" s="226">
        <v>6771046.11</v>
      </c>
      <c r="F21" s="166">
        <f t="shared" si="3"/>
        <v>0.03581491339157336</v>
      </c>
      <c r="G21" s="241">
        <f t="shared" si="4"/>
        <v>0.09725082323379534</v>
      </c>
      <c r="H21" s="242">
        <f t="shared" si="5"/>
        <v>0.9027491767662047</v>
      </c>
      <c r="I21" s="157"/>
    </row>
    <row r="22" spans="1:9" ht="15.75">
      <c r="A22" s="19"/>
      <c r="B22" s="165">
        <f>DATE(22,10,1)</f>
        <v>8310</v>
      </c>
      <c r="C22" s="226">
        <v>69505120.64</v>
      </c>
      <c r="D22" s="226">
        <v>6793373.34</v>
      </c>
      <c r="E22" s="226">
        <v>7189129.76</v>
      </c>
      <c r="F22" s="166">
        <f t="shared" si="3"/>
        <v>-0.05504928040135972</v>
      </c>
      <c r="G22" s="241">
        <f t="shared" si="4"/>
        <v>0.09773917773894823</v>
      </c>
      <c r="H22" s="242">
        <f t="shared" si="5"/>
        <v>0.9022608222610518</v>
      </c>
      <c r="I22" s="157"/>
    </row>
    <row r="23" spans="1:9" ht="15.75">
      <c r="A23" s="19"/>
      <c r="B23" s="165">
        <f>DATE(22,11,1)</f>
        <v>8341</v>
      </c>
      <c r="C23" s="226">
        <v>63859122.32</v>
      </c>
      <c r="D23" s="226">
        <v>6317939.56</v>
      </c>
      <c r="E23" s="226">
        <v>6088324.14</v>
      </c>
      <c r="F23" s="166">
        <f t="shared" si="3"/>
        <v>0.037714059685396435</v>
      </c>
      <c r="G23" s="241">
        <f t="shared" si="4"/>
        <v>0.09893558399284934</v>
      </c>
      <c r="H23" s="242">
        <f t="shared" si="5"/>
        <v>0.9010644160071507</v>
      </c>
      <c r="I23" s="157"/>
    </row>
    <row r="24" spans="1:9" ht="15.75">
      <c r="A24" s="19"/>
      <c r="B24" s="165">
        <f>DATE(22,12,1)</f>
        <v>8371</v>
      </c>
      <c r="C24" s="226">
        <v>67796886.08</v>
      </c>
      <c r="D24" s="226">
        <v>6662914.52</v>
      </c>
      <c r="E24" s="226">
        <v>6682194.9</v>
      </c>
      <c r="F24" s="166">
        <f t="shared" si="3"/>
        <v>-0.0028853363735321185</v>
      </c>
      <c r="G24" s="241">
        <f t="shared" si="4"/>
        <v>0.09827758921166073</v>
      </c>
      <c r="H24" s="242">
        <f t="shared" si="5"/>
        <v>0.9017224107883393</v>
      </c>
      <c r="I24" s="157"/>
    </row>
    <row r="25" spans="1:9" ht="15.75" thickBot="1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Bot="1" thickTop="1">
      <c r="A26" s="169" t="s">
        <v>14</v>
      </c>
      <c r="B26" s="155"/>
      <c r="C26" s="223">
        <f>SUM(C19:C25)</f>
        <v>421475062.34</v>
      </c>
      <c r="D26" s="223">
        <f>SUM(D19:D25)</f>
        <v>41415892.7</v>
      </c>
      <c r="E26" s="223">
        <f>SUM(E19:E25)</f>
        <v>40610491.17</v>
      </c>
      <c r="F26" s="170">
        <f>(+D26-E26)/E26</f>
        <v>0.01983235136527902</v>
      </c>
      <c r="G26" s="236">
        <f>D26/C26</f>
        <v>0.0982641593788773</v>
      </c>
      <c r="H26" s="237">
        <f>1-G26</f>
        <v>0.9017358406211227</v>
      </c>
      <c r="I26" s="157"/>
    </row>
    <row r="27" spans="1:9" ht="15.75" thickTop="1">
      <c r="A27" s="171"/>
      <c r="B27" s="172"/>
      <c r="C27" s="227"/>
      <c r="D27" s="227"/>
      <c r="E27" s="227"/>
      <c r="F27" s="173"/>
      <c r="G27" s="243"/>
      <c r="H27" s="244"/>
      <c r="I27" s="157"/>
    </row>
    <row r="28" spans="1:9" ht="15.75">
      <c r="A28" s="19" t="s">
        <v>62</v>
      </c>
      <c r="B28" s="165">
        <f>DATE(22,7,1)</f>
        <v>8218</v>
      </c>
      <c r="C28" s="226">
        <v>35430502.56</v>
      </c>
      <c r="D28" s="226">
        <v>3537425.2</v>
      </c>
      <c r="E28" s="226">
        <v>4179858.95</v>
      </c>
      <c r="F28" s="166">
        <f aca="true" t="shared" si="6" ref="F28:F33">(+D28-E28)/E28</f>
        <v>-0.1536974710594002</v>
      </c>
      <c r="G28" s="241">
        <f aca="true" t="shared" si="7" ref="G28:G33">D28/C28</f>
        <v>0.09984123691188194</v>
      </c>
      <c r="H28" s="242">
        <f aca="true" t="shared" si="8" ref="H28:H33">1-G28</f>
        <v>0.900158763088118</v>
      </c>
      <c r="I28" s="157"/>
    </row>
    <row r="29" spans="1:9" ht="15.75">
      <c r="A29" s="19"/>
      <c r="B29" s="165">
        <f>DATE(22,8,1)</f>
        <v>8249</v>
      </c>
      <c r="C29" s="226">
        <v>31830509.12</v>
      </c>
      <c r="D29" s="226">
        <v>3224518.01</v>
      </c>
      <c r="E29" s="226">
        <v>3554355.99</v>
      </c>
      <c r="F29" s="166">
        <f t="shared" si="6"/>
        <v>-0.09279823994219567</v>
      </c>
      <c r="G29" s="241">
        <f t="shared" si="7"/>
        <v>0.1013027469288559</v>
      </c>
      <c r="H29" s="242">
        <f t="shared" si="8"/>
        <v>0.8986972530711441</v>
      </c>
      <c r="I29" s="157"/>
    </row>
    <row r="30" spans="1:9" ht="15.75">
      <c r="A30" s="19"/>
      <c r="B30" s="165">
        <f>DATE(22,9,1)</f>
        <v>8280</v>
      </c>
      <c r="C30" s="226">
        <v>31336078.07</v>
      </c>
      <c r="D30" s="226">
        <v>3285954.25</v>
      </c>
      <c r="E30" s="226">
        <v>3815155.29</v>
      </c>
      <c r="F30" s="166">
        <f t="shared" si="6"/>
        <v>-0.13871022272333247</v>
      </c>
      <c r="G30" s="241">
        <f t="shared" si="7"/>
        <v>0.10486169464665238</v>
      </c>
      <c r="H30" s="242">
        <f t="shared" si="8"/>
        <v>0.8951383053533476</v>
      </c>
      <c r="I30" s="157"/>
    </row>
    <row r="31" spans="1:9" ht="15.75">
      <c r="A31" s="19"/>
      <c r="B31" s="165">
        <f>DATE(22,10,1)</f>
        <v>8310</v>
      </c>
      <c r="C31" s="226">
        <v>31389480.81</v>
      </c>
      <c r="D31" s="226">
        <v>3155435.74</v>
      </c>
      <c r="E31" s="226">
        <v>3758784.61</v>
      </c>
      <c r="F31" s="166">
        <f t="shared" si="6"/>
        <v>-0.1605170108430341</v>
      </c>
      <c r="G31" s="241">
        <f t="shared" si="7"/>
        <v>0.10052526064702376</v>
      </c>
      <c r="H31" s="242">
        <f t="shared" si="8"/>
        <v>0.8994747393529763</v>
      </c>
      <c r="I31" s="157"/>
    </row>
    <row r="32" spans="1:9" ht="15.75">
      <c r="A32" s="19"/>
      <c r="B32" s="165">
        <f>DATE(22,11,1)</f>
        <v>8341</v>
      </c>
      <c r="C32" s="226">
        <v>26208826.05</v>
      </c>
      <c r="D32" s="226">
        <v>2805588.39</v>
      </c>
      <c r="E32" s="226">
        <v>3347078.48</v>
      </c>
      <c r="F32" s="166">
        <f t="shared" si="6"/>
        <v>-0.16177992037999656</v>
      </c>
      <c r="G32" s="241">
        <f t="shared" si="7"/>
        <v>0.10704746502753029</v>
      </c>
      <c r="H32" s="242">
        <f t="shared" si="8"/>
        <v>0.8929525349724697</v>
      </c>
      <c r="I32" s="157"/>
    </row>
    <row r="33" spans="1:9" ht="15.75">
      <c r="A33" s="19"/>
      <c r="B33" s="165">
        <f>DATE(22,12,1)</f>
        <v>8371</v>
      </c>
      <c r="C33" s="226">
        <v>26575799.63</v>
      </c>
      <c r="D33" s="226">
        <v>2840105.54</v>
      </c>
      <c r="E33" s="226">
        <v>3599731.36</v>
      </c>
      <c r="F33" s="166">
        <f t="shared" si="6"/>
        <v>-0.2110229192213943</v>
      </c>
      <c r="G33" s="241">
        <f t="shared" si="7"/>
        <v>0.10686811232554436</v>
      </c>
      <c r="H33" s="242">
        <f t="shared" si="8"/>
        <v>0.8931318876744556</v>
      </c>
      <c r="I33" s="157"/>
    </row>
    <row r="34" spans="1:9" ht="15.75" thickBot="1">
      <c r="A34" s="167"/>
      <c r="B34" s="165"/>
      <c r="C34" s="226"/>
      <c r="D34" s="226"/>
      <c r="E34" s="226"/>
      <c r="F34" s="166"/>
      <c r="G34" s="241"/>
      <c r="H34" s="242"/>
      <c r="I34" s="157"/>
    </row>
    <row r="35" spans="1:9" ht="17.25" thickBot="1" thickTop="1">
      <c r="A35" s="174" t="s">
        <v>14</v>
      </c>
      <c r="B35" s="175"/>
      <c r="C35" s="228">
        <f>SUM(C28:C34)</f>
        <v>182771196.24</v>
      </c>
      <c r="D35" s="228">
        <f>SUM(D28:D34)</f>
        <v>18849027.130000003</v>
      </c>
      <c r="E35" s="228">
        <f>SUM(E28:E34)</f>
        <v>22254964.68</v>
      </c>
      <c r="F35" s="176">
        <f>(+D35-E35)/E35</f>
        <v>-0.15304169649214636</v>
      </c>
      <c r="G35" s="245">
        <f>D35/C35</f>
        <v>0.10312908991003714</v>
      </c>
      <c r="H35" s="246">
        <f>1-G35</f>
        <v>0.8968709100899629</v>
      </c>
      <c r="I35" s="157"/>
    </row>
    <row r="36" spans="1:9" ht="15.75" thickTop="1">
      <c r="A36" s="167"/>
      <c r="B36" s="168"/>
      <c r="C36" s="226"/>
      <c r="D36" s="226"/>
      <c r="E36" s="226"/>
      <c r="F36" s="166"/>
      <c r="G36" s="241"/>
      <c r="H36" s="242"/>
      <c r="I36" s="157"/>
    </row>
    <row r="37" spans="1:9" ht="15.75">
      <c r="A37" s="177" t="s">
        <v>58</v>
      </c>
      <c r="B37" s="165">
        <f>DATE(22,7,1)</f>
        <v>8218</v>
      </c>
      <c r="C37" s="226">
        <v>201538093.35</v>
      </c>
      <c r="D37" s="226">
        <v>17880290.2</v>
      </c>
      <c r="E37" s="226">
        <v>16788708.57</v>
      </c>
      <c r="F37" s="166">
        <f aca="true" t="shared" si="9" ref="F37:F42">(+D37-E37)/E37</f>
        <v>0.06501879673762179</v>
      </c>
      <c r="G37" s="241">
        <f aca="true" t="shared" si="10" ref="G37:G42">D37/C37</f>
        <v>0.08871915925565642</v>
      </c>
      <c r="H37" s="242">
        <f aca="true" t="shared" si="11" ref="H37:H42">1-G37</f>
        <v>0.9112808407443436</v>
      </c>
      <c r="I37" s="157"/>
    </row>
    <row r="38" spans="1:9" ht="15.75">
      <c r="A38" s="177"/>
      <c r="B38" s="165">
        <f>DATE(22,8,1)</f>
        <v>8249</v>
      </c>
      <c r="C38" s="226">
        <v>184867734.87</v>
      </c>
      <c r="D38" s="226">
        <v>17060867.38</v>
      </c>
      <c r="E38" s="226">
        <v>15228470.93</v>
      </c>
      <c r="F38" s="166">
        <f t="shared" si="9"/>
        <v>0.12032701499860954</v>
      </c>
      <c r="G38" s="241">
        <f t="shared" si="10"/>
        <v>0.09228688495587017</v>
      </c>
      <c r="H38" s="242">
        <f t="shared" si="11"/>
        <v>0.9077131150441298</v>
      </c>
      <c r="I38" s="157"/>
    </row>
    <row r="39" spans="1:9" ht="15.75">
      <c r="A39" s="177"/>
      <c r="B39" s="165">
        <f>DATE(22,9,1)</f>
        <v>8280</v>
      </c>
      <c r="C39" s="226">
        <v>181026457.54</v>
      </c>
      <c r="D39" s="226">
        <v>17061917.54</v>
      </c>
      <c r="E39" s="226">
        <v>16699713.12</v>
      </c>
      <c r="F39" s="166">
        <f t="shared" si="9"/>
        <v>0.02168926001286901</v>
      </c>
      <c r="G39" s="241">
        <f t="shared" si="10"/>
        <v>0.09425096072616877</v>
      </c>
      <c r="H39" s="242">
        <f t="shared" si="11"/>
        <v>0.9057490392738312</v>
      </c>
      <c r="I39" s="157"/>
    </row>
    <row r="40" spans="1:9" ht="15.75">
      <c r="A40" s="177"/>
      <c r="B40" s="165">
        <f>DATE(22,10,1)</f>
        <v>8310</v>
      </c>
      <c r="C40" s="226">
        <v>173386132.73</v>
      </c>
      <c r="D40" s="226">
        <v>16341780.85</v>
      </c>
      <c r="E40" s="226">
        <v>16704308.95</v>
      </c>
      <c r="F40" s="166">
        <f t="shared" si="9"/>
        <v>-0.02170266971744435</v>
      </c>
      <c r="G40" s="241">
        <f t="shared" si="10"/>
        <v>0.09425079498974531</v>
      </c>
      <c r="H40" s="242">
        <f t="shared" si="11"/>
        <v>0.9057492050102547</v>
      </c>
      <c r="I40" s="157"/>
    </row>
    <row r="41" spans="1:9" ht="15.75">
      <c r="A41" s="177"/>
      <c r="B41" s="165">
        <f>DATE(22,11,1)</f>
        <v>8341</v>
      </c>
      <c r="C41" s="226">
        <v>167573650.07</v>
      </c>
      <c r="D41" s="226">
        <v>14923708.42</v>
      </c>
      <c r="E41" s="226">
        <v>15419780.21</v>
      </c>
      <c r="F41" s="166">
        <f t="shared" si="9"/>
        <v>-0.032171132353643384</v>
      </c>
      <c r="G41" s="241">
        <f t="shared" si="10"/>
        <v>0.08905760788623968</v>
      </c>
      <c r="H41" s="242">
        <f t="shared" si="11"/>
        <v>0.9109423921137603</v>
      </c>
      <c r="I41" s="157"/>
    </row>
    <row r="42" spans="1:9" ht="15.75">
      <c r="A42" s="177"/>
      <c r="B42" s="165">
        <f>DATE(22,12,1)</f>
        <v>8371</v>
      </c>
      <c r="C42" s="226">
        <v>179839316.61</v>
      </c>
      <c r="D42" s="226">
        <v>16985772.62</v>
      </c>
      <c r="E42" s="226">
        <v>17100191.72</v>
      </c>
      <c r="F42" s="166">
        <f t="shared" si="9"/>
        <v>-0.006691100420013172</v>
      </c>
      <c r="G42" s="241">
        <f t="shared" si="10"/>
        <v>0.0944497173375908</v>
      </c>
      <c r="H42" s="242">
        <f t="shared" si="11"/>
        <v>0.9055502826624092</v>
      </c>
      <c r="I42" s="157"/>
    </row>
    <row r="43" spans="1:9" ht="15.75" thickBot="1">
      <c r="A43" s="167"/>
      <c r="B43" s="168"/>
      <c r="C43" s="226"/>
      <c r="D43" s="226"/>
      <c r="E43" s="226"/>
      <c r="F43" s="166"/>
      <c r="G43" s="241"/>
      <c r="H43" s="242"/>
      <c r="I43" s="157"/>
    </row>
    <row r="44" spans="1:9" ht="17.25" thickBot="1" thickTop="1">
      <c r="A44" s="174" t="s">
        <v>14</v>
      </c>
      <c r="B44" s="178"/>
      <c r="C44" s="228">
        <f>SUM(C37:C43)</f>
        <v>1088231385.17</v>
      </c>
      <c r="D44" s="228">
        <f>SUM(D37:D43)</f>
        <v>100254337.01</v>
      </c>
      <c r="E44" s="228">
        <f>SUM(E37:E43)</f>
        <v>97941173.5</v>
      </c>
      <c r="F44" s="176">
        <f>(+D44-E44)/E44</f>
        <v>0.02361788640402604</v>
      </c>
      <c r="G44" s="245">
        <f>D44/C44</f>
        <v>0.09212593789907887</v>
      </c>
      <c r="H44" s="246">
        <f>1-G44</f>
        <v>0.9078740621009211</v>
      </c>
      <c r="I44" s="157"/>
    </row>
    <row r="45" spans="1:9" ht="15.75" thickTop="1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>
      <c r="A46" s="164" t="s">
        <v>60</v>
      </c>
      <c r="B46" s="165">
        <f>DATE(22,7,1)</f>
        <v>8218</v>
      </c>
      <c r="C46" s="226">
        <v>121501837.18</v>
      </c>
      <c r="D46" s="226">
        <v>11877741.56</v>
      </c>
      <c r="E46" s="226">
        <v>12735420.67</v>
      </c>
      <c r="F46" s="166">
        <f aca="true" t="shared" si="12" ref="F46:F51">(+D46-E46)/E46</f>
        <v>-0.0673459583490931</v>
      </c>
      <c r="G46" s="241">
        <f aca="true" t="shared" si="13" ref="G46:G51">D46/C46</f>
        <v>0.09775771161718001</v>
      </c>
      <c r="H46" s="242">
        <f aca="true" t="shared" si="14" ref="H46:H51">1-G46</f>
        <v>0.90224228838282</v>
      </c>
      <c r="I46" s="157"/>
    </row>
    <row r="47" spans="1:9" ht="15.75">
      <c r="A47" s="164"/>
      <c r="B47" s="165">
        <f>DATE(22,8,1)</f>
        <v>8249</v>
      </c>
      <c r="C47" s="226">
        <v>118750548.99</v>
      </c>
      <c r="D47" s="226">
        <v>11399779.33</v>
      </c>
      <c r="E47" s="226">
        <v>11645905.55</v>
      </c>
      <c r="F47" s="166">
        <f t="shared" si="12"/>
        <v>-0.02113414186155757</v>
      </c>
      <c r="G47" s="241">
        <f t="shared" si="13"/>
        <v>0.09599769792188478</v>
      </c>
      <c r="H47" s="242">
        <f t="shared" si="14"/>
        <v>0.9040023020781152</v>
      </c>
      <c r="I47" s="157"/>
    </row>
    <row r="48" spans="1:9" ht="15.75">
      <c r="A48" s="164"/>
      <c r="B48" s="165">
        <f>DATE(22,9,1)</f>
        <v>8280</v>
      </c>
      <c r="C48" s="226">
        <v>118393348.34</v>
      </c>
      <c r="D48" s="226">
        <v>10069352.81</v>
      </c>
      <c r="E48" s="226">
        <v>11184280.18</v>
      </c>
      <c r="F48" s="166">
        <f t="shared" si="12"/>
        <v>-0.09968700283400797</v>
      </c>
      <c r="G48" s="241">
        <f t="shared" si="13"/>
        <v>0.08504998761487009</v>
      </c>
      <c r="H48" s="242">
        <f t="shared" si="14"/>
        <v>0.91495001238513</v>
      </c>
      <c r="I48" s="157"/>
    </row>
    <row r="49" spans="1:9" ht="15.75">
      <c r="A49" s="164"/>
      <c r="B49" s="165">
        <f>DATE(22,10,1)</f>
        <v>8310</v>
      </c>
      <c r="C49" s="226">
        <v>113325190.2</v>
      </c>
      <c r="D49" s="226">
        <v>10695374.6</v>
      </c>
      <c r="E49" s="226">
        <v>11396005.27</v>
      </c>
      <c r="F49" s="166">
        <f t="shared" si="12"/>
        <v>-0.061480374341736324</v>
      </c>
      <c r="G49" s="241">
        <f t="shared" si="13"/>
        <v>0.09437773350412607</v>
      </c>
      <c r="H49" s="242">
        <f t="shared" si="14"/>
        <v>0.905622266495874</v>
      </c>
      <c r="I49" s="157"/>
    </row>
    <row r="50" spans="1:9" ht="15.75">
      <c r="A50" s="164"/>
      <c r="B50" s="165">
        <f>DATE(22,11,1)</f>
        <v>8341</v>
      </c>
      <c r="C50" s="226">
        <v>111643931.18</v>
      </c>
      <c r="D50" s="226">
        <v>10611649.12</v>
      </c>
      <c r="E50" s="226">
        <v>11134846.92</v>
      </c>
      <c r="F50" s="166">
        <f t="shared" si="12"/>
        <v>-0.04698742638843577</v>
      </c>
      <c r="G50" s="241">
        <f t="shared" si="13"/>
        <v>0.09504904572816565</v>
      </c>
      <c r="H50" s="242">
        <f t="shared" si="14"/>
        <v>0.9049509542718344</v>
      </c>
      <c r="I50" s="157"/>
    </row>
    <row r="51" spans="1:9" ht="15.75">
      <c r="A51" s="164"/>
      <c r="B51" s="165">
        <f>DATE(22,12,1)</f>
        <v>8371</v>
      </c>
      <c r="C51" s="226">
        <v>116948326.45</v>
      </c>
      <c r="D51" s="226">
        <v>11067872.5</v>
      </c>
      <c r="E51" s="226">
        <v>11993406.7</v>
      </c>
      <c r="F51" s="166">
        <f t="shared" si="12"/>
        <v>-0.07717025055107982</v>
      </c>
      <c r="G51" s="241">
        <f t="shared" si="13"/>
        <v>0.09463899857286072</v>
      </c>
      <c r="H51" s="242">
        <f t="shared" si="14"/>
        <v>0.9053610014271393</v>
      </c>
      <c r="I51" s="157"/>
    </row>
    <row r="52" spans="1:9" ht="15.75" thickBot="1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Bot="1" thickTop="1">
      <c r="A53" s="174" t="s">
        <v>14</v>
      </c>
      <c r="B53" s="175"/>
      <c r="C53" s="228">
        <f>SUM(C46:C52)</f>
        <v>700563182.34</v>
      </c>
      <c r="D53" s="230">
        <f>SUM(D46:D52)</f>
        <v>65721769.92</v>
      </c>
      <c r="E53" s="271">
        <f>SUM(E46:E52)</f>
        <v>70089865.29</v>
      </c>
      <c r="F53" s="272">
        <f>(+D53-E53)/E53</f>
        <v>-0.062321354905260716</v>
      </c>
      <c r="G53" s="249">
        <f>D53/C53</f>
        <v>0.09381276603842943</v>
      </c>
      <c r="H53" s="270">
        <f>1-G53</f>
        <v>0.9061872339615705</v>
      </c>
      <c r="I53" s="157"/>
    </row>
    <row r="54" spans="1:9" ht="15.75" thickTop="1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>
      <c r="A55" s="164" t="s">
        <v>64</v>
      </c>
      <c r="B55" s="165">
        <f>DATE(22,7,1)</f>
        <v>8218</v>
      </c>
      <c r="C55" s="226">
        <v>53641198.85</v>
      </c>
      <c r="D55" s="226">
        <v>5559220.1</v>
      </c>
      <c r="E55" s="226">
        <v>5744094.34</v>
      </c>
      <c r="F55" s="166">
        <f aca="true" t="shared" si="15" ref="F55:F60">(+D55-E55)/E55</f>
        <v>-0.03218509812984726</v>
      </c>
      <c r="G55" s="241">
        <f aca="true" t="shared" si="16" ref="G55:G60">D55/C55</f>
        <v>0.10363713375507452</v>
      </c>
      <c r="H55" s="242">
        <f aca="true" t="shared" si="17" ref="H55:H60">1-G55</f>
        <v>0.8963628662449254</v>
      </c>
      <c r="I55" s="157"/>
    </row>
    <row r="56" spans="1:9" ht="15.75">
      <c r="A56" s="164"/>
      <c r="B56" s="165">
        <f>DATE(22,8,1)</f>
        <v>8249</v>
      </c>
      <c r="C56" s="226">
        <v>47590579.29</v>
      </c>
      <c r="D56" s="226">
        <v>4834999.09</v>
      </c>
      <c r="E56" s="226">
        <v>5022432.17</v>
      </c>
      <c r="F56" s="166">
        <f t="shared" si="15"/>
        <v>-0.03731918593536726</v>
      </c>
      <c r="G56" s="241">
        <f t="shared" si="16"/>
        <v>0.10159571835714043</v>
      </c>
      <c r="H56" s="242">
        <f t="shared" si="17"/>
        <v>0.8984042816428596</v>
      </c>
      <c r="I56" s="157"/>
    </row>
    <row r="57" spans="1:9" ht="15.75">
      <c r="A57" s="164"/>
      <c r="B57" s="165">
        <f>DATE(22,9,1)</f>
        <v>8280</v>
      </c>
      <c r="C57" s="226">
        <v>47220660.24</v>
      </c>
      <c r="D57" s="226">
        <v>4841899.8</v>
      </c>
      <c r="E57" s="226">
        <v>5281548.16</v>
      </c>
      <c r="F57" s="166">
        <f t="shared" si="15"/>
        <v>-0.08324232718915514</v>
      </c>
      <c r="G57" s="241">
        <f t="shared" si="16"/>
        <v>0.10253774037446621</v>
      </c>
      <c r="H57" s="242">
        <f t="shared" si="17"/>
        <v>0.8974622596255338</v>
      </c>
      <c r="I57" s="157"/>
    </row>
    <row r="58" spans="1:9" ht="15.75">
      <c r="A58" s="164"/>
      <c r="B58" s="165">
        <f>DATE(22,10,1)</f>
        <v>8310</v>
      </c>
      <c r="C58" s="226">
        <v>47792404.84</v>
      </c>
      <c r="D58" s="226">
        <v>4853868.22</v>
      </c>
      <c r="E58" s="226">
        <v>5329338.81</v>
      </c>
      <c r="F58" s="166">
        <f t="shared" si="15"/>
        <v>-0.08921755717760416</v>
      </c>
      <c r="G58" s="241">
        <f t="shared" si="16"/>
        <v>0.10156149782062315</v>
      </c>
      <c r="H58" s="242">
        <f t="shared" si="17"/>
        <v>0.8984385021793768</v>
      </c>
      <c r="I58" s="157"/>
    </row>
    <row r="59" spans="1:9" ht="15.75">
      <c r="A59" s="164"/>
      <c r="B59" s="165">
        <f>DATE(22,11,1)</f>
        <v>8341</v>
      </c>
      <c r="C59" s="226">
        <v>43866316.45</v>
      </c>
      <c r="D59" s="226">
        <v>4436643.53</v>
      </c>
      <c r="E59" s="226">
        <v>4979381.55</v>
      </c>
      <c r="F59" s="166">
        <f t="shared" si="15"/>
        <v>-0.10899707414467959</v>
      </c>
      <c r="G59" s="241">
        <f t="shared" si="16"/>
        <v>0.1011400976659849</v>
      </c>
      <c r="H59" s="242">
        <f t="shared" si="17"/>
        <v>0.8988599023340151</v>
      </c>
      <c r="I59" s="157"/>
    </row>
    <row r="60" spans="1:9" ht="15.75">
      <c r="A60" s="164"/>
      <c r="B60" s="165">
        <f>DATE(22,12,1)</f>
        <v>8371</v>
      </c>
      <c r="C60" s="226">
        <v>49072561.07</v>
      </c>
      <c r="D60" s="226">
        <v>4878718.81</v>
      </c>
      <c r="E60" s="226">
        <v>5568235.39</v>
      </c>
      <c r="F60" s="166">
        <f t="shared" si="15"/>
        <v>-0.12383035768177181</v>
      </c>
      <c r="G60" s="241">
        <f t="shared" si="16"/>
        <v>0.09941846733943041</v>
      </c>
      <c r="H60" s="242">
        <f t="shared" si="17"/>
        <v>0.9005815326605696</v>
      </c>
      <c r="I60" s="157"/>
    </row>
    <row r="61" spans="1:9" ht="15.75" thickBot="1">
      <c r="A61" s="167"/>
      <c r="B61" s="165"/>
      <c r="C61" s="226"/>
      <c r="D61" s="226"/>
      <c r="E61" s="226"/>
      <c r="F61" s="166"/>
      <c r="G61" s="241"/>
      <c r="H61" s="242"/>
      <c r="I61" s="157"/>
    </row>
    <row r="62" spans="1:9" ht="17.25" thickBot="1" thickTop="1">
      <c r="A62" s="174" t="s">
        <v>14</v>
      </c>
      <c r="B62" s="175"/>
      <c r="C62" s="228">
        <f>SUM(C55:C61)</f>
        <v>289183720.74</v>
      </c>
      <c r="D62" s="230">
        <f>SUM(D55:D61)</f>
        <v>29405349.549999997</v>
      </c>
      <c r="E62" s="271">
        <f>SUM(E55:E61)</f>
        <v>31925030.42</v>
      </c>
      <c r="F62" s="272">
        <f>(+D62-E62)/E62</f>
        <v>-0.0789249324699627</v>
      </c>
      <c r="G62" s="249">
        <f>D62/C62</f>
        <v>0.10168397264809324</v>
      </c>
      <c r="H62" s="270">
        <f>1-G62</f>
        <v>0.8983160273519067</v>
      </c>
      <c r="I62" s="157"/>
    </row>
    <row r="63" spans="1:9" ht="15.75" thickTop="1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5.75">
      <c r="A64" s="290" t="s">
        <v>67</v>
      </c>
      <c r="B64" s="165">
        <f>DATE(22,7,1)</f>
        <v>8218</v>
      </c>
      <c r="C64" s="226">
        <v>85581160.4</v>
      </c>
      <c r="D64" s="226">
        <v>9654928.82</v>
      </c>
      <c r="E64" s="226">
        <v>8446672.57</v>
      </c>
      <c r="F64" s="166">
        <f aca="true" t="shared" si="18" ref="F64:F69">(+D64-E64)/E64</f>
        <v>0.14304523349127524</v>
      </c>
      <c r="G64" s="241">
        <f aca="true" t="shared" si="19" ref="G64:G69">D64/C64</f>
        <v>0.11281605408098673</v>
      </c>
      <c r="H64" s="242">
        <f aca="true" t="shared" si="20" ref="H64:H69">1-G64</f>
        <v>0.8871839459190133</v>
      </c>
      <c r="I64" s="157"/>
    </row>
    <row r="65" spans="1:9" ht="15.75">
      <c r="A65" s="290"/>
      <c r="B65" s="165">
        <f>DATE(22,8,1)</f>
        <v>8249</v>
      </c>
      <c r="C65" s="226">
        <v>82456263.29</v>
      </c>
      <c r="D65" s="226">
        <v>9270730.97</v>
      </c>
      <c r="E65" s="226">
        <v>8803736.44</v>
      </c>
      <c r="F65" s="166">
        <f t="shared" si="18"/>
        <v>0.05304503754544488</v>
      </c>
      <c r="G65" s="241">
        <f t="shared" si="19"/>
        <v>0.11243210157844154</v>
      </c>
      <c r="H65" s="242">
        <f t="shared" si="20"/>
        <v>0.8875678984215585</v>
      </c>
      <c r="I65" s="157"/>
    </row>
    <row r="66" spans="1:9" ht="15.75">
      <c r="A66" s="290"/>
      <c r="B66" s="165">
        <f>DATE(22,9,1)</f>
        <v>8280</v>
      </c>
      <c r="C66" s="226">
        <v>81432452.09</v>
      </c>
      <c r="D66" s="226">
        <v>9440089.3</v>
      </c>
      <c r="E66" s="226">
        <v>8914995.23</v>
      </c>
      <c r="F66" s="166">
        <f t="shared" si="18"/>
        <v>0.05890009545187387</v>
      </c>
      <c r="G66" s="241">
        <f t="shared" si="19"/>
        <v>0.11592539654297422</v>
      </c>
      <c r="H66" s="242">
        <f t="shared" si="20"/>
        <v>0.8840746034570258</v>
      </c>
      <c r="I66" s="157"/>
    </row>
    <row r="67" spans="1:9" ht="15.75">
      <c r="A67" s="290"/>
      <c r="B67" s="165">
        <f>DATE(22,10,1)</f>
        <v>8310</v>
      </c>
      <c r="C67" s="226">
        <v>82324119.66</v>
      </c>
      <c r="D67" s="226">
        <v>9283650.12</v>
      </c>
      <c r="E67" s="226">
        <v>9230867.67</v>
      </c>
      <c r="F67" s="166">
        <f t="shared" si="18"/>
        <v>0.005718037771415616</v>
      </c>
      <c r="G67" s="241">
        <f t="shared" si="19"/>
        <v>0.11276950374132916</v>
      </c>
      <c r="H67" s="242">
        <f t="shared" si="20"/>
        <v>0.8872304962586708</v>
      </c>
      <c r="I67" s="157"/>
    </row>
    <row r="68" spans="1:9" ht="15.75">
      <c r="A68" s="290"/>
      <c r="B68" s="165">
        <f>DATE(22,11,1)</f>
        <v>8341</v>
      </c>
      <c r="C68" s="226">
        <v>82659962.18</v>
      </c>
      <c r="D68" s="226">
        <v>9336104.85</v>
      </c>
      <c r="E68" s="226">
        <v>8512217.68</v>
      </c>
      <c r="F68" s="166">
        <f t="shared" si="18"/>
        <v>0.09678878066473506</v>
      </c>
      <c r="G68" s="241">
        <f t="shared" si="19"/>
        <v>0.112945912431822</v>
      </c>
      <c r="H68" s="242">
        <f t="shared" si="20"/>
        <v>0.887054087568178</v>
      </c>
      <c r="I68" s="157"/>
    </row>
    <row r="69" spans="1:9" ht="15.75">
      <c r="A69" s="290"/>
      <c r="B69" s="165">
        <f>DATE(22,12,1)</f>
        <v>8371</v>
      </c>
      <c r="C69" s="226">
        <v>88513153.28</v>
      </c>
      <c r="D69" s="226">
        <v>9794618.43</v>
      </c>
      <c r="E69" s="226">
        <v>9265401.08</v>
      </c>
      <c r="F69" s="166">
        <f t="shared" si="18"/>
        <v>0.05711758675426921</v>
      </c>
      <c r="G69" s="241">
        <f t="shared" si="19"/>
        <v>0.11065720818934087</v>
      </c>
      <c r="H69" s="242">
        <f t="shared" si="20"/>
        <v>0.8893427918106591</v>
      </c>
      <c r="I69" s="157"/>
    </row>
    <row r="70" spans="1:9" ht="15.75" thickBot="1">
      <c r="A70" s="167"/>
      <c r="B70" s="165"/>
      <c r="C70" s="226"/>
      <c r="D70" s="226"/>
      <c r="E70" s="226"/>
      <c r="F70" s="166"/>
      <c r="G70" s="241"/>
      <c r="H70" s="242"/>
      <c r="I70" s="157"/>
    </row>
    <row r="71" spans="1:9" ht="17.25" thickBot="1" thickTop="1">
      <c r="A71" s="174" t="s">
        <v>14</v>
      </c>
      <c r="B71" s="175"/>
      <c r="C71" s="228">
        <f>SUM(C64:C70)</f>
        <v>502967110.9</v>
      </c>
      <c r="D71" s="230">
        <f>SUM(D64:D70)</f>
        <v>56780122.49</v>
      </c>
      <c r="E71" s="271">
        <f>SUM(E64:E70)</f>
        <v>53173890.669999994</v>
      </c>
      <c r="F71" s="272">
        <f>(+D71-E71)/E71</f>
        <v>0.06781959669606415</v>
      </c>
      <c r="G71" s="249">
        <f>D71/C71</f>
        <v>0.11289032873023985</v>
      </c>
      <c r="H71" s="270">
        <f>1-G71</f>
        <v>0.8871096712697601</v>
      </c>
      <c r="I71" s="157"/>
    </row>
    <row r="72" spans="1:9" ht="15.75" thickTop="1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5.75">
      <c r="A73" s="164" t="s">
        <v>69</v>
      </c>
      <c r="B73" s="165">
        <f>DATE(22,7,1)</f>
        <v>8218</v>
      </c>
      <c r="C73" s="226">
        <v>115913733.48</v>
      </c>
      <c r="D73" s="226">
        <v>11762621.74</v>
      </c>
      <c r="E73" s="226">
        <v>13534455.82</v>
      </c>
      <c r="F73" s="166">
        <f aca="true" t="shared" si="21" ref="F73:F78">(+D73-E73)/E73</f>
        <v>-0.1309128422719252</v>
      </c>
      <c r="G73" s="241">
        <f aca="true" t="shared" si="22" ref="G73:G78">D73/C73</f>
        <v>0.10147737793321572</v>
      </c>
      <c r="H73" s="242">
        <f aca="true" t="shared" si="23" ref="H73:H78">1-G73</f>
        <v>0.8985226220667842</v>
      </c>
      <c r="I73" s="157"/>
    </row>
    <row r="74" spans="1:9" ht="15.75">
      <c r="A74" s="164"/>
      <c r="B74" s="165">
        <f>DATE(22,8,1)</f>
        <v>8249</v>
      </c>
      <c r="C74" s="226">
        <v>120866905.96</v>
      </c>
      <c r="D74" s="226">
        <v>12540537.03</v>
      </c>
      <c r="E74" s="226">
        <v>11799607.16</v>
      </c>
      <c r="F74" s="166">
        <f t="shared" si="21"/>
        <v>0.0627927574158324</v>
      </c>
      <c r="G74" s="241">
        <f t="shared" si="22"/>
        <v>0.10375492721018438</v>
      </c>
      <c r="H74" s="242">
        <f t="shared" si="23"/>
        <v>0.8962450727898156</v>
      </c>
      <c r="I74" s="157"/>
    </row>
    <row r="75" spans="1:9" ht="15.75">
      <c r="A75" s="164"/>
      <c r="B75" s="165">
        <f>DATE(22,9,1)</f>
        <v>8280</v>
      </c>
      <c r="C75" s="226">
        <v>118707239.62</v>
      </c>
      <c r="D75" s="226">
        <v>12203478.51</v>
      </c>
      <c r="E75" s="226">
        <v>11262305.48</v>
      </c>
      <c r="F75" s="166">
        <f t="shared" si="21"/>
        <v>0.08356841604690687</v>
      </c>
      <c r="G75" s="241">
        <f t="shared" si="22"/>
        <v>0.10280315294218952</v>
      </c>
      <c r="H75" s="242">
        <f t="shared" si="23"/>
        <v>0.8971968470578104</v>
      </c>
      <c r="I75" s="157"/>
    </row>
    <row r="76" spans="1:9" ht="15.75">
      <c r="A76" s="164"/>
      <c r="B76" s="165">
        <f>DATE(22,10,1)</f>
        <v>8310</v>
      </c>
      <c r="C76" s="226">
        <v>112671486.7</v>
      </c>
      <c r="D76" s="226">
        <v>11570843.18</v>
      </c>
      <c r="E76" s="226">
        <v>11850584.04</v>
      </c>
      <c r="F76" s="166">
        <f t="shared" si="21"/>
        <v>-0.023605660198330564</v>
      </c>
      <c r="G76" s="241">
        <f t="shared" si="22"/>
        <v>0.10269539808956829</v>
      </c>
      <c r="H76" s="242">
        <f t="shared" si="23"/>
        <v>0.8973046019104317</v>
      </c>
      <c r="I76" s="157"/>
    </row>
    <row r="77" spans="1:9" ht="15.75">
      <c r="A77" s="164"/>
      <c r="B77" s="165">
        <f>DATE(22,11,1)</f>
        <v>8341</v>
      </c>
      <c r="C77" s="226">
        <v>102848583.43</v>
      </c>
      <c r="D77" s="226">
        <v>10635557.71</v>
      </c>
      <c r="E77" s="226">
        <v>10537202.82</v>
      </c>
      <c r="F77" s="166">
        <f t="shared" si="21"/>
        <v>0.009334060630713056</v>
      </c>
      <c r="G77" s="241">
        <f t="shared" si="22"/>
        <v>0.10340986093638023</v>
      </c>
      <c r="H77" s="242">
        <f t="shared" si="23"/>
        <v>0.8965901390636197</v>
      </c>
      <c r="I77" s="157"/>
    </row>
    <row r="78" spans="1:9" ht="15.75">
      <c r="A78" s="164"/>
      <c r="B78" s="165">
        <f>DATE(22,12,1)</f>
        <v>8371</v>
      </c>
      <c r="C78" s="226">
        <v>110332938.22</v>
      </c>
      <c r="D78" s="226">
        <v>11765807.74</v>
      </c>
      <c r="E78" s="226">
        <v>11616287.57</v>
      </c>
      <c r="F78" s="166">
        <f t="shared" si="21"/>
        <v>0.012871596807412709</v>
      </c>
      <c r="G78" s="241">
        <f t="shared" si="22"/>
        <v>0.10663912272996295</v>
      </c>
      <c r="H78" s="242">
        <f t="shared" si="23"/>
        <v>0.893360877270037</v>
      </c>
      <c r="I78" s="157"/>
    </row>
    <row r="79" spans="1:9" ht="15.75" thickBot="1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75"/>
      <c r="C80" s="228">
        <f>SUM(C73:C79)</f>
        <v>681340887.4100001</v>
      </c>
      <c r="D80" s="230">
        <f>SUM(D73:D79)</f>
        <v>70478845.91</v>
      </c>
      <c r="E80" s="271">
        <f>SUM(E73:E79)</f>
        <v>70600442.89</v>
      </c>
      <c r="F80" s="176">
        <f>(+D80-E80)/E80</f>
        <v>-0.0017223260226491785</v>
      </c>
      <c r="G80" s="249">
        <f>D80/C80</f>
        <v>0.10344138626101419</v>
      </c>
      <c r="H80" s="270">
        <f>1-G80</f>
        <v>0.8965586137389858</v>
      </c>
      <c r="I80" s="157"/>
    </row>
    <row r="81" spans="1:9" ht="15.75" thickTop="1">
      <c r="A81" s="167"/>
      <c r="B81" s="179"/>
      <c r="C81" s="229"/>
      <c r="D81" s="229"/>
      <c r="E81" s="229"/>
      <c r="F81" s="180"/>
      <c r="G81" s="247"/>
      <c r="H81" s="248"/>
      <c r="I81" s="157"/>
    </row>
    <row r="82" spans="1:9" ht="15.75">
      <c r="A82" s="164" t="s">
        <v>16</v>
      </c>
      <c r="B82" s="165">
        <f>DATE(22,7,1)</f>
        <v>8218</v>
      </c>
      <c r="C82" s="226">
        <v>164331221.16</v>
      </c>
      <c r="D82" s="226">
        <v>15914314.48</v>
      </c>
      <c r="E82" s="226">
        <v>16148799.36</v>
      </c>
      <c r="F82" s="166">
        <f aca="true" t="shared" si="24" ref="F82:F87">(+D82-E82)/E82</f>
        <v>-0.014520267096810284</v>
      </c>
      <c r="G82" s="241">
        <f aca="true" t="shared" si="25" ref="G82:G87">D82/C82</f>
        <v>0.09684291498391005</v>
      </c>
      <c r="H82" s="242">
        <f aca="true" t="shared" si="26" ref="H82:H87">1-G82</f>
        <v>0.9031570850160899</v>
      </c>
      <c r="I82" s="157"/>
    </row>
    <row r="83" spans="1:9" ht="15.75">
      <c r="A83" s="164"/>
      <c r="B83" s="165">
        <f>DATE(22,8,1)</f>
        <v>8249</v>
      </c>
      <c r="C83" s="226">
        <v>151296993.62</v>
      </c>
      <c r="D83" s="226">
        <v>14340389.18</v>
      </c>
      <c r="E83" s="226">
        <v>14007269.2</v>
      </c>
      <c r="F83" s="166">
        <f t="shared" si="24"/>
        <v>0.02378193602504623</v>
      </c>
      <c r="G83" s="241">
        <f t="shared" si="25"/>
        <v>0.09478304120184672</v>
      </c>
      <c r="H83" s="242">
        <f t="shared" si="26"/>
        <v>0.9052169587981533</v>
      </c>
      <c r="I83" s="157"/>
    </row>
    <row r="84" spans="1:9" ht="15.75">
      <c r="A84" s="164"/>
      <c r="B84" s="165">
        <f>DATE(22,9,1)</f>
        <v>8280</v>
      </c>
      <c r="C84" s="226">
        <v>150060402.08</v>
      </c>
      <c r="D84" s="226">
        <v>15068846.29</v>
      </c>
      <c r="E84" s="226">
        <v>13534117.95</v>
      </c>
      <c r="F84" s="166">
        <f t="shared" si="24"/>
        <v>0.11339699754870246</v>
      </c>
      <c r="G84" s="241">
        <f t="shared" si="25"/>
        <v>0.10041853867595607</v>
      </c>
      <c r="H84" s="242">
        <f t="shared" si="26"/>
        <v>0.8995814613240439</v>
      </c>
      <c r="I84" s="157"/>
    </row>
    <row r="85" spans="1:9" ht="15.75">
      <c r="A85" s="164"/>
      <c r="B85" s="165">
        <f>DATE(22,10,1)</f>
        <v>8310</v>
      </c>
      <c r="C85" s="226">
        <v>151075922.59</v>
      </c>
      <c r="D85" s="226">
        <v>14552868.96</v>
      </c>
      <c r="E85" s="226">
        <v>14717532.77</v>
      </c>
      <c r="F85" s="166">
        <f t="shared" si="24"/>
        <v>-0.011188275410919888</v>
      </c>
      <c r="G85" s="241">
        <f t="shared" si="25"/>
        <v>0.09632818195321935</v>
      </c>
      <c r="H85" s="242">
        <f t="shared" si="26"/>
        <v>0.9036718180467807</v>
      </c>
      <c r="I85" s="157"/>
    </row>
    <row r="86" spans="1:9" ht="15.75">
      <c r="A86" s="164"/>
      <c r="B86" s="165">
        <f>DATE(22,11,1)</f>
        <v>8341</v>
      </c>
      <c r="C86" s="226">
        <v>137208695.11</v>
      </c>
      <c r="D86" s="226">
        <v>13319735.5</v>
      </c>
      <c r="E86" s="226">
        <v>13812980.33</v>
      </c>
      <c r="F86" s="166">
        <f t="shared" si="24"/>
        <v>-0.035708791167155744</v>
      </c>
      <c r="G86" s="241">
        <f t="shared" si="25"/>
        <v>0.09707646799877798</v>
      </c>
      <c r="H86" s="242">
        <f t="shared" si="26"/>
        <v>0.902923532001222</v>
      </c>
      <c r="I86" s="157"/>
    </row>
    <row r="87" spans="1:9" ht="15.75">
      <c r="A87" s="164"/>
      <c r="B87" s="165">
        <f>DATE(22,12,1)</f>
        <v>8371</v>
      </c>
      <c r="C87" s="226">
        <v>151544462.93</v>
      </c>
      <c r="D87" s="226">
        <v>14436386.73</v>
      </c>
      <c r="E87" s="226">
        <v>14881396.94</v>
      </c>
      <c r="F87" s="166">
        <f t="shared" si="24"/>
        <v>-0.029903792755090575</v>
      </c>
      <c r="G87" s="241">
        <f t="shared" si="25"/>
        <v>0.09526172352907622</v>
      </c>
      <c r="H87" s="242">
        <f t="shared" si="26"/>
        <v>0.9047382764709238</v>
      </c>
      <c r="I87" s="157"/>
    </row>
    <row r="88" spans="1:9" ht="15.75" customHeight="1" thickBot="1">
      <c r="A88" s="164"/>
      <c r="B88" s="165"/>
      <c r="C88" s="226"/>
      <c r="D88" s="226"/>
      <c r="E88" s="226"/>
      <c r="F88" s="166"/>
      <c r="G88" s="241"/>
      <c r="H88" s="242"/>
      <c r="I88" s="157"/>
    </row>
    <row r="89" spans="1:9" ht="17.25" thickBot="1" thickTop="1">
      <c r="A89" s="174" t="s">
        <v>14</v>
      </c>
      <c r="B89" s="181"/>
      <c r="C89" s="228">
        <f>SUM(C82:C88)</f>
        <v>905517697.49</v>
      </c>
      <c r="D89" s="228">
        <f>SUM(D82:D88)</f>
        <v>87632541.14</v>
      </c>
      <c r="E89" s="228">
        <f>SUM(E82:E88)</f>
        <v>87102096.55</v>
      </c>
      <c r="F89" s="176">
        <f>(+D89-E89)/E89</f>
        <v>0.0060899175910824116</v>
      </c>
      <c r="G89" s="245">
        <f>D89/C89</f>
        <v>0.09677617718892541</v>
      </c>
      <c r="H89" s="246">
        <f>1-G89</f>
        <v>0.9032238228110746</v>
      </c>
      <c r="I89" s="157"/>
    </row>
    <row r="90" spans="1:9" ht="15.75" thickTop="1">
      <c r="A90" s="171"/>
      <c r="B90" s="172"/>
      <c r="C90" s="227"/>
      <c r="D90" s="227"/>
      <c r="E90" s="227"/>
      <c r="F90" s="173"/>
      <c r="G90" s="243"/>
      <c r="H90" s="244"/>
      <c r="I90" s="157"/>
    </row>
    <row r="91" spans="1:9" ht="15.75">
      <c r="A91" s="164" t="s">
        <v>53</v>
      </c>
      <c r="B91" s="165">
        <f>DATE(22,7,1)</f>
        <v>8218</v>
      </c>
      <c r="C91" s="226">
        <v>217334773.96</v>
      </c>
      <c r="D91" s="226">
        <v>19656587.45</v>
      </c>
      <c r="E91" s="226">
        <v>17635283.72</v>
      </c>
      <c r="F91" s="166">
        <f aca="true" t="shared" si="27" ref="F91:F96">(+D91-E91)/E91</f>
        <v>0.1146170235814046</v>
      </c>
      <c r="G91" s="241">
        <f aca="true" t="shared" si="28" ref="G91:G96">D91/C91</f>
        <v>0.09044382126174504</v>
      </c>
      <c r="H91" s="242">
        <f aca="true" t="shared" si="29" ref="H91:H96">1-G91</f>
        <v>0.909556178738255</v>
      </c>
      <c r="I91" s="157"/>
    </row>
    <row r="92" spans="1:9" ht="15.75">
      <c r="A92" s="164"/>
      <c r="B92" s="165">
        <f>DATE(22,8,1)</f>
        <v>8249</v>
      </c>
      <c r="C92" s="226">
        <v>200475281.67</v>
      </c>
      <c r="D92" s="226">
        <v>17776767.91</v>
      </c>
      <c r="E92" s="226">
        <v>17152915.09</v>
      </c>
      <c r="F92" s="166">
        <f t="shared" si="27"/>
        <v>0.03637007568257019</v>
      </c>
      <c r="G92" s="241">
        <f t="shared" si="28"/>
        <v>0.08867311601667746</v>
      </c>
      <c r="H92" s="242">
        <f t="shared" si="29"/>
        <v>0.9113268839833225</v>
      </c>
      <c r="I92" s="157"/>
    </row>
    <row r="93" spans="1:9" ht="15.75">
      <c r="A93" s="164"/>
      <c r="B93" s="165">
        <f>DATE(22,9,1)</f>
        <v>8280</v>
      </c>
      <c r="C93" s="226">
        <v>196574841.52</v>
      </c>
      <c r="D93" s="226">
        <v>17845168.1</v>
      </c>
      <c r="E93" s="226">
        <v>16762718.67</v>
      </c>
      <c r="F93" s="166">
        <f t="shared" si="27"/>
        <v>0.06457481338854931</v>
      </c>
      <c r="G93" s="241">
        <f t="shared" si="28"/>
        <v>0.09078052899350494</v>
      </c>
      <c r="H93" s="242">
        <f t="shared" si="29"/>
        <v>0.909219471006495</v>
      </c>
      <c r="I93" s="157"/>
    </row>
    <row r="94" spans="1:9" ht="15.75">
      <c r="A94" s="164"/>
      <c r="B94" s="165">
        <f>DATE(22,10,1)</f>
        <v>8310</v>
      </c>
      <c r="C94" s="226">
        <v>198946815.71</v>
      </c>
      <c r="D94" s="226">
        <v>17788599.37</v>
      </c>
      <c r="E94" s="226">
        <v>18368300.02</v>
      </c>
      <c r="F94" s="166">
        <f t="shared" si="27"/>
        <v>-0.03155984219382314</v>
      </c>
      <c r="G94" s="241">
        <f t="shared" si="28"/>
        <v>0.0894138431244359</v>
      </c>
      <c r="H94" s="242">
        <f t="shared" si="29"/>
        <v>0.9105861568755641</v>
      </c>
      <c r="I94" s="157"/>
    </row>
    <row r="95" spans="1:9" ht="15.75">
      <c r="A95" s="164"/>
      <c r="B95" s="165">
        <f>DATE(22,11,1)</f>
        <v>8341</v>
      </c>
      <c r="C95" s="226">
        <v>191380410.94</v>
      </c>
      <c r="D95" s="226">
        <v>17618885.15</v>
      </c>
      <c r="E95" s="226">
        <v>17099113.55</v>
      </c>
      <c r="F95" s="166">
        <f t="shared" si="27"/>
        <v>0.03039757578544168</v>
      </c>
      <c r="G95" s="241">
        <f t="shared" si="28"/>
        <v>0.09206211369001463</v>
      </c>
      <c r="H95" s="242">
        <f t="shared" si="29"/>
        <v>0.9079378863099854</v>
      </c>
      <c r="I95" s="157"/>
    </row>
    <row r="96" spans="1:9" ht="15.75">
      <c r="A96" s="164"/>
      <c r="B96" s="165">
        <f>DATE(22,12,1)</f>
        <v>8371</v>
      </c>
      <c r="C96" s="226">
        <v>201934623.12</v>
      </c>
      <c r="D96" s="226">
        <v>18411025.47</v>
      </c>
      <c r="E96" s="226">
        <v>18695924.3</v>
      </c>
      <c r="F96" s="166">
        <f t="shared" si="27"/>
        <v>-0.015238552821911134</v>
      </c>
      <c r="G96" s="241">
        <f t="shared" si="28"/>
        <v>0.09117319846165862</v>
      </c>
      <c r="H96" s="242">
        <f t="shared" si="29"/>
        <v>0.9088268015383414</v>
      </c>
      <c r="I96" s="157"/>
    </row>
    <row r="97" spans="1:9" ht="15.75" thickBot="1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7.25" thickBot="1" thickTop="1">
      <c r="A98" s="174" t="s">
        <v>14</v>
      </c>
      <c r="B98" s="175"/>
      <c r="C98" s="228">
        <f>SUM(C91:C97)</f>
        <v>1206646746.92</v>
      </c>
      <c r="D98" s="228">
        <f>SUM(D91:D97)</f>
        <v>109097033.44999999</v>
      </c>
      <c r="E98" s="228">
        <f>SUM(E91:E97)</f>
        <v>105714255.35</v>
      </c>
      <c r="F98" s="176">
        <f>(+D98-E98)/E98</f>
        <v>0.03199926148843647</v>
      </c>
      <c r="G98" s="249">
        <f>D98/C98</f>
        <v>0.0904133987254126</v>
      </c>
      <c r="H98" s="270">
        <f>1-G98</f>
        <v>0.9095866012745875</v>
      </c>
      <c r="I98" s="157"/>
    </row>
    <row r="99" spans="1:9" ht="15.75" thickTop="1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>
      <c r="A100" s="164" t="s">
        <v>54</v>
      </c>
      <c r="B100" s="165">
        <f>DATE(22,7,1)</f>
        <v>8218</v>
      </c>
      <c r="C100" s="226">
        <v>29253159.1</v>
      </c>
      <c r="D100" s="226">
        <v>3220140.18</v>
      </c>
      <c r="E100" s="226">
        <v>3540868.12</v>
      </c>
      <c r="F100" s="166">
        <f aca="true" t="shared" si="30" ref="F100:F105">(+D100-E100)/E100</f>
        <v>-0.09057890018225247</v>
      </c>
      <c r="G100" s="241">
        <f aca="true" t="shared" si="31" ref="G100:G105">D100/C100</f>
        <v>0.11007837372340412</v>
      </c>
      <c r="H100" s="242">
        <f aca="true" t="shared" si="32" ref="H100:H105">1-G100</f>
        <v>0.8899216262765959</v>
      </c>
      <c r="I100" s="157"/>
    </row>
    <row r="101" spans="1:9" ht="15.75">
      <c r="A101" s="164"/>
      <c r="B101" s="165">
        <f>DATE(22,8,1)</f>
        <v>8249</v>
      </c>
      <c r="C101" s="226">
        <v>25837783.38</v>
      </c>
      <c r="D101" s="226">
        <v>2910388.06</v>
      </c>
      <c r="E101" s="226">
        <v>3115295.59</v>
      </c>
      <c r="F101" s="166">
        <f t="shared" si="30"/>
        <v>-0.06577466698753931</v>
      </c>
      <c r="G101" s="241">
        <f t="shared" si="31"/>
        <v>0.11264077948160274</v>
      </c>
      <c r="H101" s="242">
        <f t="shared" si="32"/>
        <v>0.8873592205183972</v>
      </c>
      <c r="I101" s="157"/>
    </row>
    <row r="102" spans="1:9" ht="15.75">
      <c r="A102" s="164"/>
      <c r="B102" s="165">
        <f>DATE(22,9,1)</f>
        <v>8280</v>
      </c>
      <c r="C102" s="226">
        <v>27357626.21</v>
      </c>
      <c r="D102" s="226">
        <v>3079109.35</v>
      </c>
      <c r="E102" s="226">
        <v>3042841.65</v>
      </c>
      <c r="F102" s="166">
        <f t="shared" si="30"/>
        <v>0.011919023127608428</v>
      </c>
      <c r="G102" s="241">
        <f t="shared" si="31"/>
        <v>0.11255031143288656</v>
      </c>
      <c r="H102" s="242">
        <f t="shared" si="32"/>
        <v>0.8874496885671135</v>
      </c>
      <c r="I102" s="157"/>
    </row>
    <row r="103" spans="1:9" ht="15.75">
      <c r="A103" s="164"/>
      <c r="B103" s="165">
        <f>DATE(22,10,1)</f>
        <v>8310</v>
      </c>
      <c r="C103" s="226">
        <v>26519006.94</v>
      </c>
      <c r="D103" s="226">
        <v>3026739.97</v>
      </c>
      <c r="E103" s="226">
        <v>3415416.93</v>
      </c>
      <c r="F103" s="166">
        <f t="shared" si="30"/>
        <v>-0.11380073588848784</v>
      </c>
      <c r="G103" s="241">
        <f t="shared" si="31"/>
        <v>0.11413474029582195</v>
      </c>
      <c r="H103" s="242">
        <f t="shared" si="32"/>
        <v>0.8858652597041781</v>
      </c>
      <c r="I103" s="157"/>
    </row>
    <row r="104" spans="1:9" ht="15.75">
      <c r="A104" s="164"/>
      <c r="B104" s="165">
        <f>DATE(22,11,1)</f>
        <v>8341</v>
      </c>
      <c r="C104" s="226">
        <v>23873732.33</v>
      </c>
      <c r="D104" s="226">
        <v>2771028.1</v>
      </c>
      <c r="E104" s="226">
        <v>3126811.29</v>
      </c>
      <c r="F104" s="166">
        <f t="shared" si="30"/>
        <v>-0.11378466974896971</v>
      </c>
      <c r="G104" s="241">
        <f t="shared" si="31"/>
        <v>0.11607016706465689</v>
      </c>
      <c r="H104" s="242">
        <f t="shared" si="32"/>
        <v>0.8839298329353431</v>
      </c>
      <c r="I104" s="157"/>
    </row>
    <row r="105" spans="1:9" ht="15.75">
      <c r="A105" s="164"/>
      <c r="B105" s="165">
        <f>DATE(22,12,1)</f>
        <v>8371</v>
      </c>
      <c r="C105" s="226">
        <v>26447659.84</v>
      </c>
      <c r="D105" s="226">
        <v>3065877.72</v>
      </c>
      <c r="E105" s="226">
        <v>3080901.79</v>
      </c>
      <c r="F105" s="166">
        <f t="shared" si="30"/>
        <v>-0.004876517014844485</v>
      </c>
      <c r="G105" s="241">
        <f t="shared" si="31"/>
        <v>0.11592245735719506</v>
      </c>
      <c r="H105" s="242">
        <f t="shared" si="32"/>
        <v>0.8840775426428049</v>
      </c>
      <c r="I105" s="157"/>
    </row>
    <row r="106" spans="1:9" ht="15.75" thickBot="1">
      <c r="A106" s="167"/>
      <c r="B106" s="168"/>
      <c r="C106" s="226"/>
      <c r="D106" s="226"/>
      <c r="E106" s="226"/>
      <c r="F106" s="166"/>
      <c r="G106" s="241"/>
      <c r="H106" s="242"/>
      <c r="I106" s="157"/>
    </row>
    <row r="107" spans="1:9" ht="17.25" thickBot="1" thickTop="1">
      <c r="A107" s="182" t="s">
        <v>14</v>
      </c>
      <c r="B107" s="183"/>
      <c r="C107" s="230">
        <f>SUM(C100:C106)</f>
        <v>159288967.79999998</v>
      </c>
      <c r="D107" s="230">
        <f>SUM(D100:D106)</f>
        <v>18073283.38</v>
      </c>
      <c r="E107" s="230">
        <f>SUM(E100:E106)</f>
        <v>19322135.369999997</v>
      </c>
      <c r="F107" s="176">
        <f>(+D107-E107)/E107</f>
        <v>-0.06463322847530587</v>
      </c>
      <c r="G107" s="249">
        <f>D107/C107</f>
        <v>0.11346224179625829</v>
      </c>
      <c r="H107" s="246">
        <f>1-G107</f>
        <v>0.8865377582037417</v>
      </c>
      <c r="I107" s="157"/>
    </row>
    <row r="108" spans="1:9" ht="15.75" thickTop="1">
      <c r="A108" s="167"/>
      <c r="B108" s="168"/>
      <c r="C108" s="226"/>
      <c r="D108" s="226"/>
      <c r="E108" s="226"/>
      <c r="F108" s="166"/>
      <c r="G108" s="241"/>
      <c r="H108" s="242"/>
      <c r="I108" s="157"/>
    </row>
    <row r="109" spans="1:9" ht="15.75">
      <c r="A109" s="164" t="s">
        <v>37</v>
      </c>
      <c r="B109" s="165">
        <f>DATE(22,7,1)</f>
        <v>8218</v>
      </c>
      <c r="C109" s="226">
        <v>239506696.32</v>
      </c>
      <c r="D109" s="226">
        <v>21735779.22</v>
      </c>
      <c r="E109" s="226">
        <v>21441670.74</v>
      </c>
      <c r="F109" s="166">
        <f aca="true" t="shared" si="33" ref="F109:F114">(+D109-E109)/E109</f>
        <v>0.013716677378658435</v>
      </c>
      <c r="G109" s="241">
        <f aca="true" t="shared" si="34" ref="G109:G114">D109/C109</f>
        <v>0.09075228189427852</v>
      </c>
      <c r="H109" s="242">
        <f aca="true" t="shared" si="35" ref="H109:H114">1-G109</f>
        <v>0.9092477181057215</v>
      </c>
      <c r="I109" s="157"/>
    </row>
    <row r="110" spans="1:9" ht="15.75">
      <c r="A110" s="164"/>
      <c r="B110" s="165">
        <f>DATE(22,8,1)</f>
        <v>8249</v>
      </c>
      <c r="C110" s="226">
        <v>220146005.59</v>
      </c>
      <c r="D110" s="226">
        <v>20453352.67</v>
      </c>
      <c r="E110" s="226">
        <v>19679228.6</v>
      </c>
      <c r="F110" s="166">
        <f t="shared" si="33"/>
        <v>0.03933711456555773</v>
      </c>
      <c r="G110" s="241">
        <f t="shared" si="34"/>
        <v>0.09290812529250397</v>
      </c>
      <c r="H110" s="242">
        <f t="shared" si="35"/>
        <v>0.9070918747074961</v>
      </c>
      <c r="I110" s="157"/>
    </row>
    <row r="111" spans="1:9" ht="15.75">
      <c r="A111" s="164"/>
      <c r="B111" s="165">
        <f>DATE(22,9,1)</f>
        <v>8280</v>
      </c>
      <c r="C111" s="226">
        <v>219043118.49</v>
      </c>
      <c r="D111" s="226">
        <v>19785542.02</v>
      </c>
      <c r="E111" s="226">
        <v>19466571.38</v>
      </c>
      <c r="F111" s="166">
        <f t="shared" si="33"/>
        <v>0.01638555828725503</v>
      </c>
      <c r="G111" s="241">
        <f t="shared" si="34"/>
        <v>0.09032715639000213</v>
      </c>
      <c r="H111" s="242">
        <f t="shared" si="35"/>
        <v>0.9096728436099979</v>
      </c>
      <c r="I111" s="157"/>
    </row>
    <row r="112" spans="1:9" ht="15.75">
      <c r="A112" s="164"/>
      <c r="B112" s="165">
        <f>DATE(22,10,1)</f>
        <v>8310</v>
      </c>
      <c r="C112" s="226">
        <v>217723657.17</v>
      </c>
      <c r="D112" s="226">
        <v>19416414.08</v>
      </c>
      <c r="E112" s="226">
        <v>20992171.95</v>
      </c>
      <c r="F112" s="166">
        <f t="shared" si="33"/>
        <v>-0.07506407025214945</v>
      </c>
      <c r="G112" s="241">
        <f t="shared" si="34"/>
        <v>0.0891791656100997</v>
      </c>
      <c r="H112" s="242">
        <f t="shared" si="35"/>
        <v>0.9108208343899002</v>
      </c>
      <c r="I112" s="157"/>
    </row>
    <row r="113" spans="1:9" ht="15.75">
      <c r="A113" s="164"/>
      <c r="B113" s="165">
        <f>DATE(22,11,1)</f>
        <v>8341</v>
      </c>
      <c r="C113" s="226">
        <v>209644418.53</v>
      </c>
      <c r="D113" s="226">
        <v>19493781.03</v>
      </c>
      <c r="E113" s="226">
        <v>19425579.76</v>
      </c>
      <c r="F113" s="166">
        <f t="shared" si="33"/>
        <v>0.003510900104018288</v>
      </c>
      <c r="G113" s="241">
        <f t="shared" si="34"/>
        <v>0.09298497506724918</v>
      </c>
      <c r="H113" s="242">
        <f t="shared" si="35"/>
        <v>0.9070150249327509</v>
      </c>
      <c r="I113" s="157"/>
    </row>
    <row r="114" spans="1:9" ht="15.75">
      <c r="A114" s="164"/>
      <c r="B114" s="165">
        <f>DATE(22,12,1)</f>
        <v>8371</v>
      </c>
      <c r="C114" s="226">
        <v>224820837.77</v>
      </c>
      <c r="D114" s="226">
        <v>20690373.02</v>
      </c>
      <c r="E114" s="226">
        <v>21621662.72</v>
      </c>
      <c r="F114" s="166">
        <f t="shared" si="33"/>
        <v>-0.04307206675361548</v>
      </c>
      <c r="G114" s="241">
        <f t="shared" si="34"/>
        <v>0.09203049514995142</v>
      </c>
      <c r="H114" s="242">
        <f t="shared" si="35"/>
        <v>0.9079695048500486</v>
      </c>
      <c r="I114" s="157"/>
    </row>
    <row r="115" spans="1:9" ht="15.75" thickBot="1">
      <c r="A115" s="167"/>
      <c r="B115" s="168"/>
      <c r="C115" s="226"/>
      <c r="D115" s="226"/>
      <c r="E115" s="226"/>
      <c r="F115" s="166"/>
      <c r="G115" s="241"/>
      <c r="H115" s="242"/>
      <c r="I115" s="157"/>
    </row>
    <row r="116" spans="1:9" ht="17.25" thickBot="1" thickTop="1">
      <c r="A116" s="174" t="s">
        <v>14</v>
      </c>
      <c r="B116" s="175"/>
      <c r="C116" s="228">
        <f>SUM(C109:C115)</f>
        <v>1330884733.87</v>
      </c>
      <c r="D116" s="228">
        <f>SUM(D109:D115)</f>
        <v>121575242.03999999</v>
      </c>
      <c r="E116" s="228">
        <f>SUM(E109:E115)</f>
        <v>122626885.15</v>
      </c>
      <c r="F116" s="176">
        <f>(+D116-E116)/E116</f>
        <v>-0.008575958760704232</v>
      </c>
      <c r="G116" s="245">
        <f>D116/C116</f>
        <v>0.0913491897126798</v>
      </c>
      <c r="H116" s="246">
        <f>1-G116</f>
        <v>0.9086508102873202</v>
      </c>
      <c r="I116" s="157"/>
    </row>
    <row r="117" spans="1:9" ht="15.75" thickTop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5.75">
      <c r="A118" s="164" t="s">
        <v>57</v>
      </c>
      <c r="B118" s="165">
        <f>DATE(22,7,1)</f>
        <v>8218</v>
      </c>
      <c r="C118" s="226">
        <v>35319959.49</v>
      </c>
      <c r="D118" s="226">
        <v>3941098.7</v>
      </c>
      <c r="E118" s="226">
        <v>3963905.07</v>
      </c>
      <c r="F118" s="166">
        <f aca="true" t="shared" si="36" ref="F118:F123">(+D118-E118)/E118</f>
        <v>-0.005753510640959837</v>
      </c>
      <c r="G118" s="241">
        <f aca="true" t="shared" si="37" ref="G118:G123">D118/C118</f>
        <v>0.11158276387932516</v>
      </c>
      <c r="H118" s="242">
        <f aca="true" t="shared" si="38" ref="H118:H123">1-G118</f>
        <v>0.8884172361206748</v>
      </c>
      <c r="I118" s="157"/>
    </row>
    <row r="119" spans="1:9" ht="15.75">
      <c r="A119" s="164"/>
      <c r="B119" s="165">
        <f>DATE(22,8,1)</f>
        <v>8249</v>
      </c>
      <c r="C119" s="226">
        <v>32131032.47</v>
      </c>
      <c r="D119" s="226">
        <v>3508347.49</v>
      </c>
      <c r="E119" s="226">
        <v>3797696.16</v>
      </c>
      <c r="F119" s="166">
        <f t="shared" si="36"/>
        <v>-0.07619057918525002</v>
      </c>
      <c r="G119" s="241">
        <f t="shared" si="37"/>
        <v>0.10918875679689606</v>
      </c>
      <c r="H119" s="242">
        <f t="shared" si="38"/>
        <v>0.8908112432031039</v>
      </c>
      <c r="I119" s="157"/>
    </row>
    <row r="120" spans="1:9" ht="15.75">
      <c r="A120" s="164"/>
      <c r="B120" s="165">
        <f>DATE(22,9,1)</f>
        <v>8280</v>
      </c>
      <c r="C120" s="226">
        <v>32450974.03</v>
      </c>
      <c r="D120" s="226">
        <v>3766686.61</v>
      </c>
      <c r="E120" s="226">
        <v>3519488.37</v>
      </c>
      <c r="F120" s="166">
        <f t="shared" si="36"/>
        <v>0.07023698163264558</v>
      </c>
      <c r="G120" s="241">
        <f t="shared" si="37"/>
        <v>0.11607314487749444</v>
      </c>
      <c r="H120" s="242">
        <f t="shared" si="38"/>
        <v>0.8839268551225056</v>
      </c>
      <c r="I120" s="157"/>
    </row>
    <row r="121" spans="1:9" ht="15.75">
      <c r="A121" s="164"/>
      <c r="B121" s="165">
        <f>DATE(22,10,1)</f>
        <v>8310</v>
      </c>
      <c r="C121" s="226">
        <v>32407148.93</v>
      </c>
      <c r="D121" s="226">
        <v>3644045.37</v>
      </c>
      <c r="E121" s="226">
        <v>3955357.96</v>
      </c>
      <c r="F121" s="166">
        <f t="shared" si="36"/>
        <v>-0.07870655276924667</v>
      </c>
      <c r="G121" s="241">
        <f t="shared" si="37"/>
        <v>0.11244572541296986</v>
      </c>
      <c r="H121" s="242">
        <f t="shared" si="38"/>
        <v>0.8875542745870302</v>
      </c>
      <c r="I121" s="157"/>
    </row>
    <row r="122" spans="1:9" ht="15.75">
      <c r="A122" s="164"/>
      <c r="B122" s="165">
        <f>DATE(22,11,1)</f>
        <v>8341</v>
      </c>
      <c r="C122" s="226">
        <v>30807154.7</v>
      </c>
      <c r="D122" s="226">
        <v>3367619.94</v>
      </c>
      <c r="E122" s="226">
        <v>3600834.91</v>
      </c>
      <c r="F122" s="166">
        <f t="shared" si="36"/>
        <v>-0.06476691540407227</v>
      </c>
      <c r="G122" s="241">
        <f t="shared" si="37"/>
        <v>0.10931291684655318</v>
      </c>
      <c r="H122" s="242">
        <f t="shared" si="38"/>
        <v>0.8906870831534468</v>
      </c>
      <c r="I122" s="157"/>
    </row>
    <row r="123" spans="1:9" ht="15.75">
      <c r="A123" s="164"/>
      <c r="B123" s="165">
        <f>DATE(22,12,1)</f>
        <v>8371</v>
      </c>
      <c r="C123" s="226">
        <v>34580559.6</v>
      </c>
      <c r="D123" s="226">
        <v>3754875.29</v>
      </c>
      <c r="E123" s="226">
        <v>3929490.08</v>
      </c>
      <c r="F123" s="166">
        <f t="shared" si="36"/>
        <v>-0.04443701000512515</v>
      </c>
      <c r="G123" s="241">
        <f t="shared" si="37"/>
        <v>0.10858341604165364</v>
      </c>
      <c r="H123" s="242">
        <f t="shared" si="38"/>
        <v>0.8914165839583463</v>
      </c>
      <c r="I123" s="157"/>
    </row>
    <row r="124" spans="1:9" ht="15.75" thickBot="1">
      <c r="A124" s="167"/>
      <c r="B124" s="168"/>
      <c r="C124" s="226"/>
      <c r="D124" s="226"/>
      <c r="E124" s="226"/>
      <c r="F124" s="166"/>
      <c r="G124" s="241"/>
      <c r="H124" s="242"/>
      <c r="I124" s="157"/>
    </row>
    <row r="125" spans="1:9" ht="17.25" thickBot="1" thickTop="1">
      <c r="A125" s="169" t="s">
        <v>14</v>
      </c>
      <c r="B125" s="155"/>
      <c r="C125" s="223">
        <f>SUM(C118:C124)</f>
        <v>197696829.22</v>
      </c>
      <c r="D125" s="223">
        <f>SUM(D118:D124)</f>
        <v>21982673.400000002</v>
      </c>
      <c r="E125" s="223">
        <f>SUM(E118:E124)</f>
        <v>22766772.550000004</v>
      </c>
      <c r="F125" s="176">
        <f>(+D125-E125)/E125</f>
        <v>-0.03444050527047594</v>
      </c>
      <c r="G125" s="245">
        <f>D125/C125</f>
        <v>0.11119385923755688</v>
      </c>
      <c r="H125" s="246">
        <f>1-G125</f>
        <v>0.8888061407624431</v>
      </c>
      <c r="I125" s="157"/>
    </row>
    <row r="126" spans="1:9" ht="16.5" thickBot="1" thickTop="1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7.25" thickBot="1" thickTop="1">
      <c r="A127" s="184" t="s">
        <v>38</v>
      </c>
      <c r="B127" s="155"/>
      <c r="C127" s="223">
        <f>C125+C116+C89+C71+C53+C35+C17+C44+C107+C26+C80+C98+C62</f>
        <v>8410733696.31</v>
      </c>
      <c r="D127" s="223">
        <f>D125+D116+D89+D71+D53+D35+D17+D44+D107+D26+D80+D98+D62</f>
        <v>811287374.3499999</v>
      </c>
      <c r="E127" s="223">
        <f>E125+E116+E89+E71+E53+E35+E17+E44+E107+E26+E80+E98+E62</f>
        <v>818233416.61</v>
      </c>
      <c r="F127" s="170">
        <f>(+D127-E127)/E127</f>
        <v>-0.00848907184551086</v>
      </c>
      <c r="G127" s="236">
        <f>D127/C127</f>
        <v>0.09645857348995986</v>
      </c>
      <c r="H127" s="237">
        <f>1-G127</f>
        <v>0.9035414265100401</v>
      </c>
      <c r="I127" s="157"/>
    </row>
    <row r="128" spans="1:9" ht="17.25" thickBot="1" thickTop="1">
      <c r="A128" s="184"/>
      <c r="B128" s="155"/>
      <c r="C128" s="223"/>
      <c r="D128" s="223"/>
      <c r="E128" s="223"/>
      <c r="F128" s="170"/>
      <c r="G128" s="236"/>
      <c r="H128" s="237"/>
      <c r="I128" s="157"/>
    </row>
    <row r="129" spans="1:9" ht="17.25" thickBot="1" thickTop="1">
      <c r="A129" s="184" t="s">
        <v>39</v>
      </c>
      <c r="B129" s="155"/>
      <c r="C129" s="223">
        <f>+C15+C24+C33+C42+C51+C60+C69+C78+C87+C96+C105+C114+C123</f>
        <v>1402433036.01</v>
      </c>
      <c r="D129" s="223">
        <f>+D15+D24+D33+D42+D51+D60+D69+D78+D87+D96+D105+D114+D123</f>
        <v>135554425.11</v>
      </c>
      <c r="E129" s="223">
        <f>+E15+E24+E33+E42+E51+E60+E69+E78+E87+E96+E105+E114+E123</f>
        <v>140277780.16</v>
      </c>
      <c r="F129" s="170">
        <f>(+D129-E129)/E129</f>
        <v>-0.03367144136877952</v>
      </c>
      <c r="G129" s="236">
        <f>D129/C129</f>
        <v>0.09665661149544787</v>
      </c>
      <c r="H129" s="246">
        <f>1-G129</f>
        <v>0.9033433885045521</v>
      </c>
      <c r="I129" s="157"/>
    </row>
    <row r="130" spans="1:9" ht="16.5" thickTop="1">
      <c r="A130" s="185"/>
      <c r="B130" s="186"/>
      <c r="C130" s="231"/>
      <c r="D130" s="231"/>
      <c r="E130" s="231"/>
      <c r="F130" s="187"/>
      <c r="G130" s="250"/>
      <c r="H130" s="250"/>
      <c r="I130" s="151"/>
    </row>
    <row r="131" spans="1:9" ht="16.5" customHeight="1">
      <c r="A131" s="188" t="s">
        <v>49</v>
      </c>
      <c r="B131" s="189"/>
      <c r="C131" s="232"/>
      <c r="D131" s="232"/>
      <c r="E131" s="232"/>
      <c r="F131" s="190"/>
      <c r="G131" s="251"/>
      <c r="H131" s="251"/>
      <c r="I131" s="151"/>
    </row>
    <row r="132" spans="1:9" ht="15.75">
      <c r="A132" s="191"/>
      <c r="B132" s="189"/>
      <c r="C132" s="232"/>
      <c r="D132" s="232"/>
      <c r="E132" s="232"/>
      <c r="F132" s="190"/>
      <c r="G132" s="257"/>
      <c r="H132" s="257"/>
      <c r="I132" s="151"/>
    </row>
    <row r="133" spans="1:9" ht="15.75">
      <c r="A133" s="72"/>
      <c r="I133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2" manualBreakCount="2">
    <brk id="5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2023-01-09T15:24:26Z</cp:lastPrinted>
  <dcterms:created xsi:type="dcterms:W3CDTF">2003-09-09T14:41:43Z</dcterms:created>
  <dcterms:modified xsi:type="dcterms:W3CDTF">2023-01-09T21:21:56Z</dcterms:modified>
  <cp:category/>
  <cp:version/>
  <cp:contentType/>
  <cp:contentStatus/>
</cp:coreProperties>
</file>