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STATS'!$A$1:$M$117</definedName>
    <definedName name="_xlnm.Print_Area" localSheetId="4">'SLOT STATS'!$A$1:$I$118</definedName>
    <definedName name="_xlnm.Print_Area" localSheetId="2">'TABLE STATS'!$A$1:$H$117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<sst xmlns="http://schemas.openxmlformats.org/spreadsheetml/2006/main" count="241" uniqueCount="79">
  <si>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</si>
  <si>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</si>
  <si>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</si>
  <si>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</si>
  <si>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</si>
  <si>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</si>
  <si>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</si>
  <si>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</si>
  <si>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</si>
  <si>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</si>
  <si>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</si>
  <si>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</si>
  <si>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</si>
  <si>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</si>
  <si>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</si>
  <si>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</si>
  <si>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</si>
  <si>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</si>
  <si>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</si>
  <si>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</si>
  <si>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</si>
  <si>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</si>
  <si>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</si>
  <si>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</si>
  <si>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</si>
  <si>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</si>
  <si>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</si>
  <si>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</si>
  <si>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</si>
  <si>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</si>
  <si>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</si>
  <si>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</si>
  <si>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</si>
  <si>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</si>
  <si>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</si>
  <si>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</si>
  <si>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</si>
  <si>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</si>
  <si>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</si>
  <si>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</si>
  <si>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</si>
  <si>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</si>
  <si>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</si>
  <si>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</si>
  <si>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</si>
  <si>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</si>
  <si>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</si>
  <si>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</si>
  <si>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</si>
  <si>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</si>
  <si>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</si>
  <si>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</si>
  <si>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</si>
  <si>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</si>
  <si>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</si>
  <si>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</si>
  <si>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</si>
  <si>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</si>
  <si>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</si>
  <si>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</si>
  <si>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</si>
  <si>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</si>
  <si>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</si>
  <si>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</si>
  <si>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</si>
  <si>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</si>
  <si>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</si>
  <si>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</si>
  <si>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</si>
  <si>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</si>
  <si>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</si>
  <si>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</si>
  <si>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NOVEMBER 30, 2022</t>
  </si>
  <si>
    <t>(as reported on the tax remittal database dtd 12/7/22)</t>
  </si>
  <si>
    <t>FOR THE MONTH ENDED:   NOVEMBER 30, 2022</t>
  </si>
  <si>
    <t>THRU MONTH ENDED:   NOVEMBER 30, 2022</t>
  </si>
  <si>
    <t>(as reported on the tax remittal database as of 12/7/22)</t>
  </si>
  <si>
    <t>THRU MONTH ENDED:    NOVEMBER 30, 2022</t>
  </si>
  <si>
    <t>THRU MONTH ENDED:     NOVEMBER 30,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</si>
</sst>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>(+C9-D9)/D9</f>
        <v>-0.06383079255851513</v>
      </c>
      <c r="F9" s="21">
        <f>+C9-101378</f>
        <v>116565</v>
      </c>
      <c r="G9" s="21">
        <f>+D9-107437</f>
        <v>125366</v>
      </c>
      <c r="H9" s="23">
        <f>(+F9-G9)/G9</f>
        <v>-0.0702024472344974</v>
      </c>
      <c r="I9" s="24">
        <f>K9/C9</f>
        <v>73.39293026158217</v>
      </c>
      <c r="J9" s="24">
        <f>K9/F9</f>
        <v>137.22365547119634</v>
      </c>
      <c r="K9" s="21">
        <v>15995475.4</v>
      </c>
      <c r="L9" s="21">
        <v>15939478.61</v>
      </c>
      <c r="M9" s="25">
        <f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>(+C10-D10)/D10</f>
        <v>-0.11298693790054659</v>
      </c>
      <c r="F10" s="21">
        <f>+C10-93160</f>
        <v>106284</v>
      </c>
      <c r="G10" s="21">
        <f>+D10-102898</f>
        <v>121951</v>
      </c>
      <c r="H10" s="23">
        <f>(+F10-G10)/G10</f>
        <v>-0.12846963124533625</v>
      </c>
      <c r="I10" s="24">
        <f>K10/C10</f>
        <v>76.15323835262029</v>
      </c>
      <c r="J10" s="24">
        <f>K10/F10</f>
        <v>142.90303780437318</v>
      </c>
      <c r="K10" s="21">
        <v>15188306.47</v>
      </c>
      <c r="L10" s="21">
        <v>15076597.12</v>
      </c>
      <c r="M10" s="25">
        <f>(+K10-L10)/L10</f>
        <v>0.0074094538118162235</v>
      </c>
      <c r="N10" s="10"/>
      <c r="R10" s="2"/>
    </row>
    <row r="11" spans="1:18" ht="15">
      <c r="A11" s="19"/>
      <c r="B11" s="20">
        <f>DATE(2022,9,1)</f>
        <v>44805</v>
      </c>
      <c r="C11" s="21">
        <v>190853</v>
      </c>
      <c r="D11" s="22">
        <v>206050</v>
      </c>
      <c r="E11" s="23">
        <f>(+C11-D11)/D11</f>
        <v>-0.07375394321766561</v>
      </c>
      <c r="F11" s="21">
        <f>+C11-90801</f>
        <v>100052</v>
      </c>
      <c r="G11" s="21">
        <f>+D11-93968</f>
        <v>112082</v>
      </c>
      <c r="H11" s="23">
        <f>(+F11-G11)/G11</f>
        <v>-0.10733213183205154</v>
      </c>
      <c r="I11" s="24">
        <f>K11/C11</f>
        <v>72.70080192608971</v>
      </c>
      <c r="J11" s="24">
        <f>K11/F11</f>
        <v>138.67954813496982</v>
      </c>
      <c r="K11" s="21">
        <v>13875166.15</v>
      </c>
      <c r="L11" s="21">
        <v>13876432.72</v>
      </c>
      <c r="M11" s="25">
        <f>(+K11-L11)/L11</f>
        <v>-9.127489936046748E-05</v>
      </c>
      <c r="N11" s="10"/>
      <c r="R11" s="2"/>
    </row>
    <row r="12" spans="1:18" ht="15">
      <c r="A12" s="19"/>
      <c r="B12" s="20">
        <f>DATE(2022,10,1)</f>
        <v>44835</v>
      </c>
      <c r="C12" s="21">
        <v>191998</v>
      </c>
      <c r="D12" s="22">
        <v>219538</v>
      </c>
      <c r="E12" s="23">
        <f>(+C12-D12)/D12</f>
        <v>-0.12544525321356667</v>
      </c>
      <c r="F12" s="21">
        <f>+C12-90818</f>
        <v>101180</v>
      </c>
      <c r="G12" s="21">
        <f>+D12-100658</f>
        <v>118880</v>
      </c>
      <c r="H12" s="23">
        <f>(+F12-G12)/G12</f>
        <v>-0.14888963660834456</v>
      </c>
      <c r="I12" s="24">
        <f>K12/C12</f>
        <v>76.28116969968437</v>
      </c>
      <c r="J12" s="24">
        <f>K12/F12</f>
        <v>144.75026704882387</v>
      </c>
      <c r="K12" s="21">
        <v>14645832.02</v>
      </c>
      <c r="L12" s="21">
        <v>15248970.91</v>
      </c>
      <c r="M12" s="25">
        <f>(+K12-L12)/L12</f>
        <v>-0.03955276021967312</v>
      </c>
      <c r="N12" s="10"/>
      <c r="R12" s="2"/>
    </row>
    <row r="13" spans="1:18" ht="15">
      <c r="A13" s="19"/>
      <c r="B13" s="20">
        <f>DATE(2022,11,1)</f>
        <v>44866</v>
      </c>
      <c r="C13" s="21">
        <v>181329</v>
      </c>
      <c r="D13" s="22">
        <v>201331</v>
      </c>
      <c r="E13" s="23">
        <f>(+C13-D13)/D13</f>
        <v>-0.09934883351297118</v>
      </c>
      <c r="F13" s="21">
        <f>+C13-85776</f>
        <v>95553</v>
      </c>
      <c r="G13" s="21">
        <f>+D13-92874</f>
        <v>108457</v>
      </c>
      <c r="H13" s="23">
        <f>(+F13-G13)/G13</f>
        <v>-0.11897802815862507</v>
      </c>
      <c r="I13" s="24">
        <f>K13/C13</f>
        <v>74.71362490280099</v>
      </c>
      <c r="J13" s="24">
        <f>K13/F13</f>
        <v>141.78253838184045</v>
      </c>
      <c r="K13" s="21">
        <v>13547746.89</v>
      </c>
      <c r="L13" s="21">
        <v>13533758.14</v>
      </c>
      <c r="M13" s="25">
        <f>(+K13-L13)/L13</f>
        <v>0.0010336190328874902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6.5" thickBot="1" thickTop="1">
      <c r="A15" s="26" t="s">
        <v>14</v>
      </c>
      <c r="B15" s="27"/>
      <c r="C15" s="28">
        <f>SUM(C9:C14)</f>
        <v>981567</v>
      </c>
      <c r="D15" s="28">
        <f>SUM(D9:D14)</f>
        <v>1084571</v>
      </c>
      <c r="E15" s="279">
        <f>(+C15-D15)/D15</f>
        <v>-0.09497211339783196</v>
      </c>
      <c r="F15" s="28">
        <f>SUM(F9:F14)</f>
        <v>519634</v>
      </c>
      <c r="G15" s="28">
        <f>SUM(G9:G14)</f>
        <v>586736</v>
      </c>
      <c r="H15" s="30">
        <f>(+F15-G15)/G15</f>
        <v>-0.11436489323988983</v>
      </c>
      <c r="I15" s="31">
        <f>K15/C15</f>
        <v>74.6281475742359</v>
      </c>
      <c r="J15" s="31">
        <f>K15/F15</f>
        <v>140.9694649118418</v>
      </c>
      <c r="K15" s="28">
        <f>SUM(K9:K14)</f>
        <v>73252526.93</v>
      </c>
      <c r="L15" s="28">
        <f>SUM(L9:L14)</f>
        <v>73675237.5</v>
      </c>
      <c r="M15" s="32">
        <f>(+K15-L15)/L15</f>
        <v>-0.005737484999624098</v>
      </c>
      <c r="N15" s="10"/>
      <c r="R15" s="2"/>
    </row>
    <row r="16" spans="1:18" ht="15.75" customHeight="1" thickTop="1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">
      <c r="A17" s="19" t="s">
        <v>15</v>
      </c>
      <c r="B17" s="20">
        <f>DATE(2022,7,1)</f>
        <v>44743</v>
      </c>
      <c r="C17" s="21">
        <v>114715</v>
      </c>
      <c r="D17" s="21">
        <v>116107</v>
      </c>
      <c r="E17" s="23">
        <f>(+C17-D17)/D17</f>
        <v>-0.011988941235239909</v>
      </c>
      <c r="F17" s="21">
        <f>+C17-55568</f>
        <v>59147</v>
      </c>
      <c r="G17" s="21">
        <f>+D17-56210</f>
        <v>59897</v>
      </c>
      <c r="H17" s="23">
        <f>(+F17-G17)/G17</f>
        <v>-0.012521495233484147</v>
      </c>
      <c r="I17" s="24">
        <f>K17/C17</f>
        <v>73.18793714858563</v>
      </c>
      <c r="J17" s="24">
        <f>K17/F17</f>
        <v>141.9472536223308</v>
      </c>
      <c r="K17" s="21">
        <v>8395754.21</v>
      </c>
      <c r="L17" s="21">
        <v>8058935.65</v>
      </c>
      <c r="M17" s="25">
        <f>(+K17-L17)/L17</f>
        <v>0.041794422319279906</v>
      </c>
      <c r="N17" s="10"/>
      <c r="R17" s="2"/>
    </row>
    <row r="18" spans="1:18" ht="15">
      <c r="A18" s="19"/>
      <c r="B18" s="20">
        <f>DATE(2022,8,1)</f>
        <v>44774</v>
      </c>
      <c r="C18" s="21">
        <v>103784</v>
      </c>
      <c r="D18" s="21">
        <v>103353</v>
      </c>
      <c r="E18" s="23">
        <f>(+C18-D18)/D18</f>
        <v>0.004170174063645951</v>
      </c>
      <c r="F18" s="21">
        <f>+C18-49858</f>
        <v>53926</v>
      </c>
      <c r="G18" s="21">
        <f>+D18-50446</f>
        <v>52907</v>
      </c>
      <c r="H18" s="23">
        <f>(+F18-G18)/G18</f>
        <v>0.019260211314192827</v>
      </c>
      <c r="I18" s="24">
        <f>K18/C18</f>
        <v>72.90103994835428</v>
      </c>
      <c r="J18" s="24">
        <f>K18/F18</f>
        <v>140.30266531914106</v>
      </c>
      <c r="K18" s="21">
        <v>7565961.53</v>
      </c>
      <c r="L18" s="21">
        <v>7190146.61</v>
      </c>
      <c r="M18" s="25">
        <f>(+K18-L18)/L18</f>
        <v>0.05226804686810133</v>
      </c>
      <c r="N18" s="10"/>
      <c r="R18" s="2"/>
    </row>
    <row r="19" spans="1:18" ht="15">
      <c r="A19" s="19"/>
      <c r="B19" s="20">
        <f>DATE(2022,9,1)</f>
        <v>44805</v>
      </c>
      <c r="C19" s="21">
        <v>107511</v>
      </c>
      <c r="D19" s="21">
        <v>103596</v>
      </c>
      <c r="E19" s="23">
        <f>(+C19-D19)/D19</f>
        <v>0.037791034402872695</v>
      </c>
      <c r="F19" s="21">
        <f>+C19-51983</f>
        <v>55528</v>
      </c>
      <c r="G19" s="21">
        <f>+D19-49808</f>
        <v>53788</v>
      </c>
      <c r="H19" s="23">
        <f>(+F19-G19)/G19</f>
        <v>0.0323492228749907</v>
      </c>
      <c r="I19" s="24">
        <f>K19/C19</f>
        <v>72.49414980792663</v>
      </c>
      <c r="J19" s="24">
        <f>K19/F19</f>
        <v>140.36015235556837</v>
      </c>
      <c r="K19" s="21">
        <v>7793918.54</v>
      </c>
      <c r="L19" s="21">
        <v>7629702.11</v>
      </c>
      <c r="M19" s="25">
        <f>(+K19-L19)/L19</f>
        <v>0.021523308201609418</v>
      </c>
      <c r="N19" s="10"/>
      <c r="R19" s="2"/>
    </row>
    <row r="20" spans="1:18" ht="15">
      <c r="A20" s="19"/>
      <c r="B20" s="20">
        <f>DATE(2022,10,1)</f>
        <v>44835</v>
      </c>
      <c r="C20" s="21">
        <v>104490</v>
      </c>
      <c r="D20" s="21">
        <v>110079</v>
      </c>
      <c r="E20" s="23">
        <f>(+C20-D20)/D20</f>
        <v>-0.05077262693156733</v>
      </c>
      <c r="F20" s="21">
        <f>+C20-49825</f>
        <v>54665</v>
      </c>
      <c r="G20" s="21">
        <f>+D20-53226</f>
        <v>56853</v>
      </c>
      <c r="H20" s="23">
        <f>(+F20-G20)/G20</f>
        <v>-0.03848521625947619</v>
      </c>
      <c r="I20" s="24">
        <f>K20/C20</f>
        <v>73.32391941812614</v>
      </c>
      <c r="J20" s="24">
        <f>K20/F20</f>
        <v>140.1557914570566</v>
      </c>
      <c r="K20" s="21">
        <v>7661616.34</v>
      </c>
      <c r="L20" s="21">
        <v>7839043.76</v>
      </c>
      <c r="M20" s="25">
        <f>(+K20-L20)/L20</f>
        <v>-0.02263380910122639</v>
      </c>
      <c r="N20" s="10"/>
      <c r="R20" s="2"/>
    </row>
    <row r="21" spans="1:18" ht="15">
      <c r="A21" s="19"/>
      <c r="B21" s="20">
        <f>DATE(2022,11,1)</f>
        <v>44866</v>
      </c>
      <c r="C21" s="21">
        <v>93678</v>
      </c>
      <c r="D21" s="21">
        <v>95314</v>
      </c>
      <c r="E21" s="23">
        <f>(+C21-D21)/D21</f>
        <v>-0.017164320036930567</v>
      </c>
      <c r="F21" s="21">
        <f>+C21-44918</f>
        <v>48760</v>
      </c>
      <c r="G21" s="21">
        <f>+D21-46228</f>
        <v>49086</v>
      </c>
      <c r="H21" s="23">
        <f>(+F21-G21)/G21</f>
        <v>-0.006641404881228863</v>
      </c>
      <c r="I21" s="24">
        <f>K21/C21</f>
        <v>75.06646234975128</v>
      </c>
      <c r="J21" s="24">
        <f>K21/F21</f>
        <v>144.21813084495489</v>
      </c>
      <c r="K21" s="21">
        <v>7032076.06</v>
      </c>
      <c r="L21" s="21">
        <v>6796062.14</v>
      </c>
      <c r="M21" s="25">
        <f>(+K21-L21)/L21</f>
        <v>0.03472804031777142</v>
      </c>
      <c r="N21" s="10"/>
      <c r="R21" s="2"/>
    </row>
    <row r="22" spans="1:18" ht="15.75" customHeight="1" thickBot="1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Bot="1" thickTop="1">
      <c r="A23" s="26" t="s">
        <v>14</v>
      </c>
      <c r="B23" s="27"/>
      <c r="C23" s="28">
        <f>SUM(C17:C22)</f>
        <v>524178</v>
      </c>
      <c r="D23" s="28">
        <f>SUM(D17:D22)</f>
        <v>528449</v>
      </c>
      <c r="E23" s="279">
        <f>(+C23-D23)/D23</f>
        <v>-0.008082142269168832</v>
      </c>
      <c r="F23" s="28">
        <f>SUM(F17:F22)</f>
        <v>272026</v>
      </c>
      <c r="G23" s="28">
        <f>SUM(G17:G22)</f>
        <v>272531</v>
      </c>
      <c r="H23" s="30">
        <f>(+F23-G23)/G23</f>
        <v>-0.0018530002091505186</v>
      </c>
      <c r="I23" s="31">
        <f>K23/C23</f>
        <v>73.35166046648276</v>
      </c>
      <c r="J23" s="31">
        <f>K23/F23</f>
        <v>141.34430782351686</v>
      </c>
      <c r="K23" s="28">
        <f>SUM(K17:K22)</f>
        <v>38449326.68</v>
      </c>
      <c r="L23" s="28">
        <f>SUM(L17:L22)</f>
        <v>37513890.27</v>
      </c>
      <c r="M23" s="32">
        <f>(+K23-L23)/L23</f>
        <v>0.02493573455771577</v>
      </c>
      <c r="N23" s="10"/>
      <c r="R23" s="2"/>
    </row>
    <row r="24" spans="1:18" ht="15.75" customHeight="1" thickTop="1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>
      <c r="A25" s="19" t="s">
        <v>62</v>
      </c>
      <c r="B25" s="20">
        <f>DATE(2022,7,1)</f>
        <v>44743</v>
      </c>
      <c r="C25" s="21">
        <v>56544</v>
      </c>
      <c r="D25" s="21">
        <v>66837</v>
      </c>
      <c r="E25" s="23">
        <f>(+C25-D25)/D25</f>
        <v>-0.1540015261008124</v>
      </c>
      <c r="F25" s="21">
        <f>+C25-31773</f>
        <v>24771</v>
      </c>
      <c r="G25" s="21">
        <f>+D25-37212</f>
        <v>29625</v>
      </c>
      <c r="H25" s="23">
        <f>(+F25-G25)/G25</f>
        <v>-0.16384810126582278</v>
      </c>
      <c r="I25" s="24">
        <f>K25/C25</f>
        <v>66.96577355687606</v>
      </c>
      <c r="J25" s="24">
        <f>K25/F25</f>
        <v>152.8607121230471</v>
      </c>
      <c r="K25" s="21">
        <v>3786512.7</v>
      </c>
      <c r="L25" s="21">
        <v>4599517.95</v>
      </c>
      <c r="M25" s="25">
        <f>(+K25-L25)/L25</f>
        <v>-0.17675879490806204</v>
      </c>
      <c r="N25" s="10"/>
      <c r="R25" s="2"/>
    </row>
    <row r="26" spans="1:18" ht="15.75" customHeight="1">
      <c r="A26" s="19"/>
      <c r="B26" s="20">
        <f>DATE(2022,8,1)</f>
        <v>44774</v>
      </c>
      <c r="C26" s="21">
        <v>49669</v>
      </c>
      <c r="D26" s="21">
        <v>56112</v>
      </c>
      <c r="E26" s="23">
        <f>(+C26-D26)/D26</f>
        <v>-0.11482392358140861</v>
      </c>
      <c r="F26" s="21">
        <f>+C26-27651</f>
        <v>22018</v>
      </c>
      <c r="G26" s="21">
        <f>+D26-31048</f>
        <v>25064</v>
      </c>
      <c r="H26" s="23">
        <f>(+F26-G26)/G26</f>
        <v>-0.12152888605170763</v>
      </c>
      <c r="I26" s="24">
        <f>K26/C26</f>
        <v>70.40636030522056</v>
      </c>
      <c r="J26" s="24">
        <f>K26/F26</f>
        <v>158.8252116450177</v>
      </c>
      <c r="K26" s="21">
        <v>3497013.51</v>
      </c>
      <c r="L26" s="21">
        <v>3838097.49</v>
      </c>
      <c r="M26" s="25">
        <f>(+K26-L26)/L26</f>
        <v>-0.0888679823502869</v>
      </c>
      <c r="N26" s="10"/>
      <c r="R26" s="2"/>
    </row>
    <row r="27" spans="1:18" ht="15.75" customHeight="1">
      <c r="A27" s="19"/>
      <c r="B27" s="20">
        <f>DATE(2022,9,1)</f>
        <v>44805</v>
      </c>
      <c r="C27" s="21">
        <v>50523</v>
      </c>
      <c r="D27" s="21">
        <v>58084</v>
      </c>
      <c r="E27" s="23">
        <f>(+C27-D27)/D27</f>
        <v>-0.13017354176709592</v>
      </c>
      <c r="F27" s="21">
        <f>+C27-27954</f>
        <v>22569</v>
      </c>
      <c r="G27" s="21">
        <f>+D27-32339</f>
        <v>25745</v>
      </c>
      <c r="H27" s="23">
        <f>(+F27-G27)/G27</f>
        <v>-0.12336375995338901</v>
      </c>
      <c r="I27" s="24">
        <f>K27/C27</f>
        <v>71.1914227183659</v>
      </c>
      <c r="J27" s="24">
        <f>K27/F27</f>
        <v>159.36923434799948</v>
      </c>
      <c r="K27" s="21">
        <v>3596804.25</v>
      </c>
      <c r="L27" s="21">
        <v>4086616.29</v>
      </c>
      <c r="M27" s="25">
        <f>(+K27-L27)/L27</f>
        <v>-0.11985760473734128</v>
      </c>
      <c r="N27" s="10"/>
      <c r="R27" s="2"/>
    </row>
    <row r="28" spans="1:18" ht="15.75" customHeight="1">
      <c r="A28" s="19"/>
      <c r="B28" s="20">
        <f>DATE(2022,10,1)</f>
        <v>44835</v>
      </c>
      <c r="C28" s="21">
        <v>47473</v>
      </c>
      <c r="D28" s="21">
        <v>57860</v>
      </c>
      <c r="E28" s="23">
        <f>(+C28-D28)/D28</f>
        <v>-0.17951952989975803</v>
      </c>
      <c r="F28" s="21">
        <f>+C28-26103</f>
        <v>21370</v>
      </c>
      <c r="G28" s="21">
        <f>+D28-32287</f>
        <v>25573</v>
      </c>
      <c r="H28" s="23">
        <f>(+F28-G28)/G28</f>
        <v>-0.16435302858483558</v>
      </c>
      <c r="I28" s="24">
        <f>K28/C28</f>
        <v>70.76833652813178</v>
      </c>
      <c r="J28" s="24">
        <f>K28/F28</f>
        <v>157.21035283107162</v>
      </c>
      <c r="K28" s="21">
        <v>3359585.24</v>
      </c>
      <c r="L28" s="21">
        <v>4102964.61</v>
      </c>
      <c r="M28" s="25">
        <f>(+K28-L28)/L28</f>
        <v>-0.1811810338768678</v>
      </c>
      <c r="N28" s="10"/>
      <c r="R28" s="2"/>
    </row>
    <row r="29" spans="1:18" ht="15.75" customHeight="1">
      <c r="A29" s="19"/>
      <c r="B29" s="20">
        <f>DATE(2022,11,1)</f>
        <v>44866</v>
      </c>
      <c r="C29" s="21">
        <v>39425</v>
      </c>
      <c r="D29" s="21">
        <v>51753</v>
      </c>
      <c r="E29" s="23">
        <f>(+C29-D29)/D29</f>
        <v>-0.23820841303885765</v>
      </c>
      <c r="F29" s="21">
        <f>+C29-21931</f>
        <v>17494</v>
      </c>
      <c r="G29" s="21">
        <f>+D29-28958</f>
        <v>22795</v>
      </c>
      <c r="H29" s="23">
        <f>(+F29-G29)/G29</f>
        <v>-0.23255099802588286</v>
      </c>
      <c r="I29" s="24">
        <f>K29/C29</f>
        <v>78.5845882054534</v>
      </c>
      <c r="J29" s="24">
        <f>K29/F29</f>
        <v>177.10057105293245</v>
      </c>
      <c r="K29" s="21">
        <v>3098197.39</v>
      </c>
      <c r="L29" s="21">
        <v>3696376.98</v>
      </c>
      <c r="M29" s="25">
        <f>(+K29-L29)/L29</f>
        <v>-0.16182862117056032</v>
      </c>
      <c r="N29" s="10"/>
      <c r="R29" s="2"/>
    </row>
    <row r="30" spans="1:18" ht="15.75" customHeight="1" thickBot="1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40"/>
      <c r="C31" s="41">
        <f>SUM(C25:C30)</f>
        <v>243634</v>
      </c>
      <c r="D31" s="41">
        <f>SUM(D25:D30)</f>
        <v>290646</v>
      </c>
      <c r="E31" s="280">
        <f>(+C31-D31)/D31</f>
        <v>-0.16175003268581023</v>
      </c>
      <c r="F31" s="41">
        <f>SUM(F25:F30)</f>
        <v>108222</v>
      </c>
      <c r="G31" s="41">
        <f>SUM(G25:G30)</f>
        <v>128802</v>
      </c>
      <c r="H31" s="42">
        <f>(+F31-G31)/G31</f>
        <v>-0.1597801276377696</v>
      </c>
      <c r="I31" s="43">
        <f>K31/C31</f>
        <v>71.16458741390774</v>
      </c>
      <c r="J31" s="43">
        <f>K31/F31</f>
        <v>160.20876614736375</v>
      </c>
      <c r="K31" s="41">
        <f>SUM(K25:K30)</f>
        <v>17338113.09</v>
      </c>
      <c r="L31" s="41">
        <f>SUM(L25:L30)</f>
        <v>20323573.32</v>
      </c>
      <c r="M31" s="44">
        <f>(+K31-L31)/L31</f>
        <v>-0.14689642333034378</v>
      </c>
      <c r="N31" s="10"/>
      <c r="R31" s="2"/>
    </row>
    <row r="32" spans="1:18" ht="15.75" customHeight="1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>
      <c r="A33" s="177" t="s">
        <v>58</v>
      </c>
      <c r="B33" s="20">
        <f>DATE(2022,7,1)</f>
        <v>44743</v>
      </c>
      <c r="C33" s="21">
        <v>327697</v>
      </c>
      <c r="D33" s="21">
        <v>337225</v>
      </c>
      <c r="E33" s="23">
        <f>(+C33-D33)/D33</f>
        <v>-0.028254132997257025</v>
      </c>
      <c r="F33" s="21">
        <f>+C33-165744</f>
        <v>161953</v>
      </c>
      <c r="G33" s="21">
        <f>+D33-176904</f>
        <v>160321</v>
      </c>
      <c r="H33" s="23">
        <f>(+F33-G33)/G33</f>
        <v>0.010179577223195964</v>
      </c>
      <c r="I33" s="24">
        <f>K33/C33</f>
        <v>65.31661028327997</v>
      </c>
      <c r="J33" s="24">
        <f>K33/F33</f>
        <v>132.16215346427666</v>
      </c>
      <c r="K33" s="21">
        <v>21404057.24</v>
      </c>
      <c r="L33" s="21">
        <v>19292691.57</v>
      </c>
      <c r="M33" s="25">
        <f>(+K33-L33)/L33</f>
        <v>0.10943862666021971</v>
      </c>
      <c r="N33" s="10"/>
      <c r="R33" s="2"/>
    </row>
    <row r="34" spans="1:18" ht="15.75" customHeight="1">
      <c r="A34" s="177"/>
      <c r="B34" s="20">
        <f>DATE(2022,8,1)</f>
        <v>44774</v>
      </c>
      <c r="C34" s="21">
        <v>302775</v>
      </c>
      <c r="D34" s="21">
        <v>302300</v>
      </c>
      <c r="E34" s="23">
        <f>(+C34-D34)/D34</f>
        <v>0.00157128680119087</v>
      </c>
      <c r="F34" s="21">
        <f>+C34-150422</f>
        <v>152353</v>
      </c>
      <c r="G34" s="21">
        <f>+D34-157033</f>
        <v>145267</v>
      </c>
      <c r="H34" s="23">
        <f>(+F34-G34)/G34</f>
        <v>0.04877914460958098</v>
      </c>
      <c r="I34" s="24">
        <f>K34/C34</f>
        <v>63.881155379407154</v>
      </c>
      <c r="J34" s="24">
        <f>K34/F34</f>
        <v>126.95264825766476</v>
      </c>
      <c r="K34" s="21">
        <v>19341616.82</v>
      </c>
      <c r="L34" s="21">
        <v>17616276.93</v>
      </c>
      <c r="M34" s="25">
        <f>(+K34-L34)/L34</f>
        <v>0.09794009806134449</v>
      </c>
      <c r="N34" s="10"/>
      <c r="R34" s="2"/>
    </row>
    <row r="35" spans="1:18" ht="15.75" customHeight="1">
      <c r="A35" s="177"/>
      <c r="B35" s="20">
        <f>DATE(2022,9,1)</f>
        <v>44805</v>
      </c>
      <c r="C35" s="21">
        <v>299586</v>
      </c>
      <c r="D35" s="21">
        <v>336142</v>
      </c>
      <c r="E35" s="23">
        <f>(+C35-D35)/D35</f>
        <v>-0.10875165852526611</v>
      </c>
      <c r="F35" s="21">
        <f>+C35-150974</f>
        <v>148612</v>
      </c>
      <c r="G35" s="21">
        <f>+D35-171648</f>
        <v>164494</v>
      </c>
      <c r="H35" s="23">
        <f>(+F35-G35)/G35</f>
        <v>-0.09655063406568021</v>
      </c>
      <c r="I35" s="24">
        <f>K35/C35</f>
        <v>70.61192689244491</v>
      </c>
      <c r="J35" s="24">
        <f>K35/F35</f>
        <v>142.3461411595295</v>
      </c>
      <c r="K35" s="21">
        <v>21154344.73</v>
      </c>
      <c r="L35" s="21">
        <v>19389436.62</v>
      </c>
      <c r="M35" s="25">
        <f>(+K35-L35)/L35</f>
        <v>0.09102420790192094</v>
      </c>
      <c r="N35" s="10"/>
      <c r="R35" s="2"/>
    </row>
    <row r="36" spans="1:18" ht="15.75" customHeight="1">
      <c r="A36" s="177"/>
      <c r="B36" s="20">
        <f>DATE(2022,10,1)</f>
        <v>44835</v>
      </c>
      <c r="C36" s="21">
        <v>280901</v>
      </c>
      <c r="D36" s="21">
        <v>333807</v>
      </c>
      <c r="E36" s="23">
        <f>(+C36-D36)/D36</f>
        <v>-0.15849278175712314</v>
      </c>
      <c r="F36" s="21">
        <f>+C36-143073</f>
        <v>137828</v>
      </c>
      <c r="G36" s="21">
        <f>+D36-175822</f>
        <v>157985</v>
      </c>
      <c r="H36" s="23">
        <f>(+F36-G36)/G36</f>
        <v>-0.1275880621577998</v>
      </c>
      <c r="I36" s="24">
        <f>K36/C36</f>
        <v>68.57093851570482</v>
      </c>
      <c r="J36" s="24">
        <f>K36/F36</f>
        <v>139.7513219374873</v>
      </c>
      <c r="K36" s="21">
        <v>19261645.2</v>
      </c>
      <c r="L36" s="21">
        <v>19174424.98</v>
      </c>
      <c r="M36" s="25">
        <f>(+K36-L36)/L36</f>
        <v>0.004548778912065127</v>
      </c>
      <c r="N36" s="10"/>
      <c r="R36" s="2"/>
    </row>
    <row r="37" spans="1:18" ht="15.75" customHeight="1">
      <c r="A37" s="177"/>
      <c r="B37" s="20">
        <f>DATE(2022,11,1)</f>
        <v>44866</v>
      </c>
      <c r="C37" s="21">
        <v>277460</v>
      </c>
      <c r="D37" s="21">
        <v>303436</v>
      </c>
      <c r="E37" s="23">
        <f>(+C37-D37)/D37</f>
        <v>-0.0856061904322493</v>
      </c>
      <c r="F37" s="21">
        <f>+C37-138723</f>
        <v>138737</v>
      </c>
      <c r="G37" s="21">
        <f>+D37-164494</f>
        <v>138942</v>
      </c>
      <c r="H37" s="23">
        <f>(+F37-G37)/G37</f>
        <v>-0.0014754357933526219</v>
      </c>
      <c r="I37" s="24">
        <f>K37/C37</f>
        <v>64.59904206011677</v>
      </c>
      <c r="J37" s="24">
        <f>K37/F37</f>
        <v>129.1915654079301</v>
      </c>
      <c r="K37" s="21">
        <v>17923650.21</v>
      </c>
      <c r="L37" s="21">
        <v>18834359.64</v>
      </c>
      <c r="M37" s="25">
        <f>(+K37-L37)/L37</f>
        <v>-0.04835361793059611</v>
      </c>
      <c r="N37" s="10"/>
      <c r="R37" s="2"/>
    </row>
    <row r="38" spans="1:18" ht="15" thickBot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6.5" thickBot="1" thickTop="1">
      <c r="A39" s="39" t="s">
        <v>14</v>
      </c>
      <c r="B39" s="40"/>
      <c r="C39" s="41">
        <f>SUM(C33:C38)</f>
        <v>1488419</v>
      </c>
      <c r="D39" s="41">
        <f>SUM(D33:D38)</f>
        <v>1612910</v>
      </c>
      <c r="E39" s="280">
        <f>(+C39-D39)/D39</f>
        <v>-0.07718409582679753</v>
      </c>
      <c r="F39" s="41">
        <f>SUM(F33:F38)</f>
        <v>739483</v>
      </c>
      <c r="G39" s="41">
        <f>SUM(G33:G38)</f>
        <v>767009</v>
      </c>
      <c r="H39" s="42">
        <f>(+F39-G39)/G39</f>
        <v>-0.03588745373261591</v>
      </c>
      <c r="I39" s="43">
        <f>K39/C39</f>
        <v>66.57084745626065</v>
      </c>
      <c r="J39" s="43">
        <f>K39/F39</f>
        <v>133.99268705298164</v>
      </c>
      <c r="K39" s="41">
        <f>SUM(K33:K38)</f>
        <v>99085314.20000002</v>
      </c>
      <c r="L39" s="41">
        <f>SUM(L33:L38)</f>
        <v>94307189.74000001</v>
      </c>
      <c r="M39" s="44">
        <f>(+K39-L39)/L39</f>
        <v>0.050665537518115505</v>
      </c>
      <c r="N39" s="10"/>
      <c r="R39" s="2"/>
    </row>
    <row r="40" spans="1:18" ht="15" thickTop="1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">
      <c r="A41" s="19" t="s">
        <v>60</v>
      </c>
      <c r="B41" s="20">
        <f>DATE(2022,7,1)</f>
        <v>44743</v>
      </c>
      <c r="C41" s="21">
        <v>219130</v>
      </c>
      <c r="D41" s="21">
        <v>256229</v>
      </c>
      <c r="E41" s="23">
        <f>(+C41-D41)/D41</f>
        <v>-0.14478845095598078</v>
      </c>
      <c r="F41" s="21">
        <f>+C41-103416</f>
        <v>115714</v>
      </c>
      <c r="G41" s="21">
        <f>+D41-120621</f>
        <v>135608</v>
      </c>
      <c r="H41" s="23">
        <f>(+F41-G41)/G41</f>
        <v>-0.14670225945371954</v>
      </c>
      <c r="I41" s="24">
        <f>K41/C41</f>
        <v>68.78706274814037</v>
      </c>
      <c r="J41" s="24">
        <f>K41/F41</f>
        <v>130.2634863542873</v>
      </c>
      <c r="K41" s="21">
        <v>15073309.06</v>
      </c>
      <c r="L41" s="21">
        <v>16211316.17</v>
      </c>
      <c r="M41" s="25">
        <f>(+K41-L41)/L41</f>
        <v>-0.07019831690815759</v>
      </c>
      <c r="N41" s="10"/>
      <c r="R41" s="2"/>
    </row>
    <row r="42" spans="1:18" ht="15">
      <c r="A42" s="19"/>
      <c r="B42" s="20">
        <f>DATE(2022,8,1)</f>
        <v>44774</v>
      </c>
      <c r="C42" s="21">
        <v>204381</v>
      </c>
      <c r="D42" s="21">
        <v>232853</v>
      </c>
      <c r="E42" s="23">
        <f>(+C42-D42)/D42</f>
        <v>-0.12227456807513754</v>
      </c>
      <c r="F42" s="21">
        <f>+C42-97907</f>
        <v>106474</v>
      </c>
      <c r="G42" s="21">
        <f>+D42-112411</f>
        <v>120442</v>
      </c>
      <c r="H42" s="23">
        <f>(+F42-G42)/G42</f>
        <v>-0.11597283339698776</v>
      </c>
      <c r="I42" s="24">
        <f>K42/C42</f>
        <v>74.90397996878379</v>
      </c>
      <c r="J42" s="24">
        <f>K42/F42</f>
        <v>143.78111398087796</v>
      </c>
      <c r="K42" s="21">
        <v>15308950.33</v>
      </c>
      <c r="L42" s="21">
        <v>13388857.55</v>
      </c>
      <c r="M42" s="25">
        <f>(+K42-L42)/L42</f>
        <v>0.1434097549271483</v>
      </c>
      <c r="N42" s="10"/>
      <c r="R42" s="2"/>
    </row>
    <row r="43" spans="1:18" ht="15">
      <c r="A43" s="19"/>
      <c r="B43" s="20">
        <f>DATE(2022,9,1)</f>
        <v>44805</v>
      </c>
      <c r="C43" s="21">
        <v>195879</v>
      </c>
      <c r="D43" s="21">
        <v>224419</v>
      </c>
      <c r="E43" s="23">
        <f>(+C43-D43)/D43</f>
        <v>-0.12717283295977613</v>
      </c>
      <c r="F43" s="21">
        <f>+C43-93599</f>
        <v>102280</v>
      </c>
      <c r="G43" s="21">
        <f>+D43-105923</f>
        <v>118496</v>
      </c>
      <c r="H43" s="23">
        <f>(+F43-G43)/G43</f>
        <v>-0.1368485012152309</v>
      </c>
      <c r="I43" s="24">
        <f>K43/C43</f>
        <v>70.69372066428765</v>
      </c>
      <c r="J43" s="24">
        <f>K43/F43</f>
        <v>135.387322154869</v>
      </c>
      <c r="K43" s="21">
        <v>13847415.31</v>
      </c>
      <c r="L43" s="21">
        <v>14489840.68</v>
      </c>
      <c r="M43" s="25">
        <f>(+K43-L43)/L43</f>
        <v>-0.044336261811817185</v>
      </c>
      <c r="N43" s="10"/>
      <c r="R43" s="2"/>
    </row>
    <row r="44" spans="1:18" ht="15">
      <c r="A44" s="19"/>
      <c r="B44" s="20">
        <f>DATE(2022,10,1)</f>
        <v>44835</v>
      </c>
      <c r="C44" s="21">
        <v>197679</v>
      </c>
      <c r="D44" s="21">
        <v>231892</v>
      </c>
      <c r="E44" s="23">
        <f>(+C44-D44)/D44</f>
        <v>-0.14753850930605628</v>
      </c>
      <c r="F44" s="21">
        <f>+C44-94885</f>
        <v>102794</v>
      </c>
      <c r="G44" s="21">
        <f>+D44-109202</f>
        <v>122690</v>
      </c>
      <c r="H44" s="23">
        <f>(+F44-G44)/G44</f>
        <v>-0.16216480560762897</v>
      </c>
      <c r="I44" s="24">
        <f>K44/C44</f>
        <v>60.34940787842917</v>
      </c>
      <c r="J44" s="24">
        <f>K44/F44</f>
        <v>116.05551491332179</v>
      </c>
      <c r="K44" s="21">
        <v>11929810.6</v>
      </c>
      <c r="L44" s="21">
        <v>14909962.77</v>
      </c>
      <c r="M44" s="25">
        <f>(+K44-L44)/L44</f>
        <v>-0.19987656682793983</v>
      </c>
      <c r="N44" s="10"/>
      <c r="R44" s="2"/>
    </row>
    <row r="45" spans="1:18" ht="15">
      <c r="A45" s="19"/>
      <c r="B45" s="20">
        <f>DATE(2022,11,1)</f>
        <v>44866</v>
      </c>
      <c r="C45" s="21">
        <v>191977</v>
      </c>
      <c r="D45" s="21">
        <v>219677</v>
      </c>
      <c r="E45" s="23">
        <f>(+C45-D45)/D45</f>
        <v>-0.12609422015049368</v>
      </c>
      <c r="F45" s="21">
        <f>+C45-91569</f>
        <v>100408</v>
      </c>
      <c r="G45" s="21">
        <f>+D45-102367</f>
        <v>117310</v>
      </c>
      <c r="H45" s="23">
        <f>(+F45-G45)/G45</f>
        <v>-0.14407978859432274</v>
      </c>
      <c r="I45" s="24">
        <f>K45/C45</f>
        <v>73.44212129578023</v>
      </c>
      <c r="J45" s="24">
        <f>K45/F45</f>
        <v>140.41907138873395</v>
      </c>
      <c r="K45" s="21">
        <v>14099198.12</v>
      </c>
      <c r="L45" s="21">
        <v>15078789.92</v>
      </c>
      <c r="M45" s="25">
        <f>(+K45-L45)/L45</f>
        <v>-0.06496488147903057</v>
      </c>
      <c r="N45" s="10"/>
      <c r="R45" s="2"/>
    </row>
    <row r="46" spans="1:18" ht="15" thickBot="1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6.5" thickBot="1" thickTop="1">
      <c r="A47" s="39" t="s">
        <v>14</v>
      </c>
      <c r="B47" s="40"/>
      <c r="C47" s="41">
        <f>SUM(C41:C46)</f>
        <v>1009046</v>
      </c>
      <c r="D47" s="41">
        <f>SUM(D41:D46)</f>
        <v>1165070</v>
      </c>
      <c r="E47" s="281">
        <f>(+C47-D47)/D47</f>
        <v>-0.1339181336743715</v>
      </c>
      <c r="F47" s="47">
        <f>SUM(F41:F46)</f>
        <v>527670</v>
      </c>
      <c r="G47" s="48">
        <f>SUM(G41:G46)</f>
        <v>614546</v>
      </c>
      <c r="H47" s="49">
        <f>(+F47-G47)/G47</f>
        <v>-0.14136614671643782</v>
      </c>
      <c r="I47" s="50">
        <f>K47/C47</f>
        <v>69.6288211042906</v>
      </c>
      <c r="J47" s="51">
        <f>K47/F47</f>
        <v>133.14890636193076</v>
      </c>
      <c r="K47" s="48">
        <f>SUM(K41:K46)</f>
        <v>70258683.42</v>
      </c>
      <c r="L47" s="47">
        <f>SUM(L41:L46)</f>
        <v>74078767.09</v>
      </c>
      <c r="M47" s="44">
        <f>(+K47-L47)/L47</f>
        <v>-0.05156786242620499</v>
      </c>
      <c r="N47" s="10"/>
      <c r="R47" s="2"/>
    </row>
    <row r="48" spans="1:18" ht="15.75" customHeight="1" thickTop="1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">
      <c r="A49" s="274" t="s">
        <v>61</v>
      </c>
      <c r="B49" s="20">
        <f>DATE(2022,7,1)</f>
        <v>44743</v>
      </c>
      <c r="C49" s="21">
        <v>95268</v>
      </c>
      <c r="D49" s="21">
        <v>104293</v>
      </c>
      <c r="E49" s="23">
        <f>(+C49-D49)/D49</f>
        <v>-0.08653505029100707</v>
      </c>
      <c r="F49" s="21">
        <f>+C49-47922</f>
        <v>47346</v>
      </c>
      <c r="G49" s="21">
        <f>+D49-51816</f>
        <v>52477</v>
      </c>
      <c r="H49" s="23">
        <f>(+F49-G49)/G49</f>
        <v>-0.09777616860719934</v>
      </c>
      <c r="I49" s="24">
        <f>K49/C49</f>
        <v>65.71094281395641</v>
      </c>
      <c r="J49" s="24">
        <f>K49/F49</f>
        <v>132.22130908630083</v>
      </c>
      <c r="K49" s="21">
        <v>6260150.1</v>
      </c>
      <c r="L49" s="21">
        <v>6473124.34</v>
      </c>
      <c r="M49" s="25">
        <f>(+K49-L49)/L49</f>
        <v>-0.03290130527602382</v>
      </c>
      <c r="N49" s="10"/>
      <c r="R49" s="2"/>
    </row>
    <row r="50" spans="1:18" ht="15">
      <c r="A50" s="274"/>
      <c r="B50" s="20">
        <f>DATE(2022,8,1)</f>
        <v>44774</v>
      </c>
      <c r="C50" s="21">
        <v>85206</v>
      </c>
      <c r="D50" s="21">
        <v>93122</v>
      </c>
      <c r="E50" s="23">
        <f>(+C50-D50)/D50</f>
        <v>-0.08500676531861429</v>
      </c>
      <c r="F50" s="21">
        <f>+C50-42477</f>
        <v>42729</v>
      </c>
      <c r="G50" s="21">
        <f>+D50-46288</f>
        <v>46834</v>
      </c>
      <c r="H50" s="23">
        <f>(+F50-G50)/G50</f>
        <v>-0.08764999786479907</v>
      </c>
      <c r="I50" s="24">
        <f>K50/C50</f>
        <v>64.14037262634086</v>
      </c>
      <c r="J50" s="24">
        <f>K50/F50</f>
        <v>127.90246881509044</v>
      </c>
      <c r="K50" s="21">
        <v>5465144.59</v>
      </c>
      <c r="L50" s="21">
        <v>5866516.67</v>
      </c>
      <c r="M50" s="25">
        <f>(+K50-L50)/L50</f>
        <v>-0.06841744472533819</v>
      </c>
      <c r="N50" s="10"/>
      <c r="R50" s="2"/>
    </row>
    <row r="51" spans="1:18" ht="15">
      <c r="A51" s="274"/>
      <c r="B51" s="20">
        <f>DATE(2022,9,1)</f>
        <v>44805</v>
      </c>
      <c r="C51" s="21">
        <v>84321</v>
      </c>
      <c r="D51" s="21">
        <v>92204</v>
      </c>
      <c r="E51" s="23">
        <f>(+C51-D51)/D51</f>
        <v>-0.08549520628172314</v>
      </c>
      <c r="F51" s="21">
        <f>+C51-41917</f>
        <v>42404</v>
      </c>
      <c r="G51" s="21">
        <f>+D51-46055</f>
        <v>46149</v>
      </c>
      <c r="H51" s="23">
        <f>(+F51-G51)/G51</f>
        <v>-0.08115018743634748</v>
      </c>
      <c r="I51" s="24">
        <f>K51/C51</f>
        <v>63.81375695259781</v>
      </c>
      <c r="J51" s="24">
        <f>K51/F51</f>
        <v>126.89462786529572</v>
      </c>
      <c r="K51" s="21">
        <v>5380839.8</v>
      </c>
      <c r="L51" s="21">
        <v>5989167.16</v>
      </c>
      <c r="M51" s="25">
        <f>(+K51-L51)/L51</f>
        <v>-0.10157127756641214</v>
      </c>
      <c r="N51" s="10"/>
      <c r="R51" s="2"/>
    </row>
    <row r="52" spans="1:18" ht="15">
      <c r="A52" s="274"/>
      <c r="B52" s="20">
        <f>DATE(2022,10,1)</f>
        <v>44835</v>
      </c>
      <c r="C52" s="21">
        <v>85227</v>
      </c>
      <c r="D52" s="21">
        <v>93325</v>
      </c>
      <c r="E52" s="23">
        <f>(+C52-D52)/D52</f>
        <v>-0.08677203321725153</v>
      </c>
      <c r="F52" s="21">
        <f>+C52-43095</f>
        <v>42132</v>
      </c>
      <c r="G52" s="21">
        <f>+D52-46461</f>
        <v>46864</v>
      </c>
      <c r="H52" s="23">
        <f>(+F52-G52)/G52</f>
        <v>-0.10097302833731649</v>
      </c>
      <c r="I52" s="24">
        <f>K52/C52</f>
        <v>64.76649676745632</v>
      </c>
      <c r="J52" s="24">
        <f>K52/F52</f>
        <v>131.01334425140035</v>
      </c>
      <c r="K52" s="21">
        <v>5519854.22</v>
      </c>
      <c r="L52" s="21">
        <v>5764730.81</v>
      </c>
      <c r="M52" s="25">
        <f>(+K52-L52)/L52</f>
        <v>-0.042478408458416786</v>
      </c>
      <c r="N52" s="10"/>
      <c r="R52" s="2"/>
    </row>
    <row r="53" spans="1:18" ht="15">
      <c r="A53" s="274"/>
      <c r="B53" s="20">
        <f>DATE(2022,11,1)</f>
        <v>44866</v>
      </c>
      <c r="C53" s="21">
        <v>76718</v>
      </c>
      <c r="D53" s="21">
        <v>87600</v>
      </c>
      <c r="E53" s="23">
        <f>(+C53-D53)/D53</f>
        <v>-0.12422374429223744</v>
      </c>
      <c r="F53" s="21">
        <f>+C53-38746</f>
        <v>37972</v>
      </c>
      <c r="G53" s="21">
        <f>+D53-43575</f>
        <v>44025</v>
      </c>
      <c r="H53" s="23">
        <f>(+F53-G53)/G53</f>
        <v>-0.1374900624645088</v>
      </c>
      <c r="I53" s="24">
        <f>K53/C53</f>
        <v>66.23264462055842</v>
      </c>
      <c r="J53" s="24">
        <f>K53/F53</f>
        <v>133.81533840724745</v>
      </c>
      <c r="K53" s="21">
        <v>5081236.03</v>
      </c>
      <c r="L53" s="21">
        <v>5685591.55</v>
      </c>
      <c r="M53" s="25">
        <f>(+K53-L53)/L53</f>
        <v>-0.10629597899975765</v>
      </c>
      <c r="N53" s="10"/>
      <c r="R53" s="2"/>
    </row>
    <row r="54" spans="1:18" ht="15.75" customHeight="1" thickBot="1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customHeight="1" thickBot="1" thickTop="1">
      <c r="A55" s="39" t="s">
        <v>14</v>
      </c>
      <c r="B55" s="52"/>
      <c r="C55" s="47">
        <f>SUM(C49:C54)</f>
        <v>426740</v>
      </c>
      <c r="D55" s="48">
        <f>SUM(D49:D54)</f>
        <v>470544</v>
      </c>
      <c r="E55" s="281">
        <f>(+C55-D55)/D55</f>
        <v>-0.09309225067156313</v>
      </c>
      <c r="F55" s="48">
        <f>SUM(F49:F54)</f>
        <v>212583</v>
      </c>
      <c r="G55" s="47">
        <f>SUM(G49:G54)</f>
        <v>236349</v>
      </c>
      <c r="H55" s="46">
        <f>(+F55-G55)/G55</f>
        <v>-0.10055468819415356</v>
      </c>
      <c r="I55" s="51">
        <f>K55/C55</f>
        <v>64.92764854478136</v>
      </c>
      <c r="J55" s="50">
        <f>K55/F55</f>
        <v>130.3360322321164</v>
      </c>
      <c r="K55" s="47">
        <f>SUM(K49:K54)</f>
        <v>27707224.74</v>
      </c>
      <c r="L55" s="48">
        <f>SUM(L49:L54)</f>
        <v>29779130.53</v>
      </c>
      <c r="M55" s="44">
        <f>(+K55-L55)/L55</f>
        <v>-0.06957576507859187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">
      <c r="A57" s="19" t="s">
        <v>67</v>
      </c>
      <c r="B57" s="20">
        <f>DATE(2022,7,1)</f>
        <v>44743</v>
      </c>
      <c r="C57" s="21">
        <v>220596</v>
      </c>
      <c r="D57" s="21">
        <v>224693</v>
      </c>
      <c r="E57" s="23">
        <f>(+C57-D57)/D57</f>
        <v>-0.018233767852136026</v>
      </c>
      <c r="F57" s="21">
        <f>+C57-105104</f>
        <v>115492</v>
      </c>
      <c r="G57" s="21">
        <f>+D57-121301</f>
        <v>103392</v>
      </c>
      <c r="H57" s="23">
        <f>(+F57-G57)/G57</f>
        <v>0.11703033116682142</v>
      </c>
      <c r="I57" s="24">
        <f>K57/C57</f>
        <v>48.08238961721881</v>
      </c>
      <c r="J57" s="24">
        <f>K57/F57</f>
        <v>91.83997869982336</v>
      </c>
      <c r="K57" s="21">
        <v>10606782.82</v>
      </c>
      <c r="L57" s="21">
        <v>9513693.57</v>
      </c>
      <c r="M57" s="25">
        <f>(+K57-L57)/L57</f>
        <v>0.11489641136297392</v>
      </c>
      <c r="N57" s="10"/>
      <c r="R57" s="2"/>
    </row>
    <row r="58" spans="1:18" ht="15">
      <c r="A58" s="19"/>
      <c r="B58" s="20">
        <f>DATE(2022,8,1)</f>
        <v>44774</v>
      </c>
      <c r="C58" s="21">
        <v>204208</v>
      </c>
      <c r="D58" s="21">
        <v>253687</v>
      </c>
      <c r="E58" s="23">
        <f>(+C58-D58)/D58</f>
        <v>-0.19503955661898323</v>
      </c>
      <c r="F58" s="21">
        <f>+C58-95602</f>
        <v>108606</v>
      </c>
      <c r="G58" s="21">
        <f>+D58-139919</f>
        <v>113768</v>
      </c>
      <c r="H58" s="23">
        <f>(+F58-G58)/G58</f>
        <v>-0.045373039870613883</v>
      </c>
      <c r="I58" s="24">
        <f>K58/C58</f>
        <v>50.441069742615376</v>
      </c>
      <c r="J58" s="24">
        <f>K58/F58</f>
        <v>94.8425498591238</v>
      </c>
      <c r="K58" s="21">
        <v>10300469.97</v>
      </c>
      <c r="L58" s="21">
        <v>9470339.94</v>
      </c>
      <c r="M58" s="25">
        <f>(+K58-L58)/L58</f>
        <v>0.08765577954533291</v>
      </c>
      <c r="N58" s="10"/>
      <c r="R58" s="2"/>
    </row>
    <row r="59" spans="1:18" ht="15">
      <c r="A59" s="19"/>
      <c r="B59" s="20">
        <f>DATE(2022,9,1)</f>
        <v>44805</v>
      </c>
      <c r="C59" s="21">
        <v>202639</v>
      </c>
      <c r="D59" s="21">
        <v>235488</v>
      </c>
      <c r="E59" s="23">
        <f>(+C59-D59)/D59</f>
        <v>-0.13949330751460795</v>
      </c>
      <c r="F59" s="21">
        <f>+C59-96056</f>
        <v>106583</v>
      </c>
      <c r="G59" s="21">
        <f>+D59-117319</f>
        <v>118169</v>
      </c>
      <c r="H59" s="23">
        <f>(+F59-G59)/G59</f>
        <v>-0.09804601883742775</v>
      </c>
      <c r="I59" s="24">
        <f>K59/C59</f>
        <v>48.50680421833902</v>
      </c>
      <c r="J59" s="24">
        <f>K59/F59</f>
        <v>92.22268373005076</v>
      </c>
      <c r="K59" s="21">
        <v>9829370.3</v>
      </c>
      <c r="L59" s="21">
        <v>10050706.73</v>
      </c>
      <c r="M59" s="25">
        <f>(+K59-L59)/L59</f>
        <v>-0.02202197675705136</v>
      </c>
      <c r="N59" s="10"/>
      <c r="R59" s="2"/>
    </row>
    <row r="60" spans="1:18" ht="15">
      <c r="A60" s="19"/>
      <c r="B60" s="20">
        <f>DATE(2022,10,1)</f>
        <v>44835</v>
      </c>
      <c r="C60" s="21">
        <v>197805</v>
      </c>
      <c r="D60" s="21">
        <v>221800</v>
      </c>
      <c r="E60" s="23">
        <f>(+C60-D60)/D60</f>
        <v>-0.10818304779080253</v>
      </c>
      <c r="F60" s="21">
        <f>+C60-92993</f>
        <v>104812</v>
      </c>
      <c r="G60" s="21">
        <f>+D60-108912</f>
        <v>112888</v>
      </c>
      <c r="H60" s="23">
        <f>(+F60-G60)/G60</f>
        <v>-0.07153993338530225</v>
      </c>
      <c r="I60" s="24">
        <f>K60/C60</f>
        <v>52.67072429918353</v>
      </c>
      <c r="J60" s="24">
        <f>K60/F60</f>
        <v>99.40209727893752</v>
      </c>
      <c r="K60" s="21">
        <v>10418532.62</v>
      </c>
      <c r="L60" s="21">
        <v>10399038.17</v>
      </c>
      <c r="M60" s="25">
        <f>(+K60-L60)/L60</f>
        <v>0.0018746397196846962</v>
      </c>
      <c r="N60" s="10"/>
      <c r="R60" s="2"/>
    </row>
    <row r="61" spans="1:18" ht="15">
      <c r="A61" s="19"/>
      <c r="B61" s="20">
        <f>DATE(2022,11,1)</f>
        <v>44866</v>
      </c>
      <c r="C61" s="21">
        <v>202320</v>
      </c>
      <c r="D61" s="21">
        <v>202081</v>
      </c>
      <c r="E61" s="23">
        <f>(+C61-D61)/D61</f>
        <v>0.001182694068220169</v>
      </c>
      <c r="F61" s="21">
        <f>+C61-93904</f>
        <v>108416</v>
      </c>
      <c r="G61" s="21">
        <f>+D61-97991</f>
        <v>104090</v>
      </c>
      <c r="H61" s="23">
        <f>(+F61-G61)/G61</f>
        <v>0.041560188298587764</v>
      </c>
      <c r="I61" s="24">
        <f>K61/C61</f>
        <v>52.06537094701463</v>
      </c>
      <c r="J61" s="24">
        <f>K61/F61</f>
        <v>97.16154303792798</v>
      </c>
      <c r="K61" s="21">
        <v>10533865.85</v>
      </c>
      <c r="L61" s="21">
        <v>9591289.68</v>
      </c>
      <c r="M61" s="25">
        <f>(+K61-L61)/L61</f>
        <v>0.09827418433263294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customHeight="1" thickBot="1" thickTop="1">
      <c r="A63" s="39" t="s">
        <v>14</v>
      </c>
      <c r="B63" s="52"/>
      <c r="C63" s="47">
        <f>SUM(C57:C62)</f>
        <v>1027568</v>
      </c>
      <c r="D63" s="48">
        <f>SUM(D57:D62)</f>
        <v>1137749</v>
      </c>
      <c r="E63" s="281">
        <f>(+C63-D63)/D63</f>
        <v>-0.09684121893317418</v>
      </c>
      <c r="F63" s="48">
        <f>SUM(F57:F62)</f>
        <v>543909</v>
      </c>
      <c r="G63" s="47">
        <f>SUM(G57:G62)</f>
        <v>552307</v>
      </c>
      <c r="H63" s="53">
        <f>(+F63-G63)/G63</f>
        <v>-0.015205311538691344</v>
      </c>
      <c r="I63" s="51">
        <f>K63/C63</f>
        <v>50.30228808215126</v>
      </c>
      <c r="J63" s="50">
        <f>K63/F63</f>
        <v>95.03248072747463</v>
      </c>
      <c r="K63" s="47">
        <f>SUM(K57:K62)</f>
        <v>51689021.56</v>
      </c>
      <c r="L63" s="48">
        <f>SUM(L57:L62)</f>
        <v>49025068.089999996</v>
      </c>
      <c r="M63" s="44">
        <f>(+K63-L63)/L63</f>
        <v>0.0543385980639442</v>
      </c>
      <c r="N63" s="10"/>
      <c r="R63" s="2"/>
    </row>
    <row r="64" spans="1:18" ht="15.75" customHeight="1" thickTop="1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>
      <c r="A65" s="19" t="s">
        <v>69</v>
      </c>
      <c r="B65" s="20">
        <f>DATE(2022,7,1)</f>
        <v>44743</v>
      </c>
      <c r="C65" s="21">
        <v>226300</v>
      </c>
      <c r="D65" s="21">
        <v>251090</v>
      </c>
      <c r="E65" s="23">
        <f>(+C65-D65)/D65</f>
        <v>-0.09872953920904855</v>
      </c>
      <c r="F65" s="21">
        <f>+C65-105791</f>
        <v>120509</v>
      </c>
      <c r="G65" s="21">
        <f>+D65-113536</f>
        <v>137554</v>
      </c>
      <c r="H65" s="23">
        <f>(+F65-G65)/G65</f>
        <v>-0.12391497157479972</v>
      </c>
      <c r="I65" s="24">
        <f>K65/C65</f>
        <v>58.190034202386215</v>
      </c>
      <c r="J65" s="24">
        <f>K65/F65</f>
        <v>109.27320565268984</v>
      </c>
      <c r="K65" s="21">
        <v>13168404.74</v>
      </c>
      <c r="L65" s="21">
        <v>14822103.82</v>
      </c>
      <c r="M65" s="25">
        <f>(+K65-L65)/L65</f>
        <v>-0.111569794685192</v>
      </c>
      <c r="N65" s="10"/>
      <c r="R65" s="2"/>
    </row>
    <row r="66" spans="1:18" ht="15.75" customHeight="1">
      <c r="A66" s="19"/>
      <c r="B66" s="20">
        <f>DATE(2022,8,1)</f>
        <v>44774</v>
      </c>
      <c r="C66" s="21">
        <v>232604</v>
      </c>
      <c r="D66" s="21">
        <v>215479</v>
      </c>
      <c r="E66" s="23">
        <f>(+C66-D66)/D66</f>
        <v>0.07947410188463841</v>
      </c>
      <c r="F66" s="21">
        <f>+C66-107571</f>
        <v>125033</v>
      </c>
      <c r="G66" s="21">
        <f>+D66-96518</f>
        <v>118961</v>
      </c>
      <c r="H66" s="23">
        <f>(+F66-G66)/G66</f>
        <v>0.05104193811417187</v>
      </c>
      <c r="I66" s="24">
        <f>K66/C66</f>
        <v>59.877394412821786</v>
      </c>
      <c r="J66" s="24">
        <f>K66/F66</f>
        <v>111.3923640158998</v>
      </c>
      <c r="K66" s="21">
        <v>13927721.45</v>
      </c>
      <c r="L66" s="21">
        <v>13122626.66</v>
      </c>
      <c r="M66" s="25">
        <f>(+K66-L66)/L66</f>
        <v>0.06135164939608204</v>
      </c>
      <c r="N66" s="10"/>
      <c r="R66" s="2"/>
    </row>
    <row r="67" spans="1:18" ht="15.75" customHeight="1">
      <c r="A67" s="19"/>
      <c r="B67" s="20">
        <f>DATE(2022,9,1)</f>
        <v>44805</v>
      </c>
      <c r="C67" s="21">
        <v>229799</v>
      </c>
      <c r="D67" s="21">
        <v>213931</v>
      </c>
      <c r="E67" s="23">
        <f>(+C67-D67)/D67</f>
        <v>0.07417344844833147</v>
      </c>
      <c r="F67" s="21">
        <f>+C67-107359</f>
        <v>122440</v>
      </c>
      <c r="G67" s="21">
        <f>+D67-98283</f>
        <v>115648</v>
      </c>
      <c r="H67" s="23">
        <f>(+F67-G67)/G67</f>
        <v>0.05872993912562258</v>
      </c>
      <c r="I67" s="24">
        <f>K67/C67</f>
        <v>58.84250370976375</v>
      </c>
      <c r="J67" s="24">
        <f>K67/F67</f>
        <v>110.43734490362627</v>
      </c>
      <c r="K67" s="21">
        <v>13521948.51</v>
      </c>
      <c r="L67" s="21">
        <v>12121290.84</v>
      </c>
      <c r="M67" s="25">
        <f>(+K67-L67)/L67</f>
        <v>0.1155535073358573</v>
      </c>
      <c r="N67" s="10"/>
      <c r="R67" s="2"/>
    </row>
    <row r="68" spans="1:18" ht="15.75" customHeight="1">
      <c r="A68" s="19"/>
      <c r="B68" s="20">
        <f>DATE(2022,10,1)</f>
        <v>44835</v>
      </c>
      <c r="C68" s="21">
        <v>212700</v>
      </c>
      <c r="D68" s="21">
        <v>212915</v>
      </c>
      <c r="E68" s="23">
        <f>(+C68-D68)/D68</f>
        <v>-0.001009792640255501</v>
      </c>
      <c r="F68" s="21">
        <f>+C68-99072</f>
        <v>113628</v>
      </c>
      <c r="G68" s="21">
        <f>+D68-99053</f>
        <v>113862</v>
      </c>
      <c r="H68" s="23">
        <f>(+F68-G68)/G68</f>
        <v>-0.0020551193550086945</v>
      </c>
      <c r="I68" s="24">
        <f>K68/C68</f>
        <v>60.88778180535966</v>
      </c>
      <c r="J68" s="24">
        <f>K68/F68</f>
        <v>113.97570308374696</v>
      </c>
      <c r="K68" s="21">
        <v>12950831.19</v>
      </c>
      <c r="L68" s="21">
        <v>12831260.62</v>
      </c>
      <c r="M68" s="25">
        <f>(+K68-L68)/L68</f>
        <v>0.009318692335936693</v>
      </c>
      <c r="N68" s="10"/>
      <c r="R68" s="2"/>
    </row>
    <row r="69" spans="1:18" ht="15.75" customHeight="1">
      <c r="A69" s="19"/>
      <c r="B69" s="20">
        <f>DATE(2022,11,1)</f>
        <v>44866</v>
      </c>
      <c r="C69" s="21">
        <v>191507</v>
      </c>
      <c r="D69" s="21">
        <v>184421</v>
      </c>
      <c r="E69" s="23">
        <f>(+C69-D69)/D69</f>
        <v>0.03842295617093498</v>
      </c>
      <c r="F69" s="21">
        <f>+C69-91306</f>
        <v>100201</v>
      </c>
      <c r="G69" s="21">
        <f>+D69-84660</f>
        <v>99761</v>
      </c>
      <c r="H69" s="23">
        <f>(+F69-G69)/G69</f>
        <v>0.004410541193452351</v>
      </c>
      <c r="I69" s="24">
        <f>K69/C69</f>
        <v>61.98436156380707</v>
      </c>
      <c r="J69" s="24">
        <f>K69/F69</f>
        <v>118.46627408908095</v>
      </c>
      <c r="K69" s="21">
        <v>11870439.13</v>
      </c>
      <c r="L69" s="21">
        <v>11874815.39</v>
      </c>
      <c r="M69" s="25">
        <f>(+K69-L69)/L69</f>
        <v>-0.0003685328871457745</v>
      </c>
      <c r="N69" s="10"/>
      <c r="R69" s="2"/>
    </row>
    <row r="70" spans="1:18" ht="15.75" customHeight="1" thickBot="1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6.5" thickBot="1" thickTop="1">
      <c r="A71" s="39" t="s">
        <v>14</v>
      </c>
      <c r="B71" s="40"/>
      <c r="C71" s="41">
        <f>SUM(C65:C70)</f>
        <v>1092910</v>
      </c>
      <c r="D71" s="41">
        <f>SUM(D65:D70)</f>
        <v>1077836</v>
      </c>
      <c r="E71" s="280">
        <f>(+C71-D71)/D71</f>
        <v>0.013985430065427393</v>
      </c>
      <c r="F71" s="41">
        <f>SUM(F65:F70)</f>
        <v>581811</v>
      </c>
      <c r="G71" s="41">
        <f>SUM(G65:G70)</f>
        <v>585786</v>
      </c>
      <c r="H71" s="42">
        <f>(+F71-G71)/G71</f>
        <v>-0.006785754524689904</v>
      </c>
      <c r="I71" s="43">
        <f>K71/C71</f>
        <v>59.876243258822775</v>
      </c>
      <c r="J71" s="43">
        <f>K71/F71</f>
        <v>112.47526261964795</v>
      </c>
      <c r="K71" s="41">
        <f>SUM(K65:K70)</f>
        <v>65439345.019999996</v>
      </c>
      <c r="L71" s="41">
        <f>SUM(L65:L70)</f>
        <v>64772097.33</v>
      </c>
      <c r="M71" s="44">
        <f>(+K71-L71)/L71</f>
        <v>0.010301468031836505</v>
      </c>
      <c r="N71" s="10"/>
      <c r="R71" s="2"/>
    </row>
    <row r="72" spans="1:18" ht="15.75" customHeight="1" thickTop="1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>
      <c r="A73" s="19" t="s">
        <v>16</v>
      </c>
      <c r="B73" s="20">
        <f>DATE(2022,7,1)</f>
        <v>44743</v>
      </c>
      <c r="C73" s="21">
        <v>271337</v>
      </c>
      <c r="D73" s="21">
        <v>292626</v>
      </c>
      <c r="E73" s="23">
        <f>(+C73-D73)/D73</f>
        <v>-0.0727515668464183</v>
      </c>
      <c r="F73" s="21">
        <f>+C73-134570</f>
        <v>136767</v>
      </c>
      <c r="G73" s="21">
        <f>+D73-144119</f>
        <v>148507</v>
      </c>
      <c r="H73" s="23">
        <f>(+F73-G73)/G73</f>
        <v>-0.07905351262903432</v>
      </c>
      <c r="I73" s="24">
        <f>K73/C73</f>
        <v>67.09200728245688</v>
      </c>
      <c r="J73" s="24">
        <f>K73/F73</f>
        <v>133.10626086702203</v>
      </c>
      <c r="K73" s="21">
        <v>18204543.98</v>
      </c>
      <c r="L73" s="21">
        <v>18108904.36</v>
      </c>
      <c r="M73" s="25">
        <f>(+K73-L73)/L73</f>
        <v>0.005281358722687575</v>
      </c>
      <c r="N73" s="10"/>
      <c r="R73" s="2"/>
    </row>
    <row r="74" spans="1:18" ht="15.75" customHeight="1">
      <c r="A74" s="19"/>
      <c r="B74" s="20">
        <f>DATE(2022,8,1)</f>
        <v>44774</v>
      </c>
      <c r="C74" s="21">
        <v>244622</v>
      </c>
      <c r="D74" s="21">
        <v>252812</v>
      </c>
      <c r="E74" s="23">
        <f>(+C74-D74)/D74</f>
        <v>-0.032395614132240555</v>
      </c>
      <c r="F74" s="21">
        <f>+C74-120033</f>
        <v>124589</v>
      </c>
      <c r="G74" s="21">
        <f>+D74-122587</f>
        <v>130225</v>
      </c>
      <c r="H74" s="23">
        <f>(+F74-G74)/G74</f>
        <v>-0.04327894029564216</v>
      </c>
      <c r="I74" s="24">
        <f>K74/C74</f>
        <v>67.20574674395598</v>
      </c>
      <c r="J74" s="24">
        <f>K74/F74</f>
        <v>131.95389785615103</v>
      </c>
      <c r="K74" s="21">
        <v>16440004.18</v>
      </c>
      <c r="L74" s="21">
        <v>16282457.7</v>
      </c>
      <c r="M74" s="25">
        <f>(+K74-L74)/L74</f>
        <v>0.009675841503951855</v>
      </c>
      <c r="N74" s="10"/>
      <c r="R74" s="2"/>
    </row>
    <row r="75" spans="1:18" ht="15.75" customHeight="1">
      <c r="A75" s="19"/>
      <c r="B75" s="20">
        <f>DATE(2022,9,1)</f>
        <v>44805</v>
      </c>
      <c r="C75" s="21">
        <v>238237</v>
      </c>
      <c r="D75" s="21">
        <v>243584</v>
      </c>
      <c r="E75" s="23">
        <f>(+C75-D75)/D75</f>
        <v>-0.021951359695218078</v>
      </c>
      <c r="F75" s="21">
        <f>+C75-117564</f>
        <v>120673</v>
      </c>
      <c r="G75" s="21">
        <f>+D75-118454</f>
        <v>125130</v>
      </c>
      <c r="H75" s="23">
        <f>(+F75-G75)/G75</f>
        <v>-0.03561895628546312</v>
      </c>
      <c r="I75" s="24">
        <f>K75/C75</f>
        <v>71.1967485738991</v>
      </c>
      <c r="J75" s="24">
        <f>K75/F75</f>
        <v>140.5591954289692</v>
      </c>
      <c r="K75" s="21">
        <v>16961699.79</v>
      </c>
      <c r="L75" s="21">
        <v>14471118.95</v>
      </c>
      <c r="M75" s="25">
        <f>(+K75-L75)/L75</f>
        <v>0.17210699798718743</v>
      </c>
      <c r="N75" s="10"/>
      <c r="R75" s="2"/>
    </row>
    <row r="76" spans="1:18" ht="15.75" customHeight="1">
      <c r="A76" s="19"/>
      <c r="B76" s="20">
        <f>DATE(2022,10,1)</f>
        <v>44835</v>
      </c>
      <c r="C76" s="21">
        <v>243168</v>
      </c>
      <c r="D76" s="21">
        <v>265943</v>
      </c>
      <c r="E76" s="23">
        <f>(+C76-D76)/D76</f>
        <v>-0.08563865189157074</v>
      </c>
      <c r="F76" s="21">
        <f>+C76-122237</f>
        <v>120931</v>
      </c>
      <c r="G76" s="21">
        <f>+D76-130327</f>
        <v>135616</v>
      </c>
      <c r="H76" s="23">
        <f>(+F76-G76)/G76</f>
        <v>-0.10828368334119867</v>
      </c>
      <c r="I76" s="24">
        <f>K76/C76</f>
        <v>66.92405645479668</v>
      </c>
      <c r="J76" s="24">
        <f>K76/F76</f>
        <v>134.57086239260406</v>
      </c>
      <c r="K76" s="21">
        <v>16273788.96</v>
      </c>
      <c r="L76" s="21">
        <v>16493487.77</v>
      </c>
      <c r="M76" s="25">
        <f>(+K76-L76)/L76</f>
        <v>-0.013320336672490142</v>
      </c>
      <c r="N76" s="10"/>
      <c r="R76" s="2"/>
    </row>
    <row r="77" spans="1:18" ht="15.75" customHeight="1">
      <c r="A77" s="19"/>
      <c r="B77" s="20">
        <f>DATE(2022,11,1)</f>
        <v>44866</v>
      </c>
      <c r="C77" s="21">
        <v>218400</v>
      </c>
      <c r="D77" s="21">
        <v>251827</v>
      </c>
      <c r="E77" s="23">
        <f>(+C77-D77)/D77</f>
        <v>-0.13273795105369957</v>
      </c>
      <c r="F77" s="21">
        <f>+C77-108404</f>
        <v>109996</v>
      </c>
      <c r="G77" s="21">
        <f>+D77-125798</f>
        <v>126029</v>
      </c>
      <c r="H77" s="23">
        <f>(+F77-G77)/G77</f>
        <v>-0.12721675170000554</v>
      </c>
      <c r="I77" s="24">
        <f>K77/C77</f>
        <v>69.58973214285714</v>
      </c>
      <c r="J77" s="24">
        <f>K77/F77</f>
        <v>138.1722744463435</v>
      </c>
      <c r="K77" s="21">
        <v>15198397.5</v>
      </c>
      <c r="L77" s="21">
        <v>16062012.83</v>
      </c>
      <c r="M77" s="25">
        <f>(+K77-L77)/L77</f>
        <v>-0.05376756569307261</v>
      </c>
      <c r="N77" s="10"/>
      <c r="R77" s="2"/>
    </row>
    <row r="78" spans="1:18" ht="15.75" customHeight="1" thickBot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6.5" thickBot="1" thickTop="1">
      <c r="A79" s="39" t="s">
        <v>14</v>
      </c>
      <c r="B79" s="40"/>
      <c r="C79" s="41">
        <f>SUM(C73:C78)</f>
        <v>1215764</v>
      </c>
      <c r="D79" s="41">
        <f>SUM(D73:D78)</f>
        <v>1306792</v>
      </c>
      <c r="E79" s="280">
        <f>(+C79-D79)/D79</f>
        <v>-0.06965760427061078</v>
      </c>
      <c r="F79" s="41">
        <f>SUM(F73:F78)</f>
        <v>612956</v>
      </c>
      <c r="G79" s="41">
        <f>SUM(G73:G78)</f>
        <v>665507</v>
      </c>
      <c r="H79" s="42">
        <f>(+F79-G79)/G79</f>
        <v>-0.078963857630348</v>
      </c>
      <c r="I79" s="43">
        <f>K79/C79</f>
        <v>68.33434318667109</v>
      </c>
      <c r="J79" s="43">
        <f>K79/F79</f>
        <v>135.53735408414306</v>
      </c>
      <c r="K79" s="41">
        <f>SUM(K73:K78)</f>
        <v>83078434.41</v>
      </c>
      <c r="L79" s="41">
        <f>SUM(L73:L78)</f>
        <v>81417981.61</v>
      </c>
      <c r="M79" s="44">
        <f>(+K79-L79)/L79</f>
        <v>0.020394177885098237</v>
      </c>
      <c r="N79" s="10"/>
      <c r="R79" s="2"/>
    </row>
    <row r="80" spans="1:18" ht="15.75" customHeight="1" thickTop="1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>
      <c r="A81" s="19" t="s">
        <v>53</v>
      </c>
      <c r="B81" s="20">
        <f>DATE(2022,7,1)</f>
        <v>44743</v>
      </c>
      <c r="C81" s="21">
        <v>358906</v>
      </c>
      <c r="D81" s="21">
        <v>338901</v>
      </c>
      <c r="E81" s="23">
        <f>(+C81-D81)/D81</f>
        <v>0.05902903797864273</v>
      </c>
      <c r="F81" s="21">
        <f>+C81-172463</f>
        <v>186443</v>
      </c>
      <c r="G81" s="21">
        <f>+D81-160819</f>
        <v>178082</v>
      </c>
      <c r="H81" s="23">
        <f>(+F81-G81)/G81</f>
        <v>0.0469502813310722</v>
      </c>
      <c r="I81" s="24">
        <f>K81/C81</f>
        <v>62.40353460237499</v>
      </c>
      <c r="J81" s="24">
        <f>K81/F81</f>
        <v>120.12788353545051</v>
      </c>
      <c r="K81" s="21">
        <v>22397002.99</v>
      </c>
      <c r="L81" s="21">
        <v>20138878.38</v>
      </c>
      <c r="M81" s="25">
        <f>(+K81-L81)/L81</f>
        <v>0.11212762535189408</v>
      </c>
      <c r="N81" s="10"/>
      <c r="R81" s="2"/>
    </row>
    <row r="82" spans="1:18" ht="15.75" customHeight="1">
      <c r="A82" s="19"/>
      <c r="B82" s="20">
        <f>DATE(2022,8,1)</f>
        <v>44774</v>
      </c>
      <c r="C82" s="21">
        <v>332390</v>
      </c>
      <c r="D82" s="21">
        <v>315503</v>
      </c>
      <c r="E82" s="23">
        <f>(+C82-D82)/D82</f>
        <v>0.05352405523877744</v>
      </c>
      <c r="F82" s="21">
        <f>+C82-159690</f>
        <v>172700</v>
      </c>
      <c r="G82" s="21">
        <f>+D82-149989</f>
        <v>165514</v>
      </c>
      <c r="H82" s="23">
        <f>(+F82-G82)/G82</f>
        <v>0.04341626690189349</v>
      </c>
      <c r="I82" s="24">
        <f>K82/C82</f>
        <v>62.33865263696261</v>
      </c>
      <c r="J82" s="24">
        <f>K82/F82</f>
        <v>119.98115083960626</v>
      </c>
      <c r="K82" s="21">
        <v>20720744.75</v>
      </c>
      <c r="L82" s="21">
        <v>19194870.57</v>
      </c>
      <c r="M82" s="25">
        <f>(+K82-L82)/L82</f>
        <v>0.07949385094499231</v>
      </c>
      <c r="N82" s="10"/>
      <c r="R82" s="2"/>
    </row>
    <row r="83" spans="1:18" ht="15.75" customHeight="1">
      <c r="A83" s="19"/>
      <c r="B83" s="20">
        <f>DATE(2022,9,1)</f>
        <v>44805</v>
      </c>
      <c r="C83" s="21">
        <v>333101</v>
      </c>
      <c r="D83" s="21">
        <v>329297</v>
      </c>
      <c r="E83" s="23">
        <f>(+C83-D83)/D83</f>
        <v>0.011551881735940503</v>
      </c>
      <c r="F83" s="21">
        <f>+C83-160339</f>
        <v>172762</v>
      </c>
      <c r="G83" s="21">
        <f>+D83-155913</f>
        <v>173384</v>
      </c>
      <c r="H83" s="23">
        <f>(+F83-G83)/G83</f>
        <v>-0.0035874129100724405</v>
      </c>
      <c r="I83" s="24">
        <f>K83/C83</f>
        <v>60.98825344264953</v>
      </c>
      <c r="J83" s="24">
        <f>K83/F83</f>
        <v>117.59095292946365</v>
      </c>
      <c r="K83" s="21">
        <v>20315248.21</v>
      </c>
      <c r="L83" s="21">
        <v>19476285.94</v>
      </c>
      <c r="M83" s="25">
        <f>(+K83-L83)/L83</f>
        <v>0.04307609123138595</v>
      </c>
      <c r="N83" s="10"/>
      <c r="R83" s="2"/>
    </row>
    <row r="84" spans="1:18" ht="15.75" customHeight="1">
      <c r="A84" s="19"/>
      <c r="B84" s="20">
        <f>DATE(2022,10,1)</f>
        <v>44835</v>
      </c>
      <c r="C84" s="21">
        <v>337264</v>
      </c>
      <c r="D84" s="21">
        <v>343168</v>
      </c>
      <c r="E84" s="23">
        <f>(+C84-D84)/D84</f>
        <v>-0.017204401342782543</v>
      </c>
      <c r="F84" s="21">
        <f>+C84-160233</f>
        <v>177031</v>
      </c>
      <c r="G84" s="21">
        <f>+D84-164416</f>
        <v>178752</v>
      </c>
      <c r="H84" s="23">
        <f>(+F84-G84)/G84</f>
        <v>-0.009627864303616184</v>
      </c>
      <c r="I84" s="24">
        <f>K84/C84</f>
        <v>62.27801304022961</v>
      </c>
      <c r="J84" s="24">
        <f>K84/F84</f>
        <v>118.64663132445729</v>
      </c>
      <c r="K84" s="21">
        <v>21004131.79</v>
      </c>
      <c r="L84" s="21">
        <v>21027601.49</v>
      </c>
      <c r="M84" s="25">
        <f>(+K84-L84)/L84</f>
        <v>-0.0011161377588005286</v>
      </c>
      <c r="N84" s="10"/>
      <c r="R84" s="2"/>
    </row>
    <row r="85" spans="1:18" ht="15.75" customHeight="1">
      <c r="A85" s="19"/>
      <c r="B85" s="20">
        <f>DATE(2022,11,1)</f>
        <v>44866</v>
      </c>
      <c r="C85" s="21">
        <v>335976</v>
      </c>
      <c r="D85" s="21">
        <v>319143</v>
      </c>
      <c r="E85" s="23">
        <f>(+C85-D85)/D85</f>
        <v>0.05274438104548745</v>
      </c>
      <c r="F85" s="21">
        <f>+C85-165580</f>
        <v>170396</v>
      </c>
      <c r="G85" s="21">
        <f>+D85-158694</f>
        <v>160449</v>
      </c>
      <c r="H85" s="23">
        <f>(+F85-G85)/G85</f>
        <v>0.06199477715660428</v>
      </c>
      <c r="I85" s="24">
        <f>K85/C85</f>
        <v>62.16175759578066</v>
      </c>
      <c r="J85" s="24">
        <f>K85/F85</f>
        <v>122.56660173947746</v>
      </c>
      <c r="K85" s="21">
        <v>20884858.67</v>
      </c>
      <c r="L85" s="21">
        <v>19834333.84</v>
      </c>
      <c r="M85" s="25">
        <f>(+K85-L85)/L85</f>
        <v>0.052964966631821195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6.5" thickBot="1" thickTop="1">
      <c r="A87" s="39" t="s">
        <v>14</v>
      </c>
      <c r="B87" s="40"/>
      <c r="C87" s="41">
        <f>SUM(C81:C86)</f>
        <v>1697637</v>
      </c>
      <c r="D87" s="41">
        <f>SUM(D81:D86)</f>
        <v>1646012</v>
      </c>
      <c r="E87" s="280">
        <f>(+C87-D87)/D87</f>
        <v>0.031363683861357024</v>
      </c>
      <c r="F87" s="41">
        <f>SUM(F81:F86)</f>
        <v>879332</v>
      </c>
      <c r="G87" s="41">
        <f>SUM(G81:G86)</f>
        <v>856181</v>
      </c>
      <c r="H87" s="42">
        <f>(+F87-G87)/G87</f>
        <v>0.027039843210722968</v>
      </c>
      <c r="I87" s="43">
        <f>K87/C87</f>
        <v>62.040345733510755</v>
      </c>
      <c r="J87" s="43">
        <f>K87/F87</f>
        <v>119.77499557618738</v>
      </c>
      <c r="K87" s="41">
        <f>SUM(K81:K86)</f>
        <v>105321986.41</v>
      </c>
      <c r="L87" s="41">
        <f>SUM(L81:L86)</f>
        <v>99671970.22</v>
      </c>
      <c r="M87" s="44">
        <f>(+K87-L87)/L87</f>
        <v>0.05668610921936281</v>
      </c>
      <c r="N87" s="10"/>
      <c r="R87" s="2"/>
    </row>
    <row r="88" spans="1:18" ht="15.75" customHeight="1" thickTop="1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>
      <c r="A89" s="19" t="s">
        <v>54</v>
      </c>
      <c r="B89" s="20">
        <f>DATE(2022,7,1)</f>
        <v>44743</v>
      </c>
      <c r="C89" s="21">
        <v>45743</v>
      </c>
      <c r="D89" s="21">
        <v>54523</v>
      </c>
      <c r="E89" s="23">
        <f>(+C89-D89)/D89</f>
        <v>-0.1610329585679438</v>
      </c>
      <c r="F89" s="21">
        <f>+C89-23748</f>
        <v>21995</v>
      </c>
      <c r="G89" s="21">
        <f>+D89-27936</f>
        <v>26587</v>
      </c>
      <c r="H89" s="23">
        <f>(+F89-G89)/G89</f>
        <v>-0.17271598901718885</v>
      </c>
      <c r="I89" s="24">
        <f>K89/C89</f>
        <v>71.13247229084232</v>
      </c>
      <c r="J89" s="24">
        <f>K89/F89</f>
        <v>147.93419777222095</v>
      </c>
      <c r="K89" s="21">
        <v>3253812.68</v>
      </c>
      <c r="L89" s="21">
        <v>3636808.62</v>
      </c>
      <c r="M89" s="25">
        <f>(+K89-L89)/L89</f>
        <v>-0.1053109965406978</v>
      </c>
      <c r="N89" s="10"/>
      <c r="R89" s="2"/>
    </row>
    <row r="90" spans="1:18" ht="15" customHeight="1">
      <c r="A90" s="19"/>
      <c r="B90" s="20">
        <f>DATE(2022,8,1)</f>
        <v>44774</v>
      </c>
      <c r="C90" s="21">
        <v>40978</v>
      </c>
      <c r="D90" s="21">
        <v>47684</v>
      </c>
      <c r="E90" s="23">
        <f>(+C90-D90)/D90</f>
        <v>-0.14063417498532002</v>
      </c>
      <c r="F90" s="21">
        <f>+C90-21136</f>
        <v>19842</v>
      </c>
      <c r="G90" s="21">
        <f>+D90-24640</f>
        <v>23044</v>
      </c>
      <c r="H90" s="23">
        <f>(+F90-G90)/G90</f>
        <v>-0.1389515709078285</v>
      </c>
      <c r="I90" s="24">
        <f>K90/C90</f>
        <v>72.08604763531652</v>
      </c>
      <c r="J90" s="24">
        <f>K90/F90</f>
        <v>148.87320129019253</v>
      </c>
      <c r="K90" s="21">
        <v>2953942.06</v>
      </c>
      <c r="L90" s="21">
        <v>3224724.59</v>
      </c>
      <c r="M90" s="25">
        <f>(+K90-L90)/L90</f>
        <v>-0.0839707461653337</v>
      </c>
      <c r="N90" s="10"/>
      <c r="R90" s="2"/>
    </row>
    <row r="91" spans="1:18" ht="15" customHeight="1">
      <c r="A91" s="19"/>
      <c r="B91" s="20">
        <f>DATE(2022,9,1)</f>
        <v>44805</v>
      </c>
      <c r="C91" s="21">
        <v>41696</v>
      </c>
      <c r="D91" s="21">
        <v>47289</v>
      </c>
      <c r="E91" s="23">
        <f>(+C91-D91)/D91</f>
        <v>-0.11827274841929412</v>
      </c>
      <c r="F91" s="21">
        <f>+C91-21639</f>
        <v>20057</v>
      </c>
      <c r="G91" s="21">
        <f>+D91-24190</f>
        <v>23099</v>
      </c>
      <c r="H91" s="23">
        <f>(+F91-G91)/G91</f>
        <v>-0.13169401272782372</v>
      </c>
      <c r="I91" s="24">
        <f>K91/C91</f>
        <v>74.37283792210285</v>
      </c>
      <c r="J91" s="24">
        <f>K91/F91</f>
        <v>154.6118487311163</v>
      </c>
      <c r="K91" s="21">
        <v>3101049.85</v>
      </c>
      <c r="L91" s="21">
        <v>3144600.15</v>
      </c>
      <c r="M91" s="25">
        <f>(+K91-L91)/L91</f>
        <v>-0.013849232946198204</v>
      </c>
      <c r="N91" s="10"/>
      <c r="R91" s="2"/>
    </row>
    <row r="92" spans="1:18" ht="15" customHeight="1">
      <c r="A92" s="19"/>
      <c r="B92" s="20">
        <f>DATE(2022,10,1)</f>
        <v>44835</v>
      </c>
      <c r="C92" s="21">
        <v>40713</v>
      </c>
      <c r="D92" s="21">
        <v>51019</v>
      </c>
      <c r="E92" s="23">
        <f>(+C92-D92)/D92</f>
        <v>-0.20200317528763795</v>
      </c>
      <c r="F92" s="21">
        <f>+C92-21150</f>
        <v>19563</v>
      </c>
      <c r="G92" s="21">
        <f>+D92-26626</f>
        <v>24393</v>
      </c>
      <c r="H92" s="23">
        <f>(+F92-G92)/G92</f>
        <v>-0.19800762513835937</v>
      </c>
      <c r="I92" s="24">
        <f>K92/C92</f>
        <v>74.91937391005331</v>
      </c>
      <c r="J92" s="24">
        <f>K92/F92</f>
        <v>155.91639676941165</v>
      </c>
      <c r="K92" s="21">
        <v>3050192.47</v>
      </c>
      <c r="L92" s="21">
        <v>3495138.43</v>
      </c>
      <c r="M92" s="25">
        <f>(+K92-L92)/L92</f>
        <v>-0.1273042452856438</v>
      </c>
      <c r="N92" s="10"/>
      <c r="R92" s="2"/>
    </row>
    <row r="93" spans="1:18" ht="15" customHeight="1">
      <c r="A93" s="19"/>
      <c r="B93" s="20">
        <f>DATE(2022,11,1)</f>
        <v>44866</v>
      </c>
      <c r="C93" s="21">
        <v>37233</v>
      </c>
      <c r="D93" s="21">
        <v>42978</v>
      </c>
      <c r="E93" s="23">
        <f>(+C93-D93)/D93</f>
        <v>-0.13367304202149938</v>
      </c>
      <c r="F93" s="21">
        <f>+C93-19170</f>
        <v>18063</v>
      </c>
      <c r="G93" s="21">
        <f>+D93-22231</f>
        <v>20747</v>
      </c>
      <c r="H93" s="23">
        <f>(+F93-G93)/G93</f>
        <v>-0.12936810141225238</v>
      </c>
      <c r="I93" s="24">
        <f>K93/C93</f>
        <v>75.17562646039804</v>
      </c>
      <c r="J93" s="24">
        <f>K93/F93</f>
        <v>154.95842883241986</v>
      </c>
      <c r="K93" s="21">
        <v>2799014.1</v>
      </c>
      <c r="L93" s="21">
        <v>3192010.29</v>
      </c>
      <c r="M93" s="25">
        <f>(+K93-L93)/L93</f>
        <v>-0.12311871024701489</v>
      </c>
      <c r="N93" s="10"/>
      <c r="R93" s="2"/>
    </row>
    <row r="94" spans="1:18" ht="15" thickBot="1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6.5" thickBot="1" thickTop="1">
      <c r="A95" s="62" t="s">
        <v>14</v>
      </c>
      <c r="B95" s="52"/>
      <c r="C95" s="48">
        <f>SUM(C89:C94)</f>
        <v>206363</v>
      </c>
      <c r="D95" s="48">
        <f>SUM(D89:D94)</f>
        <v>243493</v>
      </c>
      <c r="E95" s="280">
        <f>(+C95-D95)/D95</f>
        <v>-0.15248898325619217</v>
      </c>
      <c r="F95" s="48">
        <f>SUM(F89:F94)</f>
        <v>99520</v>
      </c>
      <c r="G95" s="48">
        <f>SUM(G89:G94)</f>
        <v>117870</v>
      </c>
      <c r="H95" s="42">
        <f>(+F95-G95)/G95</f>
        <v>-0.15567998642572325</v>
      </c>
      <c r="I95" s="50">
        <f>K95/C95</f>
        <v>73.45314402291109</v>
      </c>
      <c r="J95" s="50">
        <f>K95/F95</f>
        <v>152.3112053858521</v>
      </c>
      <c r="K95" s="48">
        <f>SUM(K89:K94)</f>
        <v>15158011.16</v>
      </c>
      <c r="L95" s="48">
        <f>SUM(L89:L94)</f>
        <v>16693282.079999998</v>
      </c>
      <c r="M95" s="44">
        <f>(+K95-L95)/L95</f>
        <v>-0.09196938700505074</v>
      </c>
      <c r="N95" s="10"/>
      <c r="R95" s="2"/>
    </row>
    <row r="96" spans="1:18" ht="15.75" customHeight="1" thickTop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">
      <c r="A97" s="19" t="s">
        <v>17</v>
      </c>
      <c r="B97" s="20">
        <f>DATE(2022,7,1)</f>
        <v>44743</v>
      </c>
      <c r="C97" s="21">
        <v>376535</v>
      </c>
      <c r="D97" s="21">
        <v>395405</v>
      </c>
      <c r="E97" s="23">
        <f>(+C97-D97)/D97</f>
        <v>-0.047723220495441386</v>
      </c>
      <c r="F97" s="21">
        <f>+C97-192471</f>
        <v>184064</v>
      </c>
      <c r="G97" s="21">
        <f>+D97-202613</f>
        <v>192792</v>
      </c>
      <c r="H97" s="23">
        <f>(+F97-G97)/G97</f>
        <v>-0.04527158803269845</v>
      </c>
      <c r="I97" s="24">
        <f>K97/C97</f>
        <v>70.90780094811903</v>
      </c>
      <c r="J97" s="24">
        <f>K97/F97</f>
        <v>145.05426824365438</v>
      </c>
      <c r="K97" s="21">
        <v>26699268.83</v>
      </c>
      <c r="L97" s="21">
        <v>26479612.13</v>
      </c>
      <c r="M97" s="25">
        <f>(+K97-L97)/L97</f>
        <v>0.00829531410511636</v>
      </c>
      <c r="N97" s="10"/>
      <c r="R97" s="2"/>
    </row>
    <row r="98" spans="1:18" ht="15">
      <c r="A98" s="19"/>
      <c r="B98" s="20">
        <f>DATE(2022,8,1)</f>
        <v>44774</v>
      </c>
      <c r="C98" s="21">
        <v>348725</v>
      </c>
      <c r="D98" s="21">
        <v>360122</v>
      </c>
      <c r="E98" s="23">
        <f>(+C98-D98)/D98</f>
        <v>-0.031647608310516995</v>
      </c>
      <c r="F98" s="21">
        <f>+C98-177430</f>
        <v>171295</v>
      </c>
      <c r="G98" s="21">
        <f>+D98-186327</f>
        <v>173795</v>
      </c>
      <c r="H98" s="23">
        <f>(+F98-G98)/G98</f>
        <v>-0.014384763658333093</v>
      </c>
      <c r="I98" s="24">
        <f>K98/C98</f>
        <v>76.33593679833679</v>
      </c>
      <c r="J98" s="24">
        <f>K98/F98</f>
        <v>155.40587617852242</v>
      </c>
      <c r="K98" s="21">
        <v>26620249.56</v>
      </c>
      <c r="L98" s="21">
        <v>24423693.36</v>
      </c>
      <c r="M98" s="25">
        <f>(+K98-L98)/L98</f>
        <v>0.08993546420777694</v>
      </c>
      <c r="N98" s="10"/>
      <c r="R98" s="2"/>
    </row>
    <row r="99" spans="1:18" ht="15">
      <c r="A99" s="19"/>
      <c r="B99" s="20">
        <f>DATE(2022,9,1)</f>
        <v>44805</v>
      </c>
      <c r="C99" s="21">
        <v>351773</v>
      </c>
      <c r="D99" s="21">
        <v>353289</v>
      </c>
      <c r="E99" s="23">
        <f>(+C99-D99)/D99</f>
        <v>-0.004291104449897959</v>
      </c>
      <c r="F99" s="21">
        <f>+C99-180127</f>
        <v>171646</v>
      </c>
      <c r="G99" s="21">
        <f>+D99-183914</f>
        <v>169375</v>
      </c>
      <c r="H99" s="23">
        <f>(+F99-G99)/G99</f>
        <v>0.013408118081180812</v>
      </c>
      <c r="I99" s="24">
        <f>K99/C99</f>
        <v>69.59239259408766</v>
      </c>
      <c r="J99" s="24">
        <f>K99/F99</f>
        <v>142.62333360521072</v>
      </c>
      <c r="K99" s="21">
        <v>24480724.72</v>
      </c>
      <c r="L99" s="21">
        <v>23757941.86</v>
      </c>
      <c r="M99" s="25">
        <f>(+K99-L99)/L99</f>
        <v>0.030422789324899856</v>
      </c>
      <c r="N99" s="10"/>
      <c r="R99" s="2"/>
    </row>
    <row r="100" spans="1:18" ht="15">
      <c r="A100" s="19"/>
      <c r="B100" s="20">
        <f>DATE(2022,10,1)</f>
        <v>44835</v>
      </c>
      <c r="C100" s="21">
        <v>353411</v>
      </c>
      <c r="D100" s="21">
        <v>364454</v>
      </c>
      <c r="E100" s="23">
        <f>(+C100-D100)/D100</f>
        <v>-0.030300120179775774</v>
      </c>
      <c r="F100" s="21">
        <f>+C100-182814</f>
        <v>170597</v>
      </c>
      <c r="G100" s="21">
        <f>+D100-184794</f>
        <v>179660</v>
      </c>
      <c r="H100" s="23">
        <f>(+F100-G100)/G100</f>
        <v>-0.05044528553935211</v>
      </c>
      <c r="I100" s="24">
        <f>K100/C100</f>
        <v>69.2330949800657</v>
      </c>
      <c r="J100" s="24">
        <f>K100/F100</f>
        <v>143.4241946224142</v>
      </c>
      <c r="K100" s="21">
        <v>24467737.33</v>
      </c>
      <c r="L100" s="21">
        <v>26630976.69</v>
      </c>
      <c r="M100" s="25">
        <f>(+K100-L100)/L100</f>
        <v>-0.08123019238766054</v>
      </c>
      <c r="N100" s="10"/>
      <c r="R100" s="2"/>
    </row>
    <row r="101" spans="1:18" ht="15">
      <c r="A101" s="19"/>
      <c r="B101" s="20">
        <f>DATE(2022,11,1)</f>
        <v>44866</v>
      </c>
      <c r="C101" s="21">
        <v>324947</v>
      </c>
      <c r="D101" s="21">
        <v>343235</v>
      </c>
      <c r="E101" s="23">
        <f>(+C101-D101)/D101</f>
        <v>-0.05328127958978542</v>
      </c>
      <c r="F101" s="21">
        <f>+C101-166237</f>
        <v>158710</v>
      </c>
      <c r="G101" s="21">
        <f>+D101-177609</f>
        <v>165626</v>
      </c>
      <c r="H101" s="23">
        <f>(+F101-G101)/G101</f>
        <v>-0.041756729015975755</v>
      </c>
      <c r="I101" s="24">
        <f>K101/C101</f>
        <v>74.52540925135483</v>
      </c>
      <c r="J101" s="24">
        <f>K101/F101</f>
        <v>152.58526973725662</v>
      </c>
      <c r="K101" s="21">
        <v>24216808.16</v>
      </c>
      <c r="L101" s="21">
        <v>23879448.84</v>
      </c>
      <c r="M101" s="25">
        <f>(+K101-L101)/L101</f>
        <v>0.014127600777573069</v>
      </c>
      <c r="N101" s="10"/>
      <c r="R101" s="2"/>
    </row>
    <row r="102" spans="1:18" ht="15" thickBot="1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6.5" thickBot="1" thickTop="1">
      <c r="A103" s="39" t="s">
        <v>14</v>
      </c>
      <c r="B103" s="40"/>
      <c r="C103" s="41">
        <f>SUM(C97:C102)</f>
        <v>1755391</v>
      </c>
      <c r="D103" s="41">
        <f>SUM(D97:D102)</f>
        <v>1816505</v>
      </c>
      <c r="E103" s="280">
        <f>(+C103-D103)/D103</f>
        <v>-0.03364372792808167</v>
      </c>
      <c r="F103" s="41">
        <f>SUM(F97:F102)</f>
        <v>856312</v>
      </c>
      <c r="G103" s="41">
        <f>SUM(G97:G102)</f>
        <v>881248</v>
      </c>
      <c r="H103" s="42">
        <f>(+F103-G103)/G103</f>
        <v>-0.02829623443117034</v>
      </c>
      <c r="I103" s="43">
        <f>K103/C103</f>
        <v>72.0550513247476</v>
      </c>
      <c r="J103" s="43">
        <f>K103/F103</f>
        <v>147.70876573024785</v>
      </c>
      <c r="K103" s="41">
        <f>SUM(K97:K102)</f>
        <v>126484788.6</v>
      </c>
      <c r="L103" s="41">
        <f>SUM(L97:L102)</f>
        <v>125171672.88</v>
      </c>
      <c r="M103" s="44">
        <f>(+K103-L103)/L103</f>
        <v>0.010490518260140703</v>
      </c>
      <c r="N103" s="10"/>
      <c r="R103" s="2"/>
    </row>
    <row r="104" spans="1:18" ht="15.75" customHeight="1" thickTop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">
      <c r="A105" s="19" t="s">
        <v>56</v>
      </c>
      <c r="B105" s="20">
        <f>DATE(2022,7,1)</f>
        <v>44743</v>
      </c>
      <c r="C105" s="21">
        <v>68778</v>
      </c>
      <c r="D105" s="21">
        <v>70527</v>
      </c>
      <c r="E105" s="23">
        <f>(+C105-D105)/D105</f>
        <v>-0.024799013143902336</v>
      </c>
      <c r="F105" s="21">
        <f>+C105-29763</f>
        <v>39015</v>
      </c>
      <c r="G105" s="21">
        <f>+D105-30135</f>
        <v>40392</v>
      </c>
      <c r="H105" s="23">
        <f>(+F105-G105)/G105</f>
        <v>-0.03409090909090909</v>
      </c>
      <c r="I105" s="24">
        <f>K105/C105</f>
        <v>60.16359446334584</v>
      </c>
      <c r="J105" s="24">
        <f>K105/F105</f>
        <v>106.060020504934</v>
      </c>
      <c r="K105" s="21">
        <v>4137931.7</v>
      </c>
      <c r="L105" s="21">
        <v>4091344.57</v>
      </c>
      <c r="M105" s="25">
        <f>(+K105-L105)/L105</f>
        <v>0.011386752986195039</v>
      </c>
      <c r="N105" s="10"/>
      <c r="R105" s="2"/>
    </row>
    <row r="106" spans="1:18" ht="15">
      <c r="A106" s="19"/>
      <c r="B106" s="20">
        <f>DATE(2022,8,1)</f>
        <v>44774</v>
      </c>
      <c r="C106" s="21">
        <v>61732</v>
      </c>
      <c r="D106" s="21">
        <v>69916</v>
      </c>
      <c r="E106" s="23">
        <f>(+C106-D106)/D106</f>
        <v>-0.1170547514159849</v>
      </c>
      <c r="F106" s="21">
        <f>+C106-26815</f>
        <v>34917</v>
      </c>
      <c r="G106" s="21">
        <f>+D106-30124</f>
        <v>39792</v>
      </c>
      <c r="H106" s="23">
        <f>(+F106-G106)/G106</f>
        <v>-0.12251206272617611</v>
      </c>
      <c r="I106" s="24">
        <f>K106/C106</f>
        <v>59.28251133933779</v>
      </c>
      <c r="J106" s="24">
        <f>K106/F106</f>
        <v>104.80934759572702</v>
      </c>
      <c r="K106" s="21">
        <v>3659627.99</v>
      </c>
      <c r="L106" s="21">
        <v>3930320.16</v>
      </c>
      <c r="M106" s="25">
        <f>(+K106-L106)/L106</f>
        <v>-0.06887280399060414</v>
      </c>
      <c r="N106" s="10"/>
      <c r="R106" s="2"/>
    </row>
    <row r="107" spans="1:18" ht="15">
      <c r="A107" s="19"/>
      <c r="B107" s="20">
        <f>DATE(2022,9,1)</f>
        <v>44805</v>
      </c>
      <c r="C107" s="21">
        <v>62788</v>
      </c>
      <c r="D107" s="21">
        <v>66900</v>
      </c>
      <c r="E107" s="23">
        <f>(+C107-D107)/D107</f>
        <v>-0.06146487294469357</v>
      </c>
      <c r="F107" s="21">
        <f>+C107-27365</f>
        <v>35423</v>
      </c>
      <c r="G107" s="21">
        <f>+D107-28690</f>
        <v>38210</v>
      </c>
      <c r="H107" s="23">
        <f>(+F107-G107)/G107</f>
        <v>-0.0729390211986391</v>
      </c>
      <c r="I107" s="24">
        <f>K107/C107</f>
        <v>63.07989759189654</v>
      </c>
      <c r="J107" s="24">
        <f>K107/F107</f>
        <v>111.81042288908336</v>
      </c>
      <c r="K107" s="21">
        <v>3960660.61</v>
      </c>
      <c r="L107" s="21">
        <v>3635691.87</v>
      </c>
      <c r="M107" s="25">
        <f>(+K107-L107)/L107</f>
        <v>0.08938291571997264</v>
      </c>
      <c r="N107" s="10"/>
      <c r="R107" s="2"/>
    </row>
    <row r="108" spans="1:18" ht="15">
      <c r="A108" s="19"/>
      <c r="B108" s="20">
        <f>DATE(2022,10,1)</f>
        <v>44835</v>
      </c>
      <c r="C108" s="21">
        <v>62422</v>
      </c>
      <c r="D108" s="21">
        <v>71041</v>
      </c>
      <c r="E108" s="23">
        <f>(+C108-D108)/D108</f>
        <v>-0.12132430568263397</v>
      </c>
      <c r="F108" s="21">
        <f>+C108-27630</f>
        <v>34792</v>
      </c>
      <c r="G108" s="21">
        <f>+D108-30775</f>
        <v>40266</v>
      </c>
      <c r="H108" s="23">
        <f>(+F108-G108)/G108</f>
        <v>-0.13594595937018825</v>
      </c>
      <c r="I108" s="24">
        <f>K108/C108</f>
        <v>61.52534154624972</v>
      </c>
      <c r="J108" s="24">
        <f>K108/F108</f>
        <v>110.38557340767993</v>
      </c>
      <c r="K108" s="21">
        <v>3840534.87</v>
      </c>
      <c r="L108" s="21">
        <v>4122858.46</v>
      </c>
      <c r="M108" s="25">
        <f>(+K108-L108)/L108</f>
        <v>-0.06847763335537836</v>
      </c>
      <c r="N108" s="10"/>
      <c r="R108" s="2"/>
    </row>
    <row r="109" spans="1:18" ht="15">
      <c r="A109" s="19"/>
      <c r="B109" s="20">
        <f>DATE(2022,11,1)</f>
        <v>44866</v>
      </c>
      <c r="C109" s="21">
        <v>58006</v>
      </c>
      <c r="D109" s="21">
        <v>63538</v>
      </c>
      <c r="E109" s="23">
        <f>(+C109-D109)/D109</f>
        <v>-0.08706600774339765</v>
      </c>
      <c r="F109" s="21">
        <f>+C109-26107</f>
        <v>31899</v>
      </c>
      <c r="G109" s="21">
        <f>+D109-27532</f>
        <v>36006</v>
      </c>
      <c r="H109" s="23">
        <f>(+F109-G109)/G109</f>
        <v>-0.11406432261289785</v>
      </c>
      <c r="I109" s="24">
        <f>K109/C109</f>
        <v>61.60523807881943</v>
      </c>
      <c r="J109" s="24">
        <f>K109/F109</f>
        <v>112.02462271544562</v>
      </c>
      <c r="K109" s="21">
        <v>3573473.44</v>
      </c>
      <c r="L109" s="21">
        <v>3745220.41</v>
      </c>
      <c r="M109" s="25">
        <f>(+K109-L109)/L109</f>
        <v>-0.04585764019159561</v>
      </c>
      <c r="N109" s="10"/>
      <c r="R109" s="2"/>
    </row>
    <row r="110" spans="1:18" ht="15" thickBot="1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6.5" thickBot="1" thickTop="1">
      <c r="A111" s="26" t="s">
        <v>14</v>
      </c>
      <c r="B111" s="27"/>
      <c r="C111" s="28">
        <f>SUM(C105:C110)</f>
        <v>313726</v>
      </c>
      <c r="D111" s="28">
        <f>SUM(D105:D110)</f>
        <v>341922</v>
      </c>
      <c r="E111" s="280">
        <f>(+C111-D111)/D111</f>
        <v>-0.08246325185276174</v>
      </c>
      <c r="F111" s="28">
        <f>SUM(F105:F110)</f>
        <v>176046</v>
      </c>
      <c r="G111" s="28">
        <f>SUM(G105:G110)</f>
        <v>194666</v>
      </c>
      <c r="H111" s="42">
        <f>(+F111-G111)/G111</f>
        <v>-0.09565101250346748</v>
      </c>
      <c r="I111" s="43">
        <f>K111/C111</f>
        <v>61.111379388383504</v>
      </c>
      <c r="J111" s="43">
        <f>K111/F111</f>
        <v>108.90465338604685</v>
      </c>
      <c r="K111" s="28">
        <f>SUM(K105:K110)</f>
        <v>19172228.610000003</v>
      </c>
      <c r="L111" s="28">
        <f>SUM(L105:L110)</f>
        <v>19525435.470000003</v>
      </c>
      <c r="M111" s="44">
        <f>(+K111-L111)/L111</f>
        <v>-0.018089576570145472</v>
      </c>
      <c r="N111" s="10"/>
      <c r="R111" s="2"/>
    </row>
    <row r="112" spans="1:18" ht="15.75" thickBot="1" thickTop="1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6.5" thickBot="1" thickTop="1">
      <c r="A113" s="64" t="s">
        <v>18</v>
      </c>
      <c r="B113" s="65"/>
      <c r="C113" s="28">
        <f>C111+C103+C47+C63+C71+C31+C15+C79+C87+C39+C95+C23+C55</f>
        <v>11982943</v>
      </c>
      <c r="D113" s="28">
        <f>D111+D103+D47+D63+D71+D31+D15+D79+D87+D39+D95+D23+D55</f>
        <v>12722499</v>
      </c>
      <c r="E113" s="279">
        <f>(+C113-D113)/D113</f>
        <v>-0.058129774661408895</v>
      </c>
      <c r="F113" s="28">
        <f>F111+F103+F47+F63+F71+F31+F15+F79+F87+F39+F95+F23+F55</f>
        <v>6129504</v>
      </c>
      <c r="G113" s="28">
        <f>G111+G103+G47+G63+G71+G31+G15+G79+G87+G39+G95+G23+G55</f>
        <v>6459538</v>
      </c>
      <c r="H113" s="30">
        <f>(+F113-G113)/G113</f>
        <v>-0.051092508473516214</v>
      </c>
      <c r="I113" s="31">
        <f>K113/C113</f>
        <v>66.1302490406572</v>
      </c>
      <c r="J113" s="31">
        <f>K113/F113</f>
        <v>129.28207646654604</v>
      </c>
      <c r="K113" s="28">
        <f>K111+K103+K47+K63+K71+K31+K15+K79+K87+K39+K95+K23+K55</f>
        <v>792435004.8299999</v>
      </c>
      <c r="L113" s="28">
        <f>L111+L103+L47+L63+L71+L31+L15+L79+L87+L39+L95+L23+L55</f>
        <v>785955296.13</v>
      </c>
      <c r="M113" s="32">
        <f>(+K113-L113)/L113</f>
        <v>0.008244373098451848</v>
      </c>
      <c r="N113" s="10"/>
      <c r="R113" s="2"/>
    </row>
    <row r="114" spans="1:18" ht="16.5" thickBot="1" thickTop="1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6.5" thickBot="1" thickTop="1">
      <c r="A115" s="64" t="s">
        <v>19</v>
      </c>
      <c r="B115" s="65"/>
      <c r="C115" s="28">
        <f>+C13+C21+C29+C37+C45+C53+C61+C69+C77+C85+C93+C101+C109</f>
        <v>2228976</v>
      </c>
      <c r="D115" s="28">
        <f>+D13+D21+D29+D37+D45+D53+D61+D69+D77+D85+D93+D101+D109</f>
        <v>2366334</v>
      </c>
      <c r="E115" s="279">
        <f>(+C115-D115)/D115</f>
        <v>-0.05804675079680214</v>
      </c>
      <c r="F115" s="28">
        <f>+F13+F21+F29+F37+F45+F53+F61+F69+F77+F85+F93+F101+F109</f>
        <v>1136605</v>
      </c>
      <c r="G115" s="28">
        <f>+G13+G21+G29+G37+G45+G53+G61+G69+G77+G85+G93+G101+G109</f>
        <v>1193323</v>
      </c>
      <c r="H115" s="30">
        <f>(+F115-G115)/G115</f>
        <v>-0.047529461847295326</v>
      </c>
      <c r="I115" s="31">
        <f>K115/C115</f>
        <v>67.23220059345635</v>
      </c>
      <c r="J115" s="31">
        <f>K115/F115</f>
        <v>131.84788167393245</v>
      </c>
      <c r="K115" s="28">
        <f>+K13+K21+K29+K37+K45+K53+K61+K69+K77+K85+K93+K101+K109</f>
        <v>149858961.54999998</v>
      </c>
      <c r="L115" s="28">
        <f>+L13+L21+L29+L37+L45+L53+L61+L69+L77+L85+L93+L101+L109</f>
        <v>151804069.65</v>
      </c>
      <c r="M115" s="32">
        <f>(+K115-L115)/L115</f>
        <v>-0.012813280332237942</v>
      </c>
      <c r="N115" s="10"/>
      <c r="R115" s="2"/>
    </row>
    <row r="116" spans="1:18" ht="15" thickTop="1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7.25">
      <c r="A117" s="264" t="s">
        <v>20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7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ht="15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ht="15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STATS'!$C$17*2</f>
        <v>229430</v>
      </c>
      <c r="D10" s="89">
        <f>'MONTHLY STATS'!$C$25*2</f>
        <v>113088</v>
      </c>
      <c r="E10" s="89">
        <f>'MONTHLY STATS'!$C$33*2</f>
        <v>655394</v>
      </c>
      <c r="F10" s="89">
        <f>'MONTHLY STATS'!$C$41*2</f>
        <v>438260</v>
      </c>
      <c r="G10" s="89">
        <f>'MONTHLY STATS'!$C$49*2</f>
        <v>190536</v>
      </c>
      <c r="H10" s="89">
        <f>'MONTHLY STATS'!$C$57*2</f>
        <v>441192</v>
      </c>
      <c r="I10" s="89">
        <f>'MONTHLY STATS'!$C$65*2</f>
        <v>452600</v>
      </c>
      <c r="J10" s="89">
        <f>'MONTHLY STATS'!$C$73*2</f>
        <v>542674</v>
      </c>
      <c r="K10" s="89">
        <f>'MONTHLY STATS'!$C$81*2</f>
        <v>717812</v>
      </c>
      <c r="L10" s="89">
        <f>'MONTHLY STATS'!$C$89*2</f>
        <v>91486</v>
      </c>
      <c r="M10" s="89">
        <f>'MONTHLY STATS'!$C$97*2</f>
        <v>753070</v>
      </c>
      <c r="N10" s="89">
        <f>'MONTHLY STATS'!$C$105*2</f>
        <v>137556</v>
      </c>
      <c r="O10" s="90">
        <f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STATS'!$C$18*2</f>
        <v>207568</v>
      </c>
      <c r="D11" s="89">
        <f>'MONTHLY STATS'!$C$26*2</f>
        <v>99338</v>
      </c>
      <c r="E11" s="89">
        <f>'MONTHLY STATS'!$C$34*2</f>
        <v>605550</v>
      </c>
      <c r="F11" s="89">
        <f>'MONTHLY STATS'!$C$42*2</f>
        <v>408762</v>
      </c>
      <c r="G11" s="89">
        <f>'MONTHLY STATS'!$C$50*2</f>
        <v>170412</v>
      </c>
      <c r="H11" s="89">
        <f>'MONTHLY STATS'!$C$58*2</f>
        <v>408416</v>
      </c>
      <c r="I11" s="89">
        <f>'MONTHLY STATS'!$C$66*2</f>
        <v>465208</v>
      </c>
      <c r="J11" s="89">
        <f>'MONTHLY STATS'!$C$74*2</f>
        <v>489244</v>
      </c>
      <c r="K11" s="89">
        <f>'MONTHLY STATS'!$C$82*2</f>
        <v>664780</v>
      </c>
      <c r="L11" s="89">
        <f>'MONTHLY STATS'!$C$90*2</f>
        <v>81956</v>
      </c>
      <c r="M11" s="89">
        <f>'MONTHLY STATS'!$C$98*2</f>
        <v>697450</v>
      </c>
      <c r="N11" s="89">
        <f>'MONTHLY STATS'!$C$106*2</f>
        <v>123464</v>
      </c>
      <c r="O11" s="90">
        <f>SUM(B11:N11)</f>
        <v>4821036</v>
      </c>
      <c r="P11" s="83"/>
    </row>
    <row r="12" spans="1:16" ht="15">
      <c r="A12" s="88">
        <f>DATE(2022,9,1)</f>
        <v>44805</v>
      </c>
      <c r="B12" s="89">
        <f>'MONTHLY STATS'!$C$11*2</f>
        <v>381706</v>
      </c>
      <c r="C12" s="89">
        <f>'MONTHLY STATS'!$C$19*2</f>
        <v>215022</v>
      </c>
      <c r="D12" s="89">
        <f>'MONTHLY STATS'!$C$27*2</f>
        <v>101046</v>
      </c>
      <c r="E12" s="89">
        <f>'MONTHLY STATS'!$C$35*2</f>
        <v>599172</v>
      </c>
      <c r="F12" s="89">
        <f>'MONTHLY STATS'!$C$43*2</f>
        <v>391758</v>
      </c>
      <c r="G12" s="89">
        <f>'MONTHLY STATS'!$C$51*2</f>
        <v>168642</v>
      </c>
      <c r="H12" s="89">
        <f>'MONTHLY STATS'!$C$59*2</f>
        <v>405278</v>
      </c>
      <c r="I12" s="89">
        <f>'MONTHLY STATS'!$C$67*2</f>
        <v>459598</v>
      </c>
      <c r="J12" s="89">
        <f>'MONTHLY STATS'!$C$75*2</f>
        <v>476474</v>
      </c>
      <c r="K12" s="89">
        <f>'MONTHLY STATS'!$C$83*2</f>
        <v>666202</v>
      </c>
      <c r="L12" s="89">
        <f>'MONTHLY STATS'!$C$91*2</f>
        <v>83392</v>
      </c>
      <c r="M12" s="89">
        <f>'MONTHLY STATS'!$C$99*2</f>
        <v>703546</v>
      </c>
      <c r="N12" s="89">
        <f>'MONTHLY STATS'!$C$107*2</f>
        <v>125576</v>
      </c>
      <c r="O12" s="90">
        <f>SUM(B12:N12)</f>
        <v>4777412</v>
      </c>
      <c r="P12" s="83"/>
    </row>
    <row r="13" spans="1:16" ht="15">
      <c r="A13" s="88">
        <f>DATE(2022,10,1)</f>
        <v>44835</v>
      </c>
      <c r="B13" s="89">
        <f>'MONTHLY STATS'!$C$12*2</f>
        <v>383996</v>
      </c>
      <c r="C13" s="89">
        <f>'MONTHLY STATS'!$C$20*2</f>
        <v>208980</v>
      </c>
      <c r="D13" s="89">
        <f>'MONTHLY STATS'!$C$28*2</f>
        <v>94946</v>
      </c>
      <c r="E13" s="89">
        <f>'MONTHLY STATS'!$C$36*2</f>
        <v>561802</v>
      </c>
      <c r="F13" s="89">
        <f>'MONTHLY STATS'!$C$44*2</f>
        <v>395358</v>
      </c>
      <c r="G13" s="89">
        <f>'MONTHLY STATS'!$C$52*2</f>
        <v>170454</v>
      </c>
      <c r="H13" s="89">
        <f>'MONTHLY STATS'!$C$60*2</f>
        <v>395610</v>
      </c>
      <c r="I13" s="89">
        <f>'MONTHLY STATS'!$C$68*2</f>
        <v>425400</v>
      </c>
      <c r="J13" s="89">
        <f>'MONTHLY STATS'!$C$76*2</f>
        <v>486336</v>
      </c>
      <c r="K13" s="89">
        <f>'MONTHLY STATS'!$C$84*2</f>
        <v>674528</v>
      </c>
      <c r="L13" s="89">
        <f>'MONTHLY STATS'!$C$92*2</f>
        <v>81426</v>
      </c>
      <c r="M13" s="89">
        <f>'MONTHLY STATS'!$C$100*2</f>
        <v>706822</v>
      </c>
      <c r="N13" s="89">
        <f>'MONTHLY STATS'!$C$108*2</f>
        <v>124844</v>
      </c>
      <c r="O13" s="90">
        <f>SUM(B13:N13)</f>
        <v>4710502</v>
      </c>
      <c r="P13" s="83"/>
    </row>
    <row r="14" spans="1:16" ht="15">
      <c r="A14" s="88">
        <f>DATE(2022,11,1)</f>
        <v>44866</v>
      </c>
      <c r="B14" s="89">
        <f>'MONTHLY STATS'!$C$13*2</f>
        <v>362658</v>
      </c>
      <c r="C14" s="89">
        <f>'MONTHLY STATS'!$C$21*2</f>
        <v>187356</v>
      </c>
      <c r="D14" s="89">
        <f>'MONTHLY STATS'!$C$29*2</f>
        <v>78850</v>
      </c>
      <c r="E14" s="89">
        <f>'MONTHLY STATS'!$C$37*2</f>
        <v>554920</v>
      </c>
      <c r="F14" s="89">
        <f>'MONTHLY STATS'!$C$45*2</f>
        <v>383954</v>
      </c>
      <c r="G14" s="89">
        <f>'MONTHLY STATS'!$C$53*2</f>
        <v>153436</v>
      </c>
      <c r="H14" s="89">
        <f>'MONTHLY STATS'!$C$61*2</f>
        <v>404640</v>
      </c>
      <c r="I14" s="89">
        <f>'MONTHLY STATS'!$C$69*2</f>
        <v>383014</v>
      </c>
      <c r="J14" s="89">
        <f>'MONTHLY STATS'!$C$77*2</f>
        <v>436800</v>
      </c>
      <c r="K14" s="89">
        <f>'MONTHLY STATS'!$C$85*2</f>
        <v>671952</v>
      </c>
      <c r="L14" s="89">
        <f>'MONTHLY STATS'!$C$93*2</f>
        <v>74466</v>
      </c>
      <c r="M14" s="89">
        <f>'MONTHLY STATS'!$C$101*2</f>
        <v>649894</v>
      </c>
      <c r="N14" s="89">
        <f>'MONTHLY STATS'!$C$109*2</f>
        <v>116012</v>
      </c>
      <c r="O14" s="90">
        <f>SUM(B14:N14)</f>
        <v>4457952</v>
      </c>
      <c r="P14" s="83"/>
    </row>
    <row r="15" spans="1:16" ht="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0" ref="B23:O23">SUM(B10:B21)</f>
        <v>1963134</v>
      </c>
      <c r="C23" s="90">
        <f t="shared" si="0"/>
        <v>1048356</v>
      </c>
      <c r="D23" s="90">
        <f t="shared" si="0"/>
        <v>487268</v>
      </c>
      <c r="E23" s="90">
        <f t="shared" si="0"/>
        <v>2976838</v>
      </c>
      <c r="F23" s="90">
        <f t="shared" si="0"/>
        <v>2018092</v>
      </c>
      <c r="G23" s="90">
        <f>SUM(G10:G21)</f>
        <v>853480</v>
      </c>
      <c r="H23" s="90">
        <f t="shared" si="0"/>
        <v>2055136</v>
      </c>
      <c r="I23" s="90">
        <f>SUM(I10:I21)</f>
        <v>2185820</v>
      </c>
      <c r="J23" s="90">
        <f t="shared" si="0"/>
        <v>2431528</v>
      </c>
      <c r="K23" s="90">
        <f>SUM(K10:K21)</f>
        <v>3395274</v>
      </c>
      <c r="L23" s="90">
        <f t="shared" si="0"/>
        <v>412726</v>
      </c>
      <c r="M23" s="90">
        <f t="shared" si="0"/>
        <v>3510782</v>
      </c>
      <c r="N23" s="90">
        <f t="shared" si="0"/>
        <v>627452</v>
      </c>
      <c r="O23" s="90">
        <f t="shared" si="0"/>
        <v>23965886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STATS'!$K$17*0.21</f>
        <v>1763108.3841000001</v>
      </c>
      <c r="D31" s="89">
        <f>'MONTHLY STATS'!$K$25*0.21</f>
        <v>795167.667</v>
      </c>
      <c r="E31" s="89">
        <f>'MONTHLY STATS'!$K$33*0.21</f>
        <v>4494852.0204</v>
      </c>
      <c r="F31" s="89">
        <f>'MONTHLY STATS'!$K$41*0.21</f>
        <v>3165394.9026</v>
      </c>
      <c r="G31" s="89">
        <f>'MONTHLY STATS'!$K$49*0.21</f>
        <v>1314631.521</v>
      </c>
      <c r="H31" s="89">
        <f>'MONTHLY STATS'!$K$57*0.21</f>
        <v>2227424.3922</v>
      </c>
      <c r="I31" s="89">
        <f>'MONTHLY STATS'!$K$65*0.21</f>
        <v>2765364.9954</v>
      </c>
      <c r="J31" s="89">
        <f>'MONTHLY STATS'!$K$73*0.21</f>
        <v>3822954.2358</v>
      </c>
      <c r="K31" s="89">
        <f>'MONTHLY STATS'!$K$81*0.21</f>
        <v>4703370.6279</v>
      </c>
      <c r="L31" s="89">
        <f>'MONTHLY STATS'!$K$89*0.21</f>
        <v>683300.6628</v>
      </c>
      <c r="M31" s="89">
        <f>'MONTHLY STATS'!$K$97*0.21</f>
        <v>5606846.454299999</v>
      </c>
      <c r="N31" s="89">
        <f>'MONTHLY STATS'!$K$105*0.21</f>
        <v>868965.657</v>
      </c>
      <c r="O31" s="90">
        <f>SUM(B31:N31)</f>
        <v>35570431.354499996</v>
      </c>
      <c r="P31" s="83"/>
    </row>
    <row r="32" spans="1:16" ht="15">
      <c r="A32" s="88">
        <f>DATE(2022,8,1)</f>
        <v>44774</v>
      </c>
      <c r="B32" s="89">
        <f>'MONTHLY STATS'!$K$10*0.21</f>
        <v>3189544.3587</v>
      </c>
      <c r="C32" s="89">
        <f>'MONTHLY STATS'!$K$18*0.21</f>
        <v>1588851.9213</v>
      </c>
      <c r="D32" s="89">
        <f>'MONTHLY STATS'!$K$26*0.21</f>
        <v>734372.8370999999</v>
      </c>
      <c r="E32" s="89">
        <f>'MONTHLY STATS'!$K$34*0.21</f>
        <v>4061739.5322</v>
      </c>
      <c r="F32" s="89">
        <f>'MONTHLY STATS'!$K$42*0.21</f>
        <v>3214879.5693</v>
      </c>
      <c r="G32" s="89">
        <f>'MONTHLY STATS'!$K$50*0.21</f>
        <v>1147680.3639</v>
      </c>
      <c r="H32" s="89">
        <f>'MONTHLY STATS'!$K$58*0.21</f>
        <v>2163098.6937</v>
      </c>
      <c r="I32" s="89">
        <f>'MONTHLY STATS'!$K$66*0.21</f>
        <v>2924821.5045</v>
      </c>
      <c r="J32" s="89">
        <f>'MONTHLY STATS'!$K$74*0.21</f>
        <v>3452400.8778</v>
      </c>
      <c r="K32" s="89">
        <f>'MONTHLY STATS'!$K$82*0.21</f>
        <v>4351356.3975</v>
      </c>
      <c r="L32" s="89">
        <f>'MONTHLY STATS'!$K$90*0.21</f>
        <v>620327.8326</v>
      </c>
      <c r="M32" s="89">
        <f>'MONTHLY STATS'!$K$98*0.21</f>
        <v>5590252.4076</v>
      </c>
      <c r="N32" s="89">
        <f>'MONTHLY STATS'!$K$106*0.21</f>
        <v>768521.8779</v>
      </c>
      <c r="O32" s="90">
        <f>SUM(B32:N32)</f>
        <v>33807848.1741</v>
      </c>
      <c r="P32" s="83"/>
    </row>
    <row r="33" spans="1:16" ht="15">
      <c r="A33" s="88">
        <f>DATE(2022,9,1)</f>
        <v>44805</v>
      </c>
      <c r="B33" s="89">
        <f>'MONTHLY STATS'!$K$11*0.21</f>
        <v>2913784.8915</v>
      </c>
      <c r="C33" s="89">
        <f>'MONTHLY STATS'!$K$19*0.21</f>
        <v>1636722.8934</v>
      </c>
      <c r="D33" s="89">
        <f>'MONTHLY STATS'!$K$27*0.21</f>
        <v>755328.8925</v>
      </c>
      <c r="E33" s="89">
        <f>'MONTHLY STATS'!$K$35*0.21</f>
        <v>4442412.3933</v>
      </c>
      <c r="F33" s="89">
        <f>'MONTHLY STATS'!$K$43*0.21</f>
        <v>2907957.2151</v>
      </c>
      <c r="G33" s="89">
        <f>'MONTHLY STATS'!$K$51*0.21</f>
        <v>1129976.358</v>
      </c>
      <c r="H33" s="89">
        <f>'MONTHLY STATS'!$K$59*0.21</f>
        <v>2064167.763</v>
      </c>
      <c r="I33" s="89">
        <f>'MONTHLY STATS'!$K$67*0.21</f>
        <v>2839609.1870999997</v>
      </c>
      <c r="J33" s="89">
        <f>'MONTHLY STATS'!$K$75*0.21</f>
        <v>3561956.9558999995</v>
      </c>
      <c r="K33" s="89">
        <f>'MONTHLY STATS'!$K$83*0.21</f>
        <v>4266202.1241</v>
      </c>
      <c r="L33" s="89">
        <f>'MONTHLY STATS'!$K$91*0.21</f>
        <v>651220.4685</v>
      </c>
      <c r="M33" s="89">
        <f>'MONTHLY STATS'!$K$99*0.21</f>
        <v>5140952.191199999</v>
      </c>
      <c r="N33" s="89">
        <f>'MONTHLY STATS'!$K$107*0.21</f>
        <v>831738.7281</v>
      </c>
      <c r="O33" s="90">
        <f>SUM(B33:N33)</f>
        <v>33142030.0617</v>
      </c>
      <c r="P33" s="83"/>
    </row>
    <row r="34" spans="1:16" ht="15">
      <c r="A34" s="88">
        <f>DATE(2022,10,1)</f>
        <v>44835</v>
      </c>
      <c r="B34" s="89">
        <f>'MONTHLY STATS'!$K$12*0.21</f>
        <v>3075624.7241999996</v>
      </c>
      <c r="C34" s="89">
        <f>'MONTHLY STATS'!$K$20*0.21</f>
        <v>1608939.4314</v>
      </c>
      <c r="D34" s="89">
        <f>'MONTHLY STATS'!$K$28*0.21</f>
        <v>705512.9004</v>
      </c>
      <c r="E34" s="89">
        <f>'MONTHLY STATS'!$K$36*0.21</f>
        <v>4044945.4919999996</v>
      </c>
      <c r="F34" s="89">
        <f>'MONTHLY STATS'!$K$44*0.21</f>
        <v>2505260.226</v>
      </c>
      <c r="G34" s="89">
        <f>'MONTHLY STATS'!$K$52*0.21</f>
        <v>1159169.3861999998</v>
      </c>
      <c r="H34" s="89">
        <f>'MONTHLY STATS'!$K$60*0.21</f>
        <v>2187891.8501999998</v>
      </c>
      <c r="I34" s="89">
        <f>'MONTHLY STATS'!$K$68*0.21</f>
        <v>2719674.5499</v>
      </c>
      <c r="J34" s="89">
        <f>'MONTHLY STATS'!$K$76*0.21</f>
        <v>3417495.6816000002</v>
      </c>
      <c r="K34" s="89">
        <f>'MONTHLY STATS'!$K$84*0.21</f>
        <v>4410867.675899999</v>
      </c>
      <c r="L34" s="89">
        <f>'MONTHLY STATS'!$K$92*0.21</f>
        <v>640540.4187</v>
      </c>
      <c r="M34" s="89">
        <f>'MONTHLY STATS'!$K$100*0.21</f>
        <v>5138224.839299999</v>
      </c>
      <c r="N34" s="89">
        <f>'MONTHLY STATS'!$K$108*0.21</f>
        <v>806512.3227</v>
      </c>
      <c r="O34" s="90">
        <f>SUM(B34:N34)</f>
        <v>32420659.498499993</v>
      </c>
      <c r="P34" s="83"/>
    </row>
    <row r="35" spans="1:16" ht="15">
      <c r="A35" s="88">
        <f>DATE(2022,11,1)</f>
        <v>44866</v>
      </c>
      <c r="B35" s="89">
        <f>'MONTHLY STATS'!$K$13*0.21</f>
        <v>2845026.8469000002</v>
      </c>
      <c r="C35" s="89">
        <f>'MONTHLY STATS'!$K$21*0.21</f>
        <v>1476735.9725999997</v>
      </c>
      <c r="D35" s="89">
        <f>'MONTHLY STATS'!$K$29*0.21</f>
        <v>650621.4519</v>
      </c>
      <c r="E35" s="89">
        <f>'MONTHLY STATS'!$K$37*0.21</f>
        <v>3763966.5441</v>
      </c>
      <c r="F35" s="89">
        <f>'MONTHLY STATS'!$K$45*0.21</f>
        <v>2960831.6051999996</v>
      </c>
      <c r="G35" s="89">
        <f>'MONTHLY STATS'!$K$53*0.21</f>
        <v>1067059.5663</v>
      </c>
      <c r="H35" s="89">
        <f>'MONTHLY STATS'!$K$61*0.21</f>
        <v>2212111.8285</v>
      </c>
      <c r="I35" s="89">
        <f>'MONTHLY STATS'!$K$69*0.21</f>
        <v>2492792.2173</v>
      </c>
      <c r="J35" s="89">
        <f>'MONTHLY STATS'!$K$77*0.21</f>
        <v>3191663.475</v>
      </c>
      <c r="K35" s="89">
        <f>'MONTHLY STATS'!$K$85*0.21</f>
        <v>4385820.3207</v>
      </c>
      <c r="L35" s="89">
        <f>'MONTHLY STATS'!$K$93*0.21</f>
        <v>587792.961</v>
      </c>
      <c r="M35" s="89">
        <f>'MONTHLY STATS'!$K$101*0.21</f>
        <v>5085529.713599999</v>
      </c>
      <c r="N35" s="89">
        <f>'MONTHLY STATS'!$K$109*0.21</f>
        <v>750429.4223999999</v>
      </c>
      <c r="O35" s="90">
        <f>SUM(B35:N35)</f>
        <v>31470381.9255</v>
      </c>
      <c r="P35" s="83"/>
    </row>
    <row r="36" spans="1:16" ht="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1" ref="B44:O44">SUM(B31:B42)</f>
        <v>15383030.655299999</v>
      </c>
      <c r="C44" s="90">
        <f t="shared" si="1"/>
        <v>8074358.6027999995</v>
      </c>
      <c r="D44" s="90">
        <f t="shared" si="1"/>
        <v>3641003.7489</v>
      </c>
      <c r="E44" s="90">
        <f t="shared" si="1"/>
        <v>20807915.982</v>
      </c>
      <c r="F44" s="90">
        <f t="shared" si="1"/>
        <v>14754323.5182</v>
      </c>
      <c r="G44" s="90">
        <f t="shared" si="1"/>
        <v>5818517.1954</v>
      </c>
      <c r="H44" s="90">
        <f t="shared" si="1"/>
        <v>10854694.527600002</v>
      </c>
      <c r="I44" s="90">
        <f>SUM(I31:I42)</f>
        <v>13742262.454199998</v>
      </c>
      <c r="J44" s="90">
        <f t="shared" si="1"/>
        <v>17446471.2261</v>
      </c>
      <c r="K44" s="90">
        <f>SUM(K31:K42)</f>
        <v>22117617.1461</v>
      </c>
      <c r="L44" s="90">
        <f t="shared" si="1"/>
        <v>3183182.3436000003</v>
      </c>
      <c r="M44" s="90">
        <f t="shared" si="1"/>
        <v>26561805.605999995</v>
      </c>
      <c r="N44" s="90">
        <f t="shared" si="1"/>
        <v>4026168.0080999997</v>
      </c>
      <c r="O44" s="90">
        <f t="shared" si="1"/>
        <v>166411351.0143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>(+D9-E9)/E9</f>
        <v>0.2566573202559024</v>
      </c>
      <c r="G9" s="215">
        <f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>(+D10-E10)/E10</f>
        <v>0.2926934085122923</v>
      </c>
      <c r="G10" s="215">
        <f>D10/C10</f>
        <v>0.2128511063255812</v>
      </c>
      <c r="H10" s="123"/>
    </row>
    <row r="11" spans="1:8" ht="1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>(+D11-E11)/E11</f>
        <v>0.038312502105668965</v>
      </c>
      <c r="G11" s="215">
        <f>D11/C11</f>
        <v>0.15063131234930932</v>
      </c>
      <c r="H11" s="123"/>
    </row>
    <row r="12" spans="1:8" ht="1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>(+D12-E12)/E12</f>
        <v>0.01981918704181328</v>
      </c>
      <c r="G12" s="215">
        <f>D12/C12</f>
        <v>0.18676185590475985</v>
      </c>
      <c r="H12" s="123"/>
    </row>
    <row r="13" spans="1:8" ht="1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>(+D13-E13)/E13</f>
        <v>0.302589561643313</v>
      </c>
      <c r="G13" s="215">
        <f>D13/C13</f>
        <v>0.2059698381253435</v>
      </c>
      <c r="H13" s="123"/>
    </row>
    <row r="14" spans="1:8" ht="15" thickBot="1">
      <c r="A14" s="133"/>
      <c r="B14" s="134"/>
      <c r="C14" s="204"/>
      <c r="D14" s="204"/>
      <c r="E14" s="204"/>
      <c r="F14" s="132"/>
      <c r="G14" s="215"/>
      <c r="H14" s="123"/>
    </row>
    <row r="15" spans="1:8" ht="16.5" thickBot="1" thickTop="1">
      <c r="A15" s="135" t="s">
        <v>14</v>
      </c>
      <c r="B15" s="136"/>
      <c r="C15" s="201">
        <f>SUM(C9:C14)</f>
        <v>72978854.25</v>
      </c>
      <c r="D15" s="201">
        <f>SUM(D9:D14)</f>
        <v>13920508.85</v>
      </c>
      <c r="E15" s="201">
        <f>SUM(E9:E14)</f>
        <v>11761679.06</v>
      </c>
      <c r="F15" s="137">
        <f>(+D15-E15)/E15</f>
        <v>0.18354775529812825</v>
      </c>
      <c r="G15" s="212">
        <f>D15/C15</f>
        <v>0.1907471553652132</v>
      </c>
      <c r="H15" s="123"/>
    </row>
    <row r="16" spans="1:8" ht="15.75" customHeight="1" thickTop="1">
      <c r="A16" s="138"/>
      <c r="B16" s="139"/>
      <c r="C16" s="205"/>
      <c r="D16" s="205"/>
      <c r="E16" s="205"/>
      <c r="F16" s="140"/>
      <c r="G16" s="216"/>
      <c r="H16" s="123"/>
    </row>
    <row r="17" spans="1:8" ht="15">
      <c r="A17" s="19" t="s">
        <v>15</v>
      </c>
      <c r="B17" s="131">
        <f>DATE(2022,7,1)</f>
        <v>44743</v>
      </c>
      <c r="C17" s="204">
        <v>2670326</v>
      </c>
      <c r="D17" s="204">
        <v>637839.5</v>
      </c>
      <c r="E17" s="204">
        <v>753311.5</v>
      </c>
      <c r="F17" s="132">
        <f>(+D17-E17)/E17</f>
        <v>-0.15328585850607618</v>
      </c>
      <c r="G17" s="215">
        <f>D17/C17</f>
        <v>0.23886203407374232</v>
      </c>
      <c r="H17" s="123"/>
    </row>
    <row r="18" spans="1:8" ht="15">
      <c r="A18" s="19"/>
      <c r="B18" s="131">
        <f>DATE(2022,8,1)</f>
        <v>44774</v>
      </c>
      <c r="C18" s="204">
        <v>2364635</v>
      </c>
      <c r="D18" s="204">
        <v>695761.5</v>
      </c>
      <c r="E18" s="204">
        <v>615974.5</v>
      </c>
      <c r="F18" s="132">
        <f>(+D18-E18)/E18</f>
        <v>0.12952971267479416</v>
      </c>
      <c r="G18" s="215">
        <f>D18/C18</f>
        <v>0.2942363197702817</v>
      </c>
      <c r="H18" s="123"/>
    </row>
    <row r="19" spans="1:8" ht="15">
      <c r="A19" s="19"/>
      <c r="B19" s="131">
        <f>DATE(2022,9,1)</f>
        <v>44805</v>
      </c>
      <c r="C19" s="204">
        <v>2764905</v>
      </c>
      <c r="D19" s="204">
        <v>780368</v>
      </c>
      <c r="E19" s="204">
        <v>858656</v>
      </c>
      <c r="F19" s="132">
        <f>(+D19-E19)/E19</f>
        <v>-0.09117504565274102</v>
      </c>
      <c r="G19" s="215">
        <f>D19/C19</f>
        <v>0.28224043864074894</v>
      </c>
      <c r="H19" s="123"/>
    </row>
    <row r="20" spans="1:8" ht="15">
      <c r="A20" s="19"/>
      <c r="B20" s="131">
        <f>DATE(2022,10,1)</f>
        <v>44835</v>
      </c>
      <c r="C20" s="204">
        <v>2297950</v>
      </c>
      <c r="D20" s="204">
        <v>868243</v>
      </c>
      <c r="E20" s="204">
        <v>649914</v>
      </c>
      <c r="F20" s="132">
        <f>(+D20-E20)/E20</f>
        <v>0.3359352160439689</v>
      </c>
      <c r="G20" s="215">
        <f>D20/C20</f>
        <v>0.37783372136034293</v>
      </c>
      <c r="H20" s="123"/>
    </row>
    <row r="21" spans="1:8" ht="15">
      <c r="A21" s="19"/>
      <c r="B21" s="131">
        <f>DATE(2022,11,1)</f>
        <v>44866</v>
      </c>
      <c r="C21" s="204">
        <v>2194110</v>
      </c>
      <c r="D21" s="204">
        <v>714136.5</v>
      </c>
      <c r="E21" s="204">
        <v>707738</v>
      </c>
      <c r="F21" s="132">
        <f>(+D21-E21)/E21</f>
        <v>0.009040774976050459</v>
      </c>
      <c r="G21" s="215">
        <f>D21/C21</f>
        <v>0.3254788957709504</v>
      </c>
      <c r="H21" s="123"/>
    </row>
    <row r="22" spans="1:8" ht="15" thickBot="1">
      <c r="A22" s="133"/>
      <c r="B22" s="131"/>
      <c r="C22" s="204"/>
      <c r="D22" s="204"/>
      <c r="E22" s="204"/>
      <c r="F22" s="132"/>
      <c r="G22" s="215"/>
      <c r="H22" s="123"/>
    </row>
    <row r="23" spans="1:8" ht="16.5" thickBot="1" thickTop="1">
      <c r="A23" s="135" t="s">
        <v>14</v>
      </c>
      <c r="B23" s="136"/>
      <c r="C23" s="201">
        <f>SUM(C17:C22)</f>
        <v>12291926</v>
      </c>
      <c r="D23" s="201">
        <f>SUM(D17:D22)</f>
        <v>3696348.5</v>
      </c>
      <c r="E23" s="201">
        <f>SUM(E17:E22)</f>
        <v>3585594</v>
      </c>
      <c r="F23" s="137">
        <f>(+D23-E23)/E23</f>
        <v>0.03088874535153729</v>
      </c>
      <c r="G23" s="212">
        <f>D23/C23</f>
        <v>0.3007135334202305</v>
      </c>
      <c r="H23" s="123"/>
    </row>
    <row r="24" spans="1:8" ht="15.75" customHeight="1" thickTop="1">
      <c r="A24" s="255"/>
      <c r="B24" s="139"/>
      <c r="C24" s="205"/>
      <c r="D24" s="205"/>
      <c r="E24" s="205"/>
      <c r="F24" s="140"/>
      <c r="G24" s="219"/>
      <c r="H24" s="123"/>
    </row>
    <row r="25" spans="1:8" ht="15">
      <c r="A25" s="19" t="s">
        <v>62</v>
      </c>
      <c r="B25" s="131">
        <f>DATE(2022,7,1)</f>
        <v>44743</v>
      </c>
      <c r="C25" s="204">
        <v>1113934</v>
      </c>
      <c r="D25" s="204">
        <v>249087.5</v>
      </c>
      <c r="E25" s="204">
        <v>419659</v>
      </c>
      <c r="F25" s="132">
        <f>(+D25-E25)/E25</f>
        <v>-0.4064526198651762</v>
      </c>
      <c r="G25" s="215">
        <f>D25/C25</f>
        <v>0.2236106447958317</v>
      </c>
      <c r="H25" s="123"/>
    </row>
    <row r="26" spans="1:8" ht="15">
      <c r="A26" s="19"/>
      <c r="B26" s="131">
        <f>DATE(2022,8,1)</f>
        <v>44774</v>
      </c>
      <c r="C26" s="204">
        <v>982269</v>
      </c>
      <c r="D26" s="204">
        <v>272495.5</v>
      </c>
      <c r="E26" s="204">
        <v>283741.5</v>
      </c>
      <c r="F26" s="132">
        <f>(+D26-E26)/E26</f>
        <v>-0.03963466747021497</v>
      </c>
      <c r="G26" s="215">
        <f>D26/C26</f>
        <v>0.2774143335481421</v>
      </c>
      <c r="H26" s="123"/>
    </row>
    <row r="27" spans="1:8" ht="15">
      <c r="A27" s="19"/>
      <c r="B27" s="131">
        <f>DATE(2022,9,1)</f>
        <v>44805</v>
      </c>
      <c r="C27" s="204">
        <v>1082836</v>
      </c>
      <c r="D27" s="204">
        <v>310850</v>
      </c>
      <c r="E27" s="204">
        <v>271461</v>
      </c>
      <c r="F27" s="132">
        <f>(+D27-E27)/E27</f>
        <v>0.14510003278555667</v>
      </c>
      <c r="G27" s="215">
        <f>D27/C27</f>
        <v>0.2870702488650174</v>
      </c>
      <c r="H27" s="123"/>
    </row>
    <row r="28" spans="1:8" ht="15">
      <c r="A28" s="19"/>
      <c r="B28" s="131">
        <f>DATE(2022,10,1)</f>
        <v>44835</v>
      </c>
      <c r="C28" s="204">
        <v>954912</v>
      </c>
      <c r="D28" s="204">
        <v>204149.5</v>
      </c>
      <c r="E28" s="204">
        <v>344180</v>
      </c>
      <c r="F28" s="132">
        <f>(+D28-E28)/E28</f>
        <v>-0.4068525190307397</v>
      </c>
      <c r="G28" s="215">
        <f>D28/C28</f>
        <v>0.21378880985891893</v>
      </c>
      <c r="H28" s="123"/>
    </row>
    <row r="29" spans="1:8" ht="15">
      <c r="A29" s="19"/>
      <c r="B29" s="131">
        <f>DATE(2022,11,1)</f>
        <v>44866</v>
      </c>
      <c r="C29" s="204">
        <v>1174084</v>
      </c>
      <c r="D29" s="204">
        <v>292609</v>
      </c>
      <c r="E29" s="204">
        <v>349298.5</v>
      </c>
      <c r="F29" s="132">
        <f>(+D29-E29)/E29</f>
        <v>-0.1622952861234732</v>
      </c>
      <c r="G29" s="215">
        <f>D29/C29</f>
        <v>0.24922322423267843</v>
      </c>
      <c r="H29" s="123"/>
    </row>
    <row r="30" spans="1:8" ht="15" thickBot="1">
      <c r="A30" s="133"/>
      <c r="B30" s="131"/>
      <c r="C30" s="204"/>
      <c r="D30" s="204"/>
      <c r="E30" s="204"/>
      <c r="F30" s="132"/>
      <c r="G30" s="215"/>
      <c r="H30" s="123"/>
    </row>
    <row r="31" spans="1:8" ht="16.5" thickBot="1" thickTop="1">
      <c r="A31" s="141" t="s">
        <v>14</v>
      </c>
      <c r="B31" s="142"/>
      <c r="C31" s="206">
        <f>SUM(C25:C30)</f>
        <v>5308035</v>
      </c>
      <c r="D31" s="206">
        <f>SUM(D25:D30)</f>
        <v>1329191.5</v>
      </c>
      <c r="E31" s="206">
        <f>SUM(E25:E30)</f>
        <v>1668340</v>
      </c>
      <c r="F31" s="143">
        <f>(+D31-E31)/E31</f>
        <v>-0.20328500185813445</v>
      </c>
      <c r="G31" s="217">
        <f>D31/C31</f>
        <v>0.2504112162033596</v>
      </c>
      <c r="H31" s="123"/>
    </row>
    <row r="32" spans="1:8" ht="15" thickTop="1">
      <c r="A32" s="133"/>
      <c r="B32" s="134"/>
      <c r="C32" s="204"/>
      <c r="D32" s="204"/>
      <c r="E32" s="204"/>
      <c r="F32" s="132"/>
      <c r="G32" s="218"/>
      <c r="H32" s="123"/>
    </row>
    <row r="33" spans="1:8" ht="15">
      <c r="A33" s="177" t="s">
        <v>58</v>
      </c>
      <c r="B33" s="131">
        <f>DATE(2022,7,1)</f>
        <v>44743</v>
      </c>
      <c r="C33" s="204">
        <v>14706873</v>
      </c>
      <c r="D33" s="204">
        <v>3390213</v>
      </c>
      <c r="E33" s="204">
        <v>2503983</v>
      </c>
      <c r="F33" s="132">
        <f>(+D33-E33)/E33</f>
        <v>0.3539281217164813</v>
      </c>
      <c r="G33" s="215">
        <f>D33/C33</f>
        <v>0.23051895532109376</v>
      </c>
      <c r="H33" s="123"/>
    </row>
    <row r="34" spans="1:8" ht="15">
      <c r="A34" s="177"/>
      <c r="B34" s="131">
        <f>DATE(2022,8,1)</f>
        <v>44774</v>
      </c>
      <c r="C34" s="204">
        <v>13496707</v>
      </c>
      <c r="D34" s="204">
        <v>2096973.67</v>
      </c>
      <c r="E34" s="204">
        <v>2387806</v>
      </c>
      <c r="F34" s="132">
        <f>(+D34-E34)/E34</f>
        <v>-0.12179897780640474</v>
      </c>
      <c r="G34" s="215">
        <f>D34/C34</f>
        <v>0.15536928155882765</v>
      </c>
      <c r="H34" s="123"/>
    </row>
    <row r="35" spans="1:8" ht="15">
      <c r="A35" s="177"/>
      <c r="B35" s="131">
        <f>DATE(2022,9,1)</f>
        <v>44805</v>
      </c>
      <c r="C35" s="204">
        <v>14000972</v>
      </c>
      <c r="D35" s="204">
        <v>3937084.53</v>
      </c>
      <c r="E35" s="204">
        <v>2689723.5</v>
      </c>
      <c r="F35" s="132">
        <f>(+D35-E35)/E35</f>
        <v>0.463750653180522</v>
      </c>
      <c r="G35" s="215">
        <f>D35/C35</f>
        <v>0.281200800201586</v>
      </c>
      <c r="H35" s="123"/>
    </row>
    <row r="36" spans="1:8" ht="15">
      <c r="A36" s="177"/>
      <c r="B36" s="131">
        <f>DATE(2022,10,1)</f>
        <v>44835</v>
      </c>
      <c r="C36" s="204">
        <v>12585717</v>
      </c>
      <c r="D36" s="204">
        <v>2819327.04</v>
      </c>
      <c r="E36" s="204">
        <v>2470116.03</v>
      </c>
      <c r="F36" s="132">
        <f>(+D36-E36)/E36</f>
        <v>0.1413743345489727</v>
      </c>
      <c r="G36" s="215">
        <f>D36/C36</f>
        <v>0.2240100456732024</v>
      </c>
      <c r="H36" s="123"/>
    </row>
    <row r="37" spans="1:8" ht="15">
      <c r="A37" s="177"/>
      <c r="B37" s="131">
        <f>DATE(2022,11,1)</f>
        <v>44866</v>
      </c>
      <c r="C37" s="204">
        <v>13050666</v>
      </c>
      <c r="D37" s="204">
        <v>2876740.26</v>
      </c>
      <c r="E37" s="204">
        <v>3414579.43</v>
      </c>
      <c r="F37" s="132">
        <f>(+D37-E37)/E37</f>
        <v>-0.15751256663547591</v>
      </c>
      <c r="G37" s="215">
        <f>D37/C37</f>
        <v>0.22042861720620233</v>
      </c>
      <c r="H37" s="123"/>
    </row>
    <row r="38" spans="1:8" ht="15.75" customHeight="1" thickBot="1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Bot="1" thickTop="1">
      <c r="A39" s="141" t="s">
        <v>14</v>
      </c>
      <c r="B39" s="142"/>
      <c r="C39" s="206">
        <f>SUM(C33:C38)</f>
        <v>67840935</v>
      </c>
      <c r="D39" s="206">
        <f>SUM(D33:D38)</f>
        <v>15120338.499999998</v>
      </c>
      <c r="E39" s="206">
        <f>SUM(E33:E38)</f>
        <v>13466207.959999999</v>
      </c>
      <c r="F39" s="143">
        <f>(+D39-E39)/E39</f>
        <v>0.12283565981703429</v>
      </c>
      <c r="G39" s="217">
        <f>D39/C39</f>
        <v>0.22287927635431318</v>
      </c>
      <c r="H39" s="123"/>
    </row>
    <row r="40" spans="1:8" ht="15.75" customHeight="1" thickTop="1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>
      <c r="A41" s="130" t="s">
        <v>60</v>
      </c>
      <c r="B41" s="131">
        <f>DATE(2022,7,1)</f>
        <v>44743</v>
      </c>
      <c r="C41" s="204">
        <v>14151945</v>
      </c>
      <c r="D41" s="204">
        <v>3195567.5</v>
      </c>
      <c r="E41" s="204">
        <v>3475895.5</v>
      </c>
      <c r="F41" s="132">
        <f>(+D41-E41)/E41</f>
        <v>-0.08064914494696403</v>
      </c>
      <c r="G41" s="215">
        <f>D41/C41</f>
        <v>0.22580412091765478</v>
      </c>
      <c r="H41" s="123"/>
    </row>
    <row r="42" spans="1:8" ht="15" customHeight="1">
      <c r="A42" s="130"/>
      <c r="B42" s="131">
        <f>DATE(2022,8,1)</f>
        <v>44774</v>
      </c>
      <c r="C42" s="204">
        <v>12695452</v>
      </c>
      <c r="D42" s="204">
        <v>3909171</v>
      </c>
      <c r="E42" s="204">
        <v>1742952</v>
      </c>
      <c r="F42" s="132">
        <f>(+D42-E42)/E42</f>
        <v>1.2428448976219655</v>
      </c>
      <c r="G42" s="215">
        <f>D42/C42</f>
        <v>0.3079190091065682</v>
      </c>
      <c r="H42" s="123"/>
    </row>
    <row r="43" spans="1:8" ht="15" customHeight="1">
      <c r="A43" s="130"/>
      <c r="B43" s="131">
        <f>DATE(2022,9,1)</f>
        <v>44805</v>
      </c>
      <c r="C43" s="204">
        <v>12298202</v>
      </c>
      <c r="D43" s="204">
        <v>3778062.5</v>
      </c>
      <c r="E43" s="204">
        <v>3305560.5</v>
      </c>
      <c r="F43" s="132">
        <f>(+D43-E43)/E43</f>
        <v>0.14294156770084832</v>
      </c>
      <c r="G43" s="215">
        <f>D43/C43</f>
        <v>0.3072044596437756</v>
      </c>
      <c r="H43" s="123"/>
    </row>
    <row r="44" spans="1:8" ht="15" customHeight="1">
      <c r="A44" s="130"/>
      <c r="B44" s="131">
        <f>DATE(2022,10,1)</f>
        <v>44835</v>
      </c>
      <c r="C44" s="204">
        <v>12569173</v>
      </c>
      <c r="D44" s="204">
        <v>1234436</v>
      </c>
      <c r="E44" s="204">
        <v>3513957.5</v>
      </c>
      <c r="F44" s="132">
        <f>(+D44-E44)/E44</f>
        <v>-0.6487049146155012</v>
      </c>
      <c r="G44" s="215">
        <f>D44/C44</f>
        <v>0.09821139386020067</v>
      </c>
      <c r="H44" s="123"/>
    </row>
    <row r="45" spans="1:8" ht="15" customHeight="1">
      <c r="A45" s="130"/>
      <c r="B45" s="131">
        <f>DATE(2022,11,1)</f>
        <v>44866</v>
      </c>
      <c r="C45" s="204">
        <v>12421811</v>
      </c>
      <c r="D45" s="204">
        <v>3487549</v>
      </c>
      <c r="E45" s="204">
        <v>3943943</v>
      </c>
      <c r="F45" s="132">
        <f>(+D45-E45)/E45</f>
        <v>-0.11572023226502005</v>
      </c>
      <c r="G45" s="215">
        <f>D45/C45</f>
        <v>0.28076010816780256</v>
      </c>
      <c r="H45" s="123"/>
    </row>
    <row r="46" spans="1:8" ht="1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7">
        <f>SUM(C41:C46)</f>
        <v>64136583</v>
      </c>
      <c r="D47" s="261">
        <f>SUM(D41:D46)</f>
        <v>15604786</v>
      </c>
      <c r="E47" s="206">
        <f>SUM(E41:E46)</f>
        <v>15982308.5</v>
      </c>
      <c r="F47" s="268">
        <f>(+D47-E47)/E47</f>
        <v>-0.02362127473637491</v>
      </c>
      <c r="G47" s="267">
        <f>D47/C47</f>
        <v>0.24330554061478454</v>
      </c>
      <c r="H47" s="123"/>
    </row>
    <row r="48" spans="1:8" ht="15.75" customHeight="1" thickTop="1">
      <c r="A48" s="130"/>
      <c r="B48" s="134"/>
      <c r="C48" s="204"/>
      <c r="D48" s="204"/>
      <c r="E48" s="204"/>
      <c r="F48" s="132"/>
      <c r="G48" s="218"/>
      <c r="H48" s="123"/>
    </row>
    <row r="49" spans="1:8" ht="15">
      <c r="A49" s="130" t="s">
        <v>64</v>
      </c>
      <c r="B49" s="131">
        <f>DATE(2022,7,1)</f>
        <v>44743</v>
      </c>
      <c r="C49" s="204">
        <v>3016522</v>
      </c>
      <c r="D49" s="204">
        <v>700930</v>
      </c>
      <c r="E49" s="204">
        <v>729030</v>
      </c>
      <c r="F49" s="132">
        <f>(+D49-E49)/E49</f>
        <v>-0.03854436717281868</v>
      </c>
      <c r="G49" s="215">
        <f>D49/C49</f>
        <v>0.2323636293718395</v>
      </c>
      <c r="H49" s="123"/>
    </row>
    <row r="50" spans="1:8" ht="15">
      <c r="A50" s="130"/>
      <c r="B50" s="131">
        <f>DATE(2022,8,1)</f>
        <v>44774</v>
      </c>
      <c r="C50" s="204">
        <v>2699781</v>
      </c>
      <c r="D50" s="204">
        <v>630145.5</v>
      </c>
      <c r="E50" s="204">
        <v>844084.5</v>
      </c>
      <c r="F50" s="132">
        <f>(+D50-E50)/E50</f>
        <v>-0.25345685177254174</v>
      </c>
      <c r="G50" s="215">
        <f>D50/C50</f>
        <v>0.23340615405471776</v>
      </c>
      <c r="H50" s="123"/>
    </row>
    <row r="51" spans="1:8" ht="15">
      <c r="A51" s="130"/>
      <c r="B51" s="131">
        <f>DATE(2022,9,1)</f>
        <v>44805</v>
      </c>
      <c r="C51" s="204">
        <v>2497205</v>
      </c>
      <c r="D51" s="204">
        <v>538940</v>
      </c>
      <c r="E51" s="204">
        <v>707619</v>
      </c>
      <c r="F51" s="132">
        <f>(+D51-E51)/E51</f>
        <v>-0.23837545345729835</v>
      </c>
      <c r="G51" s="215">
        <f>D51/C51</f>
        <v>0.21581728372320255</v>
      </c>
      <c r="H51" s="123"/>
    </row>
    <row r="52" spans="1:8" ht="15">
      <c r="A52" s="130"/>
      <c r="B52" s="131">
        <f>DATE(2022,10,1)</f>
        <v>44835</v>
      </c>
      <c r="C52" s="204">
        <v>2946833</v>
      </c>
      <c r="D52" s="204">
        <v>664586</v>
      </c>
      <c r="E52" s="204">
        <v>435392</v>
      </c>
      <c r="F52" s="132">
        <f>(+D52-E52)/E52</f>
        <v>0.5264083860061738</v>
      </c>
      <c r="G52" s="215">
        <f>D52/C52</f>
        <v>0.22552550483858433</v>
      </c>
      <c r="H52" s="123"/>
    </row>
    <row r="53" spans="1:8" ht="15">
      <c r="A53" s="130"/>
      <c r="B53" s="131">
        <f>DATE(2022,11,1)</f>
        <v>44866</v>
      </c>
      <c r="C53" s="204">
        <v>2417115</v>
      </c>
      <c r="D53" s="204">
        <v>644592.5</v>
      </c>
      <c r="E53" s="204">
        <v>706210</v>
      </c>
      <c r="F53" s="132">
        <f>(+D53-E53)/E53</f>
        <v>-0.08725095934637006</v>
      </c>
      <c r="G53" s="215">
        <f>D53/C53</f>
        <v>0.2666784575826967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6.5" thickBot="1" thickTop="1">
      <c r="A55" s="141" t="s">
        <v>14</v>
      </c>
      <c r="B55" s="142"/>
      <c r="C55" s="207">
        <f>SUM(C49:C54)</f>
        <v>13577456</v>
      </c>
      <c r="D55" s="261">
        <f>SUM(D49:D54)</f>
        <v>3179194</v>
      </c>
      <c r="E55" s="207">
        <f>SUM(E49:E54)</f>
        <v>3422335.5</v>
      </c>
      <c r="F55" s="268">
        <f>(+D55-E55)/E55</f>
        <v>-0.07104548925726306</v>
      </c>
      <c r="G55" s="267">
        <f>D55/C55</f>
        <v>0.234152406754255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">
      <c r="A57" s="130" t="s">
        <v>67</v>
      </c>
      <c r="B57" s="131">
        <f>DATE(2022,7,1)</f>
        <v>44743</v>
      </c>
      <c r="C57" s="204">
        <v>6177101</v>
      </c>
      <c r="D57" s="204">
        <v>951854</v>
      </c>
      <c r="E57" s="204">
        <v>1067021</v>
      </c>
      <c r="F57" s="132">
        <f>(+D57-E57)/E57</f>
        <v>-0.10793320843732222</v>
      </c>
      <c r="G57" s="215">
        <f>D57/C57</f>
        <v>0.15409396738049128</v>
      </c>
      <c r="H57" s="123"/>
    </row>
    <row r="58" spans="1:8" ht="15">
      <c r="A58" s="130"/>
      <c r="B58" s="131">
        <f>DATE(2022,8,1)</f>
        <v>44774</v>
      </c>
      <c r="C58" s="204">
        <v>6063193</v>
      </c>
      <c r="D58" s="204">
        <v>1029739</v>
      </c>
      <c r="E58" s="204">
        <v>666603.5</v>
      </c>
      <c r="F58" s="132">
        <f>(+D58-E58)/E58</f>
        <v>0.5447548655235084</v>
      </c>
      <c r="G58" s="215">
        <f>D58/C58</f>
        <v>0.169834442017597</v>
      </c>
      <c r="H58" s="123"/>
    </row>
    <row r="59" spans="1:8" ht="15">
      <c r="A59" s="130"/>
      <c r="B59" s="131">
        <f>DATE(2022,9,1)</f>
        <v>44805</v>
      </c>
      <c r="C59" s="204">
        <v>6587163</v>
      </c>
      <c r="D59" s="204">
        <v>389281</v>
      </c>
      <c r="E59" s="204">
        <v>1135711.5</v>
      </c>
      <c r="F59" s="132">
        <f>(+D59-E59)/E59</f>
        <v>-0.657236014604061</v>
      </c>
      <c r="G59" s="215">
        <f>D59/C59</f>
        <v>0.05909691319313033</v>
      </c>
      <c r="H59" s="123"/>
    </row>
    <row r="60" spans="1:8" ht="15">
      <c r="A60" s="130"/>
      <c r="B60" s="131">
        <f>DATE(2022,10,1)</f>
        <v>44835</v>
      </c>
      <c r="C60" s="204">
        <v>6082166</v>
      </c>
      <c r="D60" s="204">
        <v>1134882.5</v>
      </c>
      <c r="E60" s="204">
        <v>1168170.5</v>
      </c>
      <c r="F60" s="132">
        <f>(+D60-E60)/E60</f>
        <v>-0.028495840290437054</v>
      </c>
      <c r="G60" s="215">
        <f>D60/C60</f>
        <v>0.18659183258069575</v>
      </c>
      <c r="H60" s="123"/>
    </row>
    <row r="61" spans="1:8" ht="15">
      <c r="A61" s="130"/>
      <c r="B61" s="131">
        <f>DATE(2022,11,1)</f>
        <v>44866</v>
      </c>
      <c r="C61" s="204">
        <v>5974545</v>
      </c>
      <c r="D61" s="204">
        <v>1197761</v>
      </c>
      <c r="E61" s="204">
        <v>1079072</v>
      </c>
      <c r="F61" s="132">
        <f>(+D61-E61)/E61</f>
        <v>0.10999173363779248</v>
      </c>
      <c r="G61" s="215">
        <f>D61/C61</f>
        <v>0.20047735852688364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6.5" thickBot="1" thickTop="1">
      <c r="A63" s="141" t="s">
        <v>14</v>
      </c>
      <c r="B63" s="142"/>
      <c r="C63" s="207">
        <f>SUM(C57:C62)</f>
        <v>30884168</v>
      </c>
      <c r="D63" s="261">
        <f>SUM(D57:D62)</f>
        <v>4703517.5</v>
      </c>
      <c r="E63" s="207">
        <f>SUM(E57:E62)</f>
        <v>5116578.5</v>
      </c>
      <c r="F63" s="269">
        <f>(+D63-E63)/E63</f>
        <v>-0.08072992528112292</v>
      </c>
      <c r="G63" s="267">
        <f>D63/C63</f>
        <v>0.15229542528068102</v>
      </c>
      <c r="H63" s="123"/>
    </row>
    <row r="64" spans="1:8" ht="15.75" customHeight="1" thickTop="1">
      <c r="A64" s="130"/>
      <c r="B64" s="139"/>
      <c r="C64" s="205"/>
      <c r="D64" s="205"/>
      <c r="E64" s="205"/>
      <c r="F64" s="140"/>
      <c r="G64" s="216"/>
      <c r="H64" s="123"/>
    </row>
    <row r="65" spans="1:8" ht="15">
      <c r="A65" s="130" t="s">
        <v>69</v>
      </c>
      <c r="B65" s="131">
        <f>DATE(2022,7,1)</f>
        <v>44743</v>
      </c>
      <c r="C65" s="204">
        <v>5606930</v>
      </c>
      <c r="D65" s="204">
        <v>1405783</v>
      </c>
      <c r="E65" s="204">
        <v>1287648</v>
      </c>
      <c r="F65" s="132">
        <f>(+D65-E65)/E65</f>
        <v>0.09174479360819106</v>
      </c>
      <c r="G65" s="215">
        <f>D65/C65</f>
        <v>0.2507224095895615</v>
      </c>
      <c r="H65" s="123"/>
    </row>
    <row r="66" spans="1:8" ht="15">
      <c r="A66" s="130"/>
      <c r="B66" s="131">
        <f>DATE(2022,8,1)</f>
        <v>44774</v>
      </c>
      <c r="C66" s="204">
        <v>5378141</v>
      </c>
      <c r="D66" s="204">
        <v>1387184.42</v>
      </c>
      <c r="E66" s="204">
        <v>1323019.5</v>
      </c>
      <c r="F66" s="132">
        <f>(+D66-E66)/E66</f>
        <v>0.04849884676680875</v>
      </c>
      <c r="G66" s="215">
        <f>D66/C66</f>
        <v>0.2579300951760097</v>
      </c>
      <c r="H66" s="123"/>
    </row>
    <row r="67" spans="1:8" ht="15">
      <c r="A67" s="130"/>
      <c r="B67" s="131">
        <f>DATE(2022,9,1)</f>
        <v>44805</v>
      </c>
      <c r="C67" s="204">
        <v>5602602</v>
      </c>
      <c r="D67" s="204">
        <v>1318470</v>
      </c>
      <c r="E67" s="204">
        <v>858985.36</v>
      </c>
      <c r="F67" s="132">
        <f>(+D67-E67)/E67</f>
        <v>0.5349155659649427</v>
      </c>
      <c r="G67" s="215">
        <f>D67/C67</f>
        <v>0.23533172622292284</v>
      </c>
      <c r="H67" s="123"/>
    </row>
    <row r="68" spans="1:8" ht="15">
      <c r="A68" s="130"/>
      <c r="B68" s="131">
        <f>DATE(2022,10,1)</f>
        <v>44835</v>
      </c>
      <c r="C68" s="204">
        <v>5424917</v>
      </c>
      <c r="D68" s="204">
        <v>1379988.01</v>
      </c>
      <c r="E68" s="204">
        <v>980676.58</v>
      </c>
      <c r="F68" s="132">
        <f>(+D68-E68)/E68</f>
        <v>0.4071795310947469</v>
      </c>
      <c r="G68" s="215">
        <f>D68/C68</f>
        <v>0.25437956193615496</v>
      </c>
      <c r="H68" s="123"/>
    </row>
    <row r="69" spans="1:8" ht="15">
      <c r="A69" s="130"/>
      <c r="B69" s="131">
        <f>DATE(2022,11,1)</f>
        <v>44866</v>
      </c>
      <c r="C69" s="204">
        <v>4989462</v>
      </c>
      <c r="D69" s="204">
        <v>1234881.42</v>
      </c>
      <c r="E69" s="204">
        <v>1337612.57</v>
      </c>
      <c r="F69" s="132">
        <f>(+D69-E69)/E69</f>
        <v>-0.07680187245848036</v>
      </c>
      <c r="G69" s="215">
        <f>D69/C69</f>
        <v>0.2474979105963729</v>
      </c>
      <c r="H69" s="123"/>
    </row>
    <row r="70" spans="1:8" ht="15.75" customHeight="1" thickBot="1">
      <c r="A70" s="130"/>
      <c r="B70" s="131"/>
      <c r="C70" s="204"/>
      <c r="D70" s="204"/>
      <c r="E70" s="204"/>
      <c r="F70" s="132"/>
      <c r="G70" s="215"/>
      <c r="H70" s="123"/>
    </row>
    <row r="71" spans="1:8" ht="16.5" thickBot="1" thickTop="1">
      <c r="A71" s="141" t="s">
        <v>14</v>
      </c>
      <c r="B71" s="142"/>
      <c r="C71" s="206">
        <f>SUM(C65:C70)</f>
        <v>27002052</v>
      </c>
      <c r="D71" s="206">
        <f>SUM(D65:D70)</f>
        <v>6726306.85</v>
      </c>
      <c r="E71" s="206">
        <f>SUM(E65:E70)</f>
        <v>5787942.01</v>
      </c>
      <c r="F71" s="143">
        <f>(+D71-E71)/E71</f>
        <v>0.1621240914955193</v>
      </c>
      <c r="G71" s="217">
        <f>D71/C71</f>
        <v>0.2491035440565776</v>
      </c>
      <c r="H71" s="123"/>
    </row>
    <row r="72" spans="1:8" ht="15.75" customHeight="1" thickTop="1">
      <c r="A72" s="138"/>
      <c r="B72" s="139"/>
      <c r="C72" s="205"/>
      <c r="D72" s="205"/>
      <c r="E72" s="205"/>
      <c r="F72" s="140"/>
      <c r="G72" s="216"/>
      <c r="H72" s="123"/>
    </row>
    <row r="73" spans="1:8" ht="15">
      <c r="A73" s="130" t="s">
        <v>16</v>
      </c>
      <c r="B73" s="131">
        <f>DATE(2022,7,1)</f>
        <v>44743</v>
      </c>
      <c r="C73" s="204">
        <v>10366880</v>
      </c>
      <c r="D73" s="204">
        <v>2290229.5</v>
      </c>
      <c r="E73" s="204">
        <v>1960105</v>
      </c>
      <c r="F73" s="132">
        <f>(+D73-E73)/E73</f>
        <v>0.16842184474811298</v>
      </c>
      <c r="G73" s="215">
        <f>D73/C73</f>
        <v>0.22091791358634422</v>
      </c>
      <c r="H73" s="123"/>
    </row>
    <row r="74" spans="1:8" ht="15">
      <c r="A74" s="130"/>
      <c r="B74" s="131">
        <f>DATE(2022,8,1)</f>
        <v>44774</v>
      </c>
      <c r="C74" s="204">
        <v>9734457</v>
      </c>
      <c r="D74" s="204">
        <v>2099615</v>
      </c>
      <c r="E74" s="204">
        <v>2275188.5</v>
      </c>
      <c r="F74" s="132">
        <f>(+D74-E74)/E74</f>
        <v>-0.0771687708512943</v>
      </c>
      <c r="G74" s="215">
        <f>D74/C74</f>
        <v>0.21568896960559794</v>
      </c>
      <c r="H74" s="123"/>
    </row>
    <row r="75" spans="1:8" ht="15">
      <c r="A75" s="130"/>
      <c r="B75" s="131">
        <f>DATE(2022,9,1)</f>
        <v>44805</v>
      </c>
      <c r="C75" s="204">
        <v>9237427</v>
      </c>
      <c r="D75" s="204">
        <v>1892853.5</v>
      </c>
      <c r="E75" s="204">
        <v>937001</v>
      </c>
      <c r="F75" s="132">
        <f>(+D75-E75)/E75</f>
        <v>1.0201189753266005</v>
      </c>
      <c r="G75" s="215">
        <f>D75/C75</f>
        <v>0.2049113351585891</v>
      </c>
      <c r="H75" s="123"/>
    </row>
    <row r="76" spans="1:8" ht="15">
      <c r="A76" s="130"/>
      <c r="B76" s="131">
        <f>DATE(2022,10,1)</f>
        <v>44835</v>
      </c>
      <c r="C76" s="204">
        <v>10140690</v>
      </c>
      <c r="D76" s="204">
        <v>1720920</v>
      </c>
      <c r="E76" s="204">
        <v>1775955</v>
      </c>
      <c r="F76" s="132">
        <f>(+D76-E76)/E76</f>
        <v>-0.030988960868940936</v>
      </c>
      <c r="G76" s="215">
        <f>D76/C76</f>
        <v>0.16970442839688424</v>
      </c>
      <c r="H76" s="123"/>
    </row>
    <row r="77" spans="1:8" ht="15">
      <c r="A77" s="130"/>
      <c r="B77" s="131">
        <f>DATE(2022,11,1)</f>
        <v>44866</v>
      </c>
      <c r="C77" s="204">
        <v>9461662</v>
      </c>
      <c r="D77" s="204">
        <v>1878662</v>
      </c>
      <c r="E77" s="204">
        <v>2249032.5</v>
      </c>
      <c r="F77" s="132">
        <f>(+D77-E77)/E77</f>
        <v>-0.16467992347820673</v>
      </c>
      <c r="G77" s="215">
        <f>D77/C77</f>
        <v>0.19855517984049736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6.5" thickBot="1" thickTop="1">
      <c r="A79" s="141" t="s">
        <v>14</v>
      </c>
      <c r="B79" s="142"/>
      <c r="C79" s="206">
        <f>SUM(C73:C78)</f>
        <v>48941116</v>
      </c>
      <c r="D79" s="206">
        <f>SUM(D73:D78)</f>
        <v>9882280</v>
      </c>
      <c r="E79" s="206">
        <f>SUM(E73:E78)</f>
        <v>9197282</v>
      </c>
      <c r="F79" s="143">
        <f>(+D79-E79)/E79</f>
        <v>0.07447830783050906</v>
      </c>
      <c r="G79" s="217">
        <f>D79/C79</f>
        <v>0.2019218360284224</v>
      </c>
      <c r="H79" s="123"/>
    </row>
    <row r="80" spans="1:8" ht="15.75" customHeight="1" thickTop="1">
      <c r="A80" s="138"/>
      <c r="B80" s="139"/>
      <c r="C80" s="205"/>
      <c r="D80" s="205"/>
      <c r="E80" s="205"/>
      <c r="F80" s="140"/>
      <c r="G80" s="216"/>
      <c r="H80" s="123"/>
    </row>
    <row r="81" spans="1:8" ht="15">
      <c r="A81" s="130" t="s">
        <v>53</v>
      </c>
      <c r="B81" s="131">
        <f>DATE(2022,7,1)</f>
        <v>44743</v>
      </c>
      <c r="C81" s="204">
        <v>14277956</v>
      </c>
      <c r="D81" s="204">
        <v>2740415.54</v>
      </c>
      <c r="E81" s="204">
        <v>2503594.66</v>
      </c>
      <c r="F81" s="132">
        <f>(+D81-E81)/E81</f>
        <v>0.09459234107808805</v>
      </c>
      <c r="G81" s="215">
        <f>D81/C81</f>
        <v>0.19193332294902715</v>
      </c>
      <c r="H81" s="123"/>
    </row>
    <row r="82" spans="1:8" ht="15">
      <c r="A82" s="130"/>
      <c r="B82" s="131">
        <f>DATE(2022,8,1)</f>
        <v>44774</v>
      </c>
      <c r="C82" s="204">
        <v>14131755</v>
      </c>
      <c r="D82" s="204">
        <v>2943976.84</v>
      </c>
      <c r="E82" s="204">
        <v>2041955.48</v>
      </c>
      <c r="F82" s="132">
        <f>(+D82-E82)/E82</f>
        <v>0.4417438914975756</v>
      </c>
      <c r="G82" s="215">
        <f>D82/C82</f>
        <v>0.208323512543205</v>
      </c>
      <c r="H82" s="123"/>
    </row>
    <row r="83" spans="1:8" ht="15">
      <c r="A83" s="130"/>
      <c r="B83" s="131">
        <f>DATE(2022,9,1)</f>
        <v>44805</v>
      </c>
      <c r="C83" s="204">
        <v>13855244</v>
      </c>
      <c r="D83" s="204">
        <v>2470080.11</v>
      </c>
      <c r="E83" s="204">
        <v>2713567.27</v>
      </c>
      <c r="F83" s="132">
        <f>(+D83-E83)/E83</f>
        <v>-0.0897295463030847</v>
      </c>
      <c r="G83" s="215">
        <f>D83/C83</f>
        <v>0.1782776333639451</v>
      </c>
      <c r="H83" s="123"/>
    </row>
    <row r="84" spans="1:8" ht="15">
      <c r="A84" s="130"/>
      <c r="B84" s="131">
        <f>DATE(2022,10,1)</f>
        <v>44835</v>
      </c>
      <c r="C84" s="204">
        <v>14256461</v>
      </c>
      <c r="D84" s="204">
        <v>3215532.42</v>
      </c>
      <c r="E84" s="204">
        <v>2659301.47</v>
      </c>
      <c r="F84" s="132">
        <f>(+D84-E84)/E84</f>
        <v>0.20916430734722216</v>
      </c>
      <c r="G84" s="215">
        <f>D84/C84</f>
        <v>0.22554913312637687</v>
      </c>
      <c r="H84" s="123"/>
    </row>
    <row r="85" spans="1:8" ht="15">
      <c r="A85" s="130"/>
      <c r="B85" s="131">
        <f>DATE(2022,11,1)</f>
        <v>44866</v>
      </c>
      <c r="C85" s="204">
        <v>13386623</v>
      </c>
      <c r="D85" s="204">
        <v>3265973.52</v>
      </c>
      <c r="E85" s="204">
        <v>2735220.29</v>
      </c>
      <c r="F85" s="132">
        <f>(+D85-E85)/E85</f>
        <v>0.19404405266385324</v>
      </c>
      <c r="G85" s="215">
        <f>D85/C85</f>
        <v>0.24397292132601328</v>
      </c>
      <c r="H85" s="123"/>
    </row>
    <row r="86" spans="1:8" ht="15" thickBot="1">
      <c r="A86" s="133"/>
      <c r="B86" s="131"/>
      <c r="C86" s="204"/>
      <c r="D86" s="204"/>
      <c r="E86" s="204"/>
      <c r="F86" s="132"/>
      <c r="G86" s="215"/>
      <c r="H86" s="123"/>
    </row>
    <row r="87" spans="1:8" ht="16.5" thickBot="1" thickTop="1">
      <c r="A87" s="141" t="s">
        <v>14</v>
      </c>
      <c r="B87" s="142"/>
      <c r="C87" s="207">
        <f>SUM(C81:C86)</f>
        <v>69908039</v>
      </c>
      <c r="D87" s="207">
        <f>SUM(D81:D86)</f>
        <v>14635978.43</v>
      </c>
      <c r="E87" s="207">
        <f>SUM(E81:E86)</f>
        <v>12653639.170000002</v>
      </c>
      <c r="F87" s="143">
        <f>(+D87-E87)/E87</f>
        <v>0.1566615922397918</v>
      </c>
      <c r="G87" s="267">
        <f>D87/C87</f>
        <v>0.2093604489463651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9"/>
      <c r="H88" s="123"/>
    </row>
    <row r="89" spans="1:8" ht="15">
      <c r="A89" s="130" t="s">
        <v>54</v>
      </c>
      <c r="B89" s="131">
        <f>DATE(2022,7,1)</f>
        <v>44743</v>
      </c>
      <c r="C89" s="204">
        <v>138495</v>
      </c>
      <c r="D89" s="204">
        <v>33672.5</v>
      </c>
      <c r="E89" s="204">
        <v>95940.5</v>
      </c>
      <c r="F89" s="132">
        <f>(+D89-E89)/E89</f>
        <v>-0.6490272616882339</v>
      </c>
      <c r="G89" s="215">
        <f>D89/C89</f>
        <v>0.2431315209935377</v>
      </c>
      <c r="H89" s="123"/>
    </row>
    <row r="90" spans="1:8" ht="15">
      <c r="A90" s="130"/>
      <c r="B90" s="131">
        <f>DATE(2022,8,1)</f>
        <v>44774</v>
      </c>
      <c r="C90" s="204">
        <v>107572</v>
      </c>
      <c r="D90" s="204">
        <v>43554</v>
      </c>
      <c r="E90" s="204">
        <v>109429</v>
      </c>
      <c r="F90" s="132">
        <f>(+D90-E90)/E90</f>
        <v>-0.6019885039614727</v>
      </c>
      <c r="G90" s="215">
        <f>D90/C90</f>
        <v>0.40488231138214403</v>
      </c>
      <c r="H90" s="123"/>
    </row>
    <row r="91" spans="1:8" ht="15">
      <c r="A91" s="130"/>
      <c r="B91" s="131">
        <f>DATE(2022,9,1)</f>
        <v>44805</v>
      </c>
      <c r="C91" s="204">
        <v>96319</v>
      </c>
      <c r="D91" s="204">
        <v>21940.5</v>
      </c>
      <c r="E91" s="204">
        <v>101758.5</v>
      </c>
      <c r="F91" s="132">
        <f>(+D91-E91)/E91</f>
        <v>-0.7843865623019207</v>
      </c>
      <c r="G91" s="215">
        <f>D91/C91</f>
        <v>0.22778994798534039</v>
      </c>
      <c r="H91" s="123"/>
    </row>
    <row r="92" spans="1:8" ht="15">
      <c r="A92" s="130"/>
      <c r="B92" s="131">
        <f>DATE(2022,10,1)</f>
        <v>44835</v>
      </c>
      <c r="C92" s="204">
        <v>100492</v>
      </c>
      <c r="D92" s="204">
        <v>23452.5</v>
      </c>
      <c r="E92" s="204">
        <v>79721.5</v>
      </c>
      <c r="F92" s="132">
        <f>(+D92-E92)/E92</f>
        <v>-0.7058196346029616</v>
      </c>
      <c r="G92" s="215">
        <f>D92/C92</f>
        <v>0.23337678621183774</v>
      </c>
      <c r="H92" s="123"/>
    </row>
    <row r="93" spans="1:8" ht="15">
      <c r="A93" s="130"/>
      <c r="B93" s="131">
        <f>DATE(2022,11,1)</f>
        <v>44866</v>
      </c>
      <c r="C93" s="204">
        <v>84332</v>
      </c>
      <c r="D93" s="204">
        <v>27986</v>
      </c>
      <c r="E93" s="204">
        <v>65199</v>
      </c>
      <c r="F93" s="132">
        <f>(+D93-E93)/E93</f>
        <v>-0.5707602877344744</v>
      </c>
      <c r="G93" s="215">
        <f>D93/C93</f>
        <v>0.33185504909168523</v>
      </c>
      <c r="H93" s="123"/>
    </row>
    <row r="94" spans="1:8" ht="15" thickBot="1">
      <c r="A94" s="133"/>
      <c r="B94" s="134"/>
      <c r="C94" s="204"/>
      <c r="D94" s="204"/>
      <c r="E94" s="204"/>
      <c r="F94" s="132"/>
      <c r="G94" s="215"/>
      <c r="H94" s="123"/>
    </row>
    <row r="95" spans="1:8" ht="16.5" thickBot="1" thickTop="1">
      <c r="A95" s="144" t="s">
        <v>14</v>
      </c>
      <c r="B95" s="145"/>
      <c r="C95" s="207">
        <f>SUM(C89:C94)</f>
        <v>527210</v>
      </c>
      <c r="D95" s="207">
        <f>SUM(D89:D94)</f>
        <v>150605.5</v>
      </c>
      <c r="E95" s="207">
        <f>SUM(E89:E94)</f>
        <v>452048.5</v>
      </c>
      <c r="F95" s="143">
        <f>(+D95-E95)/E95</f>
        <v>-0.6668377397558005</v>
      </c>
      <c r="G95" s="217">
        <f>D95/C95</f>
        <v>0.2856651049866277</v>
      </c>
      <c r="H95" s="123"/>
    </row>
    <row r="96" spans="1:8" ht="15.75" customHeight="1" thickTop="1">
      <c r="A96" s="130"/>
      <c r="B96" s="134"/>
      <c r="C96" s="204"/>
      <c r="D96" s="204"/>
      <c r="E96" s="204"/>
      <c r="F96" s="132"/>
      <c r="G96" s="218"/>
      <c r="H96" s="123"/>
    </row>
    <row r="97" spans="1:8" ht="15">
      <c r="A97" s="130" t="s">
        <v>37</v>
      </c>
      <c r="B97" s="131">
        <f>DATE(2022,7,1)</f>
        <v>44743</v>
      </c>
      <c r="C97" s="204">
        <v>23474853</v>
      </c>
      <c r="D97" s="204">
        <v>4747644.93</v>
      </c>
      <c r="E97" s="204">
        <v>4828759.44</v>
      </c>
      <c r="F97" s="132">
        <f>(+D97-E97)/E97</f>
        <v>-0.01679820894121839</v>
      </c>
      <c r="G97" s="215">
        <f>D97/C97</f>
        <v>0.20224386197434335</v>
      </c>
      <c r="H97" s="123"/>
    </row>
    <row r="98" spans="1:8" ht="15">
      <c r="A98" s="130"/>
      <c r="B98" s="131">
        <f>DATE(2022,8,1)</f>
        <v>44774</v>
      </c>
      <c r="C98" s="204">
        <v>21618581</v>
      </c>
      <c r="D98" s="204">
        <v>5944421.23</v>
      </c>
      <c r="E98" s="204">
        <v>4617763.22</v>
      </c>
      <c r="F98" s="132">
        <f>(+D98-E98)/E98</f>
        <v>0.28729450749101004</v>
      </c>
      <c r="G98" s="215">
        <f>D98/C98</f>
        <v>0.2749681503147686</v>
      </c>
      <c r="H98" s="123"/>
    </row>
    <row r="99" spans="1:8" ht="15">
      <c r="A99" s="130"/>
      <c r="B99" s="131">
        <f>DATE(2022,9,1)</f>
        <v>44805</v>
      </c>
      <c r="C99" s="204">
        <v>22214362</v>
      </c>
      <c r="D99" s="204">
        <v>4482002.35</v>
      </c>
      <c r="E99" s="204">
        <v>4146063.59</v>
      </c>
      <c r="F99" s="132">
        <f>(+D99-E99)/E99</f>
        <v>0.08102595454885432</v>
      </c>
      <c r="G99" s="215">
        <f>D99/C99</f>
        <v>0.20176147079983658</v>
      </c>
      <c r="H99" s="123"/>
    </row>
    <row r="100" spans="1:8" ht="15">
      <c r="A100" s="130"/>
      <c r="B100" s="131">
        <f>DATE(2022,10,1)</f>
        <v>44835</v>
      </c>
      <c r="C100" s="204">
        <v>22521885</v>
      </c>
      <c r="D100" s="204">
        <v>4856222.42</v>
      </c>
      <c r="E100" s="204">
        <v>5459139.57</v>
      </c>
      <c r="F100" s="132">
        <f>(+D100-E100)/E100</f>
        <v>-0.11044179073809618</v>
      </c>
      <c r="G100" s="215">
        <f>D100/C100</f>
        <v>0.21562237885505586</v>
      </c>
      <c r="H100" s="123"/>
    </row>
    <row r="101" spans="1:8" ht="15">
      <c r="A101" s="130"/>
      <c r="B101" s="131">
        <f>DATE(2022,11,1)</f>
        <v>44866</v>
      </c>
      <c r="C101" s="204">
        <v>19717008</v>
      </c>
      <c r="D101" s="204">
        <v>4475648.35</v>
      </c>
      <c r="E101" s="204">
        <v>4253233.65</v>
      </c>
      <c r="F101" s="132">
        <f>(+D101-E101)/E101</f>
        <v>0.05229308293467471</v>
      </c>
      <c r="G101" s="215">
        <f>D101/C101</f>
        <v>0.22699429599054785</v>
      </c>
      <c r="H101" s="123"/>
    </row>
    <row r="102" spans="1:8" ht="15" thickBot="1">
      <c r="A102" s="133"/>
      <c r="B102" s="134"/>
      <c r="C102" s="204"/>
      <c r="D102" s="204"/>
      <c r="E102" s="204"/>
      <c r="F102" s="132"/>
      <c r="G102" s="215"/>
      <c r="H102" s="123"/>
    </row>
    <row r="103" spans="1:8" ht="16.5" thickBot="1" thickTop="1">
      <c r="A103" s="141" t="s">
        <v>14</v>
      </c>
      <c r="B103" s="142"/>
      <c r="C103" s="206">
        <f>SUM(C97:C102)</f>
        <v>109546689</v>
      </c>
      <c r="D103" s="207">
        <f>SUM(D97:D102)</f>
        <v>24505939.28</v>
      </c>
      <c r="E103" s="206">
        <f>SUM(E97:E102)</f>
        <v>23304959.47</v>
      </c>
      <c r="F103" s="143">
        <f>(+D103-E103)/E103</f>
        <v>0.05153322886255174</v>
      </c>
      <c r="G103" s="217">
        <f>D103/C103</f>
        <v>0.22370314889206738</v>
      </c>
      <c r="H103" s="123"/>
    </row>
    <row r="104" spans="1:8" ht="15.75" customHeight="1" thickTop="1">
      <c r="A104" s="130"/>
      <c r="B104" s="134"/>
      <c r="C104" s="204"/>
      <c r="D104" s="204"/>
      <c r="E104" s="204"/>
      <c r="F104" s="132"/>
      <c r="G104" s="218"/>
      <c r="H104" s="123"/>
    </row>
    <row r="105" spans="1:8" ht="15">
      <c r="A105" s="130" t="s">
        <v>57</v>
      </c>
      <c r="B105" s="131">
        <f>DATE(2022,7,1)</f>
        <v>44743</v>
      </c>
      <c r="C105" s="204">
        <v>726679</v>
      </c>
      <c r="D105" s="204">
        <v>196833</v>
      </c>
      <c r="E105" s="204">
        <v>127439.5</v>
      </c>
      <c r="F105" s="132">
        <f>(+D105-E105)/E105</f>
        <v>0.5445211257106313</v>
      </c>
      <c r="G105" s="215">
        <f>D105/C105</f>
        <v>0.27086650364191067</v>
      </c>
      <c r="H105" s="123"/>
    </row>
    <row r="106" spans="1:8" ht="15">
      <c r="A106" s="130"/>
      <c r="B106" s="131">
        <f>DATE(2022,8,1)</f>
        <v>44774</v>
      </c>
      <c r="C106" s="204">
        <v>607303</v>
      </c>
      <c r="D106" s="204">
        <v>151280.5</v>
      </c>
      <c r="E106" s="204">
        <v>132624</v>
      </c>
      <c r="F106" s="132">
        <f>(+D106-E106)/E106</f>
        <v>0.14067212570877066</v>
      </c>
      <c r="G106" s="215">
        <f>D106/C106</f>
        <v>0.24910217799022893</v>
      </c>
      <c r="H106" s="123"/>
    </row>
    <row r="107" spans="1:8" ht="15">
      <c r="A107" s="130"/>
      <c r="B107" s="131">
        <f>DATE(2022,9,1)</f>
        <v>44805</v>
      </c>
      <c r="C107" s="204">
        <v>597896</v>
      </c>
      <c r="D107" s="204">
        <v>193974</v>
      </c>
      <c r="E107" s="204">
        <v>116203.5</v>
      </c>
      <c r="F107" s="132">
        <f>(+D107-E107)/E107</f>
        <v>0.6692612528882521</v>
      </c>
      <c r="G107" s="215">
        <f>D107/C107</f>
        <v>0.32442765965987397</v>
      </c>
      <c r="H107" s="123"/>
    </row>
    <row r="108" spans="1:8" ht="15">
      <c r="A108" s="130"/>
      <c r="B108" s="131">
        <f>DATE(2022,10,1)</f>
        <v>44835</v>
      </c>
      <c r="C108" s="204">
        <v>616111</v>
      </c>
      <c r="D108" s="204">
        <v>196489.5</v>
      </c>
      <c r="E108" s="204">
        <v>167500.5</v>
      </c>
      <c r="F108" s="132">
        <f>(+D108-E108)/E108</f>
        <v>0.17306814009510418</v>
      </c>
      <c r="G108" s="215">
        <f>D108/C108</f>
        <v>0.31891899349305564</v>
      </c>
      <c r="H108" s="123"/>
    </row>
    <row r="109" spans="1:8" ht="15">
      <c r="A109" s="130"/>
      <c r="B109" s="131">
        <f>DATE(2022,11,1)</f>
        <v>44866</v>
      </c>
      <c r="C109" s="204">
        <v>588129</v>
      </c>
      <c r="D109" s="204">
        <v>205853.5</v>
      </c>
      <c r="E109" s="204">
        <v>144385.5</v>
      </c>
      <c r="F109" s="132">
        <f>(+D109-E109)/E109</f>
        <v>0.4257214193946068</v>
      </c>
      <c r="G109" s="215">
        <f>D109/C109</f>
        <v>0.35001419756550006</v>
      </c>
      <c r="H109" s="123"/>
    </row>
    <row r="110" spans="1:8" ht="15" thickBot="1">
      <c r="A110" s="133"/>
      <c r="B110" s="134"/>
      <c r="C110" s="204"/>
      <c r="D110" s="204"/>
      <c r="E110" s="204"/>
      <c r="F110" s="132"/>
      <c r="G110" s="215"/>
      <c r="H110" s="123"/>
    </row>
    <row r="111" spans="1:8" ht="16.5" thickBot="1" thickTop="1">
      <c r="A111" s="135" t="s">
        <v>14</v>
      </c>
      <c r="B111" s="136"/>
      <c r="C111" s="201">
        <f>SUM(C105:C110)</f>
        <v>3136118</v>
      </c>
      <c r="D111" s="207">
        <f>SUM(D105:D110)</f>
        <v>944430.5</v>
      </c>
      <c r="E111" s="207">
        <f>SUM(E105:E110)</f>
        <v>688153</v>
      </c>
      <c r="F111" s="143">
        <f>(+D111-E111)/E111</f>
        <v>0.37241354756863665</v>
      </c>
      <c r="G111" s="217">
        <f>D111/C111</f>
        <v>0.30114635354919683</v>
      </c>
      <c r="H111" s="123"/>
    </row>
    <row r="112" spans="1:8" ht="15.75" thickBot="1" thickTop="1">
      <c r="A112" s="146"/>
      <c r="B112" s="139"/>
      <c r="C112" s="205"/>
      <c r="D112" s="205"/>
      <c r="E112" s="205"/>
      <c r="F112" s="140"/>
      <c r="G112" s="216"/>
      <c r="H112" s="123"/>
    </row>
    <row r="113" spans="1:8" ht="16.5" thickBot="1" thickTop="1">
      <c r="A113" s="147" t="s">
        <v>38</v>
      </c>
      <c r="B113" s="121"/>
      <c r="C113" s="201">
        <f>C111+C103+C79+C63+C47+C31+C15+C39+C95+C23+C71+C87+C55</f>
        <v>526079181.25</v>
      </c>
      <c r="D113" s="201">
        <f>D111+D103+D79+D63+D47+D31+D15+D39+D95+D23+D71+D87+D55</f>
        <v>114399425.41</v>
      </c>
      <c r="E113" s="201">
        <f>E111+E103+E79+E63+E47+E31+E15+E39+E95+E23+E71+E87+E55</f>
        <v>107087067.67</v>
      </c>
      <c r="F113" s="137">
        <f>(+D113-E113)/E113</f>
        <v>0.06828422795676682</v>
      </c>
      <c r="G113" s="212">
        <f>D113/C113</f>
        <v>0.21745666714690964</v>
      </c>
      <c r="H113" s="123"/>
    </row>
    <row r="114" spans="1:8" ht="16.5" thickBot="1" thickTop="1">
      <c r="A114" s="147"/>
      <c r="B114" s="121"/>
      <c r="C114" s="201"/>
      <c r="D114" s="201"/>
      <c r="E114" s="201"/>
      <c r="F114" s="137"/>
      <c r="G114" s="212"/>
      <c r="H114" s="123"/>
    </row>
    <row r="115" spans="1:8" ht="16.5" thickBot="1" thickTop="1">
      <c r="A115" s="265" t="s">
        <v>39</v>
      </c>
      <c r="B115" s="266"/>
      <c r="C115" s="206">
        <f>+C13+C21+C29+C37+C45+C53+C61+C69+C77+C85+C93+C101+C109</f>
        <v>99716751</v>
      </c>
      <c r="D115" s="206">
        <f>+D13+D21+D29+D37+D45+D53+D61+D69+D77+D85+D93+D101+D109</f>
        <v>23238947.049999997</v>
      </c>
      <c r="E115" s="206">
        <f>+E13+E21+E29+E37+E45+E53+E61+E69+E77+E85+E93+E101+E109</f>
        <v>23239921.439999998</v>
      </c>
      <c r="F115" s="268">
        <f>(+D115-E115)/E115</f>
        <v>-4.1927422281363625E-05</v>
      </c>
      <c r="G115" s="217">
        <f>D115/C115</f>
        <v>0.23304958110799254</v>
      </c>
      <c r="H115" s="123"/>
    </row>
    <row r="116" spans="1:8" ht="15.75" thickTop="1">
      <c r="A116" s="256"/>
      <c r="B116" s="258"/>
      <c r="C116" s="259"/>
      <c r="D116" s="259"/>
      <c r="E116" s="259"/>
      <c r="F116" s="260"/>
      <c r="G116" s="257"/>
      <c r="H116" s="257"/>
    </row>
    <row r="117" spans="1:7" ht="17.25">
      <c r="A117" s="263" t="s">
        <v>40</v>
      </c>
      <c r="B117" s="117"/>
      <c r="C117" s="208"/>
      <c r="D117" s="208"/>
      <c r="E117" s="208"/>
      <c r="F117" s="148"/>
      <c r="G117" s="220"/>
    </row>
    <row r="118" ht="15">
      <c r="A118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</v>
      </c>
      <c r="G14" s="241">
        <f>+D14/C14</f>
        <v>0.05069968847392133</v>
      </c>
      <c r="H14" s="289">
        <f>1-G14</f>
        <v>0.9493003115260786</v>
      </c>
    </row>
    <row r="15" spans="1:8" ht="15" thickBot="1">
      <c r="A15" s="167"/>
      <c r="B15" s="168"/>
      <c r="C15" s="226"/>
      <c r="D15" s="226"/>
      <c r="E15" s="226"/>
      <c r="F15" s="166"/>
      <c r="G15" s="241"/>
      <c r="H15" s="242"/>
    </row>
    <row r="16" spans="1:8" ht="16.5" thickBot="1" thickTop="1">
      <c r="A16" s="169" t="s">
        <v>14</v>
      </c>
      <c r="B16" s="155"/>
      <c r="C16" s="223">
        <f>SUM(C10:C15)</f>
        <v>10220732.540000001</v>
      </c>
      <c r="D16" s="223">
        <f>SUM(D10:D15)</f>
        <v>506770.29000000004</v>
      </c>
      <c r="E16" s="223">
        <f>SUM(E10:E15)</f>
        <v>51101.03</v>
      </c>
      <c r="F16" s="176">
        <f>+(D16-E16)/E16</f>
        <v>8.91702691706997</v>
      </c>
      <c r="G16" s="245">
        <f>+D16/C16</f>
        <v>0.0495825801151431</v>
      </c>
      <c r="H16" s="246">
        <f>1-G16</f>
        <v>0.950417419884857</v>
      </c>
    </row>
    <row r="17" spans="1:8" ht="15" thickTop="1">
      <c r="A17" s="171"/>
      <c r="B17" s="172"/>
      <c r="C17" s="227"/>
      <c r="D17" s="227"/>
      <c r="E17" s="227"/>
      <c r="F17" s="173"/>
      <c r="G17" s="243"/>
      <c r="H17" s="244"/>
    </row>
    <row r="18" spans="1:8" ht="15">
      <c r="A18" s="19" t="s">
        <v>48</v>
      </c>
      <c r="B18" s="165">
        <f>DATE(22,7,1)</f>
        <v>8218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">
      <c r="A19" s="19"/>
      <c r="B19" s="165">
        <f>DATE(22,8,1)</f>
        <v>8249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">
      <c r="A20" s="19"/>
      <c r="B20" s="165">
        <f>DATE(22,9,1)</f>
        <v>8280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">
      <c r="A21" s="19"/>
      <c r="B21" s="165">
        <f>DATE(22,10,1)</f>
        <v>8310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">
      <c r="A22" s="19"/>
      <c r="B22" s="165">
        <f>DATE(22,11,1)</f>
        <v>8341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" thickBot="1">
      <c r="A23" s="167"/>
      <c r="B23" s="165"/>
      <c r="C23" s="226"/>
      <c r="D23" s="226"/>
      <c r="E23" s="226"/>
      <c r="F23" s="166"/>
      <c r="G23" s="241"/>
      <c r="H23" s="242"/>
    </row>
    <row r="24" spans="1:8" ht="16.5" thickBot="1" thickTop="1">
      <c r="A24" s="169" t="s">
        <v>14</v>
      </c>
      <c r="B24" s="155"/>
      <c r="C24" s="223">
        <f>SUM(C18:C23)</f>
        <v>0</v>
      </c>
      <c r="D24" s="223">
        <f>SUM(D18:D23)</f>
        <v>0</v>
      </c>
      <c r="E24" s="223">
        <f>SUM(E18:E23)</f>
        <v>0</v>
      </c>
      <c r="F24" s="170">
        <v>0</v>
      </c>
      <c r="G24" s="236">
        <v>0</v>
      </c>
      <c r="H24" s="237">
        <v>0</v>
      </c>
    </row>
    <row r="25" spans="1:8" ht="15" thickTop="1">
      <c r="A25" s="171"/>
      <c r="B25" s="172"/>
      <c r="C25" s="227"/>
      <c r="D25" s="227"/>
      <c r="E25" s="227"/>
      <c r="F25" s="173"/>
      <c r="G25" s="243"/>
      <c r="H25" s="244"/>
    </row>
    <row r="26" spans="1:8" ht="15">
      <c r="A26" s="19" t="s">
        <v>62</v>
      </c>
      <c r="B26" s="165">
        <f>DATE(22,7,1)</f>
        <v>8218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DATE(22,8,1)</f>
        <v>8249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DATE(22,9,1)</f>
        <v>8280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>
      <c r="A29" s="19"/>
      <c r="B29" s="165">
        <f>DATE(22,10,1)</f>
        <v>8310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">
      <c r="A30" s="19"/>
      <c r="B30" s="165">
        <f>DATE(22,11,1)</f>
        <v>8341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 thickBot="1">
      <c r="A31" s="167"/>
      <c r="B31" s="165"/>
      <c r="C31" s="226"/>
      <c r="D31" s="226"/>
      <c r="E31" s="226"/>
      <c r="F31" s="166"/>
      <c r="G31" s="241"/>
      <c r="H31" s="242"/>
    </row>
    <row r="32" spans="1:8" ht="16.5" thickBot="1" thickTop="1">
      <c r="A32" s="174" t="s">
        <v>14</v>
      </c>
      <c r="B32" s="175"/>
      <c r="C32" s="228">
        <f>SUM(C26:C31)</f>
        <v>0</v>
      </c>
      <c r="D32" s="228">
        <f>SUM(D26:D31)</f>
        <v>0</v>
      </c>
      <c r="E32" s="228">
        <f>SUM(E26:E31)</f>
        <v>0</v>
      </c>
      <c r="F32" s="176">
        <v>0</v>
      </c>
      <c r="G32" s="245">
        <v>0</v>
      </c>
      <c r="H32" s="246">
        <v>0</v>
      </c>
    </row>
    <row r="33" spans="1:8" ht="15" thickTop="1">
      <c r="A33" s="167"/>
      <c r="B33" s="168"/>
      <c r="C33" s="226"/>
      <c r="D33" s="226"/>
      <c r="E33" s="226"/>
      <c r="F33" s="166"/>
      <c r="G33" s="241"/>
      <c r="H33" s="242"/>
    </row>
    <row r="34" spans="1:8" ht="15">
      <c r="A34" s="177" t="s">
        <v>58</v>
      </c>
      <c r="B34" s="165">
        <f>DATE(22,7,1)</f>
        <v>8218</v>
      </c>
      <c r="C34" s="226">
        <v>3178065.75</v>
      </c>
      <c r="D34" s="226">
        <v>133554.04</v>
      </c>
      <c r="E34" s="226">
        <v>0</v>
      </c>
      <c r="F34" s="166">
        <v>1</v>
      </c>
      <c r="G34" s="241">
        <f>+D34/C34</f>
        <v>0.042023686891940484</v>
      </c>
      <c r="H34" s="289">
        <f>1-G34</f>
        <v>0.9579763131080595</v>
      </c>
    </row>
    <row r="35" spans="1:8" ht="15">
      <c r="A35" s="177"/>
      <c r="B35" s="165">
        <f>DATE(22,8,1)</f>
        <v>8249</v>
      </c>
      <c r="C35" s="226">
        <v>3240013.32</v>
      </c>
      <c r="D35" s="226">
        <v>183775.77</v>
      </c>
      <c r="E35" s="226">
        <v>0</v>
      </c>
      <c r="F35" s="166">
        <v>1</v>
      </c>
      <c r="G35" s="241">
        <f>+D35/C35</f>
        <v>0.05672068348163457</v>
      </c>
      <c r="H35" s="289">
        <f>1-G35</f>
        <v>0.9432793165183654</v>
      </c>
    </row>
    <row r="36" spans="1:8" ht="15">
      <c r="A36" s="177"/>
      <c r="B36" s="165">
        <f>DATE(22,9,1)</f>
        <v>8280</v>
      </c>
      <c r="C36" s="226">
        <v>3318547.55</v>
      </c>
      <c r="D36" s="226">
        <v>155342.66</v>
      </c>
      <c r="E36" s="226">
        <v>0</v>
      </c>
      <c r="F36" s="166">
        <v>1</v>
      </c>
      <c r="G36" s="241">
        <f>+D36/C36</f>
        <v>0.04681043669240177</v>
      </c>
      <c r="H36" s="289">
        <f>1-G36</f>
        <v>0.9531895633075982</v>
      </c>
    </row>
    <row r="37" spans="1:8" ht="15">
      <c r="A37" s="177"/>
      <c r="B37" s="165">
        <f>DATE(22,10,1)</f>
        <v>8310</v>
      </c>
      <c r="C37" s="226">
        <v>2155526.53</v>
      </c>
      <c r="D37" s="226">
        <v>100537.31</v>
      </c>
      <c r="E37" s="226">
        <v>0</v>
      </c>
      <c r="F37" s="166">
        <v>1</v>
      </c>
      <c r="G37" s="241">
        <f>+D37/C37</f>
        <v>0.04664164815452307</v>
      </c>
      <c r="H37" s="289">
        <f>1-G37</f>
        <v>0.9533583518454769</v>
      </c>
    </row>
    <row r="38" spans="1:8" ht="15">
      <c r="A38" s="177"/>
      <c r="B38" s="165">
        <f>DATE(22,11,1)</f>
        <v>8341</v>
      </c>
      <c r="C38" s="226">
        <v>2999410.04</v>
      </c>
      <c r="D38" s="226">
        <v>123201.53</v>
      </c>
      <c r="E38" s="226">
        <v>0</v>
      </c>
      <c r="F38" s="166">
        <v>1</v>
      </c>
      <c r="G38" s="241">
        <f>+D38/C38</f>
        <v>0.0410752542523329</v>
      </c>
      <c r="H38" s="289">
        <f>1-G38</f>
        <v>0.9589247457476671</v>
      </c>
    </row>
    <row r="39" spans="1:8" ht="15" thickBot="1">
      <c r="A39" s="167"/>
      <c r="B39" s="168"/>
      <c r="C39" s="226"/>
      <c r="D39" s="226"/>
      <c r="E39" s="226"/>
      <c r="F39" s="166"/>
      <c r="G39" s="241"/>
      <c r="H39" s="242"/>
    </row>
    <row r="40" spans="1:8" ht="16.5" thickBot="1" thickTop="1">
      <c r="A40" s="174" t="s">
        <v>14</v>
      </c>
      <c r="B40" s="178"/>
      <c r="C40" s="228">
        <f>SUM(C34:C39)</f>
        <v>14891563.190000001</v>
      </c>
      <c r="D40" s="228">
        <f>SUM(D34:D39)</f>
        <v>696411.31</v>
      </c>
      <c r="E40" s="228">
        <f>SUM(E34:E39)</f>
        <v>0</v>
      </c>
      <c r="F40" s="176">
        <v>1</v>
      </c>
      <c r="G40" s="245">
        <f>+D40/C40</f>
        <v>0.04676549406630829</v>
      </c>
      <c r="H40" s="246">
        <f>1-G40</f>
        <v>0.9532345059336917</v>
      </c>
    </row>
    <row r="41" spans="1:8" ht="15" thickTop="1">
      <c r="A41" s="167"/>
      <c r="B41" s="168"/>
      <c r="C41" s="226"/>
      <c r="D41" s="226"/>
      <c r="E41" s="226"/>
      <c r="F41" s="166"/>
      <c r="G41" s="241"/>
      <c r="H41" s="242"/>
    </row>
    <row r="42" spans="1:8" ht="15">
      <c r="A42" s="164" t="s">
        <v>60</v>
      </c>
      <c r="B42" s="165">
        <f>DATE(22,7,1)</f>
        <v>8218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>
      <c r="A43" s="164"/>
      <c r="B43" s="165">
        <f>DATE(22,8,1)</f>
        <v>8249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">
      <c r="A44" s="164"/>
      <c r="B44" s="165">
        <f>DATE(22,9,1)</f>
        <v>8280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">
      <c r="A45" s="164"/>
      <c r="B45" s="165">
        <f>DATE(22,10,1)</f>
        <v>8310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>
      <c r="A46" s="164"/>
      <c r="B46" s="165">
        <f>DATE(22,11,1)</f>
        <v>8341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 thickBot="1">
      <c r="A47" s="167"/>
      <c r="B47" s="165"/>
      <c r="C47" s="226"/>
      <c r="D47" s="226"/>
      <c r="E47" s="226"/>
      <c r="F47" s="166"/>
      <c r="G47" s="241"/>
      <c r="H47" s="242"/>
    </row>
    <row r="48" spans="1:8" ht="16.5" thickBot="1" thickTop="1">
      <c r="A48" s="174" t="s">
        <v>14</v>
      </c>
      <c r="B48" s="175"/>
      <c r="C48" s="228">
        <f>SUM(C42:C47)</f>
        <v>0</v>
      </c>
      <c r="D48" s="230">
        <f>SUM(D42:D47)</f>
        <v>0</v>
      </c>
      <c r="E48" s="271">
        <f>SUM(E42:E47)</f>
        <v>0</v>
      </c>
      <c r="F48" s="176">
        <v>0</v>
      </c>
      <c r="G48" s="245">
        <v>0</v>
      </c>
      <c r="H48" s="246">
        <v>0</v>
      </c>
    </row>
    <row r="49" spans="1:8" ht="15" thickTop="1">
      <c r="A49" s="167"/>
      <c r="B49" s="168"/>
      <c r="C49" s="226"/>
      <c r="D49" s="226"/>
      <c r="E49" s="226"/>
      <c r="F49" s="166"/>
      <c r="G49" s="241"/>
      <c r="H49" s="242"/>
    </row>
    <row r="50" spans="1:8" ht="15">
      <c r="A50" s="164" t="s">
        <v>64</v>
      </c>
      <c r="B50" s="165">
        <f>DATE(22,7,1)</f>
        <v>8218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64"/>
      <c r="B51" s="165">
        <f>DATE(22,8,1)</f>
        <v>8249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">
      <c r="A52" s="164"/>
      <c r="B52" s="165">
        <f>DATE(22,9,1)</f>
        <v>8280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">
      <c r="A53" s="164"/>
      <c r="B53" s="165">
        <f>DATE(22,10,1)</f>
        <v>8310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">
      <c r="A54" s="164"/>
      <c r="B54" s="165">
        <f>DATE(22,11,1)</f>
        <v>8341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 thickBot="1">
      <c r="A55" s="167"/>
      <c r="B55" s="165"/>
      <c r="C55" s="226"/>
      <c r="D55" s="226"/>
      <c r="E55" s="226"/>
      <c r="F55" s="166"/>
      <c r="G55" s="241"/>
      <c r="H55" s="242"/>
    </row>
    <row r="56" spans="1:8" ht="16.5" thickBot="1" thickTop="1">
      <c r="A56" s="174" t="s">
        <v>14</v>
      </c>
      <c r="B56" s="175"/>
      <c r="C56" s="228">
        <f>SUM(C50:C55)</f>
        <v>0</v>
      </c>
      <c r="D56" s="230">
        <f>SUM(D50:D55)</f>
        <v>0</v>
      </c>
      <c r="E56" s="271">
        <f>SUM(E50:E55)</f>
        <v>0</v>
      </c>
      <c r="F56" s="176">
        <v>0</v>
      </c>
      <c r="G56" s="245">
        <v>0</v>
      </c>
      <c r="H56" s="246">
        <v>0</v>
      </c>
    </row>
    <row r="57" spans="1:8" ht="15" thickTop="1">
      <c r="A57" s="167"/>
      <c r="B57" s="168"/>
      <c r="C57" s="226"/>
      <c r="D57" s="226"/>
      <c r="E57" s="226"/>
      <c r="F57" s="166"/>
      <c r="G57" s="241"/>
      <c r="H57" s="242"/>
    </row>
    <row r="58" spans="1:8" ht="15">
      <c r="A58" s="164" t="s">
        <v>67</v>
      </c>
      <c r="B58" s="165">
        <f>DATE(22,7,1)</f>
        <v>8218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>
      <c r="A59" s="164"/>
      <c r="B59" s="165">
        <f>DATE(22,8,1)</f>
        <v>8249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">
      <c r="A60" s="164"/>
      <c r="B60" s="165">
        <f>DATE(22,9,1)</f>
        <v>8280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64"/>
      <c r="B61" s="165">
        <f>DATE(22,10,1)</f>
        <v>8310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>
      <c r="A62" s="164"/>
      <c r="B62" s="165">
        <f>DATE(22,11,1)</f>
        <v>8341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" thickBot="1">
      <c r="A63" s="167"/>
      <c r="B63" s="165"/>
      <c r="C63" s="226"/>
      <c r="D63" s="226"/>
      <c r="E63" s="226"/>
      <c r="F63" s="166"/>
      <c r="G63" s="241"/>
      <c r="H63" s="242"/>
    </row>
    <row r="64" spans="1:8" ht="16.5" thickBot="1" thickTop="1">
      <c r="A64" s="174" t="s">
        <v>14</v>
      </c>
      <c r="B64" s="175"/>
      <c r="C64" s="228">
        <f>SUM(C58:C63)</f>
        <v>0</v>
      </c>
      <c r="D64" s="230">
        <f>SUM(D58:D63)</f>
        <v>0</v>
      </c>
      <c r="E64" s="271">
        <f>SUM(E58:E63)</f>
        <v>0</v>
      </c>
      <c r="F64" s="176">
        <v>0</v>
      </c>
      <c r="G64" s="245">
        <v>0</v>
      </c>
      <c r="H64" s="246">
        <v>0</v>
      </c>
    </row>
    <row r="65" spans="1:8" ht="15" thickTop="1">
      <c r="A65" s="167"/>
      <c r="B65" s="168"/>
      <c r="C65" s="226"/>
      <c r="D65" s="226"/>
      <c r="E65" s="226"/>
      <c r="F65" s="166"/>
      <c r="G65" s="241"/>
      <c r="H65" s="242"/>
    </row>
    <row r="66" spans="1:8" ht="15">
      <c r="A66" s="164" t="s">
        <v>69</v>
      </c>
      <c r="B66" s="165">
        <f>DATE(22,7,1)</f>
        <v>8218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>
      <c r="A67" s="164"/>
      <c r="B67" s="165">
        <f>DATE(22,8,1)</f>
        <v>8249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">
      <c r="A68" s="164"/>
      <c r="B68" s="165">
        <f>DATE(22,9,1)</f>
        <v>8280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">
      <c r="A69" s="164"/>
      <c r="B69" s="165">
        <f>DATE(22,10,1)</f>
        <v>8310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">
      <c r="A70" s="164"/>
      <c r="B70" s="165">
        <f>DATE(22,11,1)</f>
        <v>8341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 thickBot="1">
      <c r="A71" s="167"/>
      <c r="B71" s="165"/>
      <c r="C71" s="226"/>
      <c r="D71" s="226"/>
      <c r="E71" s="226"/>
      <c r="F71" s="166"/>
      <c r="G71" s="241"/>
      <c r="H71" s="242"/>
    </row>
    <row r="72" spans="1:8" ht="16.5" thickBot="1" thickTop="1">
      <c r="A72" s="174" t="s">
        <v>14</v>
      </c>
      <c r="B72" s="175"/>
      <c r="C72" s="228">
        <f>SUM(C66:C71)</f>
        <v>0</v>
      </c>
      <c r="D72" s="230">
        <f>SUM(D66:D71)</f>
        <v>0</v>
      </c>
      <c r="E72" s="271">
        <f>SUM(E66:E71)</f>
        <v>0</v>
      </c>
      <c r="F72" s="176">
        <v>0</v>
      </c>
      <c r="G72" s="249">
        <v>0</v>
      </c>
      <c r="H72" s="270">
        <v>0</v>
      </c>
    </row>
    <row r="73" spans="1:8" ht="15" thickTop="1">
      <c r="A73" s="167"/>
      <c r="B73" s="179"/>
      <c r="C73" s="229"/>
      <c r="D73" s="229"/>
      <c r="E73" s="229"/>
      <c r="F73" s="180"/>
      <c r="G73" s="247"/>
      <c r="H73" s="248"/>
    </row>
    <row r="74" spans="1:8" ht="15">
      <c r="A74" s="164" t="s">
        <v>16</v>
      </c>
      <c r="B74" s="165">
        <f>DATE(22,7,1)</f>
        <v>8218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">
      <c r="A75" s="164"/>
      <c r="B75" s="165">
        <f>DATE(22,8,1)</f>
        <v>8249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DATE(22,9,1)</f>
        <v>8280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>
      <c r="A77" s="164"/>
      <c r="B77" s="165">
        <f>DATE(22,10,1)</f>
        <v>8310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">
      <c r="A78" s="164"/>
      <c r="B78" s="165">
        <f>DATE(22,11,1)</f>
        <v>8341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>
      <c r="A79" s="164"/>
      <c r="B79" s="165"/>
      <c r="C79" s="226"/>
      <c r="D79" s="226"/>
      <c r="E79" s="226"/>
      <c r="F79" s="166"/>
      <c r="G79" s="241"/>
      <c r="H79" s="242"/>
    </row>
    <row r="80" spans="1:8" ht="16.5" thickBot="1" thickTop="1">
      <c r="A80" s="174" t="s">
        <v>14</v>
      </c>
      <c r="B80" s="181"/>
      <c r="C80" s="228">
        <f>SUM(C74:C79)</f>
        <v>0</v>
      </c>
      <c r="D80" s="228">
        <f>SUM(D74:D79)</f>
        <v>0</v>
      </c>
      <c r="E80" s="228">
        <f>SUM(E74:E79)</f>
        <v>0</v>
      </c>
      <c r="F80" s="176">
        <v>0</v>
      </c>
      <c r="G80" s="245">
        <v>0</v>
      </c>
      <c r="H80" s="246">
        <v>0</v>
      </c>
    </row>
    <row r="81" spans="1:8" ht="15" thickTop="1">
      <c r="A81" s="171"/>
      <c r="B81" s="172"/>
      <c r="C81" s="227"/>
      <c r="D81" s="227"/>
      <c r="E81" s="227"/>
      <c r="F81" s="173"/>
      <c r="G81" s="243"/>
      <c r="H81" s="244"/>
    </row>
    <row r="82" spans="1:8" ht="15">
      <c r="A82" s="164" t="s">
        <v>53</v>
      </c>
      <c r="B82" s="165">
        <f>DATE(22,7,1)</f>
        <v>8218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DATE(22,8,1)</f>
        <v>8249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>
      <c r="A84" s="164"/>
      <c r="B84" s="165">
        <f>DATE(22,9,1)</f>
        <v>8280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">
      <c r="A85" s="164"/>
      <c r="B85" s="165">
        <f>DATE(22,10,1)</f>
        <v>8310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">
      <c r="A86" s="164"/>
      <c r="B86" s="165">
        <f>DATE(22,11,1)</f>
        <v>8341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" thickBot="1">
      <c r="A87" s="167"/>
      <c r="B87" s="168"/>
      <c r="C87" s="226"/>
      <c r="D87" s="226"/>
      <c r="E87" s="226"/>
      <c r="F87" s="166"/>
      <c r="G87" s="241"/>
      <c r="H87" s="242"/>
    </row>
    <row r="88" spans="1:8" ht="16.5" thickBot="1" thickTop="1">
      <c r="A88" s="174" t="s">
        <v>14</v>
      </c>
      <c r="B88" s="175"/>
      <c r="C88" s="228">
        <f>SUM(C82:C87)</f>
        <v>0</v>
      </c>
      <c r="D88" s="228">
        <f>SUM(D82:D87)</f>
        <v>0</v>
      </c>
      <c r="E88" s="228">
        <f>SUM(E82:E87)</f>
        <v>0</v>
      </c>
      <c r="F88" s="176">
        <v>0</v>
      </c>
      <c r="G88" s="245">
        <v>0</v>
      </c>
      <c r="H88" s="246">
        <v>0</v>
      </c>
    </row>
    <row r="89" spans="1:8" ht="15" thickTop="1">
      <c r="A89" s="167"/>
      <c r="B89" s="168"/>
      <c r="C89" s="226"/>
      <c r="D89" s="226"/>
      <c r="E89" s="226"/>
      <c r="F89" s="166"/>
      <c r="G89" s="241"/>
      <c r="H89" s="242"/>
    </row>
    <row r="90" spans="1:8" ht="15">
      <c r="A90" s="164" t="s">
        <v>54</v>
      </c>
      <c r="B90" s="165">
        <f>DATE(22,7,1)</f>
        <v>8218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DATE(22,8,1)</f>
        <v>8249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DATE(22,9,1)</f>
        <v>8280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DATE(22,10,1)</f>
        <v>8310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DATE(22,11,1)</f>
        <v>8341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 thickBot="1">
      <c r="A95" s="167"/>
      <c r="B95" s="168"/>
      <c r="C95" s="226"/>
      <c r="D95" s="226"/>
      <c r="E95" s="226"/>
      <c r="F95" s="166"/>
      <c r="G95" s="241"/>
      <c r="H95" s="242"/>
    </row>
    <row r="96" spans="1:8" ht="16.5" thickBot="1" thickTop="1">
      <c r="A96" s="182" t="s">
        <v>14</v>
      </c>
      <c r="B96" s="183"/>
      <c r="C96" s="230">
        <f>SUM(C90:C95)</f>
        <v>0</v>
      </c>
      <c r="D96" s="230">
        <f>SUM(D90:D95)</f>
        <v>0</v>
      </c>
      <c r="E96" s="230">
        <f>SUM(E90:E95)</f>
        <v>0</v>
      </c>
      <c r="F96" s="176">
        <v>0</v>
      </c>
      <c r="G96" s="245">
        <v>0</v>
      </c>
      <c r="H96" s="246">
        <v>0</v>
      </c>
    </row>
    <row r="97" spans="1:8" ht="15" thickTop="1">
      <c r="A97" s="167"/>
      <c r="B97" s="168"/>
      <c r="C97" s="226"/>
      <c r="D97" s="226"/>
      <c r="E97" s="226"/>
      <c r="F97" s="166"/>
      <c r="G97" s="241"/>
      <c r="H97" s="242"/>
    </row>
    <row r="98" spans="1:8" ht="15">
      <c r="A98" s="164" t="s">
        <v>37</v>
      </c>
      <c r="B98" s="165">
        <f>DATE(22,7,1)</f>
        <v>8218</v>
      </c>
      <c r="C98" s="226">
        <v>5095922.64</v>
      </c>
      <c r="D98" s="226">
        <v>215844.68</v>
      </c>
      <c r="E98" s="226">
        <v>209181.95</v>
      </c>
      <c r="F98" s="166">
        <f>+(D98-E98)/E98</f>
        <v>0.03185136193634289</v>
      </c>
      <c r="G98" s="241">
        <f>+D98/C98</f>
        <v>0.042356349428412834</v>
      </c>
      <c r="H98" s="289">
        <f>1-G98</f>
        <v>0.9576436505715872</v>
      </c>
    </row>
    <row r="99" spans="1:8" ht="15">
      <c r="A99" s="164"/>
      <c r="B99" s="165">
        <f>DATE(22,8,1)</f>
        <v>8249</v>
      </c>
      <c r="C99" s="226">
        <v>4684772.5</v>
      </c>
      <c r="D99" s="226">
        <v>222475.66</v>
      </c>
      <c r="E99" s="226">
        <v>126701.54</v>
      </c>
      <c r="F99" s="166">
        <f>+(D99-E99)/E99</f>
        <v>0.7559033615534587</v>
      </c>
      <c r="G99" s="241">
        <f>+D99/C99</f>
        <v>0.047489106461413015</v>
      </c>
      <c r="H99" s="289">
        <f>1-G99</f>
        <v>0.952510893538587</v>
      </c>
    </row>
    <row r="100" spans="1:8" ht="15">
      <c r="A100" s="164"/>
      <c r="B100" s="165">
        <f>DATE(22,9,1)</f>
        <v>8280</v>
      </c>
      <c r="C100" s="226">
        <v>4372547.5</v>
      </c>
      <c r="D100" s="226">
        <v>213180.35</v>
      </c>
      <c r="E100" s="226">
        <v>145306.89</v>
      </c>
      <c r="F100" s="166">
        <f>+(D100-E100)/E100</f>
        <v>0.46710420958015125</v>
      </c>
      <c r="G100" s="241">
        <f>+D100/C100</f>
        <v>0.048754267392178134</v>
      </c>
      <c r="H100" s="289">
        <f>1-G100</f>
        <v>0.9512457326078219</v>
      </c>
    </row>
    <row r="101" spans="1:8" ht="15">
      <c r="A101" s="164"/>
      <c r="B101" s="165">
        <f>DATE(22,10,1)</f>
        <v>8310</v>
      </c>
      <c r="C101" s="226">
        <v>4954774</v>
      </c>
      <c r="D101" s="226">
        <v>197241.83</v>
      </c>
      <c r="E101" s="226">
        <v>179665.17</v>
      </c>
      <c r="F101" s="166">
        <f>+(D101-E101)/E101</f>
        <v>0.09783009138610435</v>
      </c>
      <c r="G101" s="241">
        <f>+D101/C101</f>
        <v>0.03980844131336767</v>
      </c>
      <c r="H101" s="289">
        <f>1-G101</f>
        <v>0.9601915586866323</v>
      </c>
    </row>
    <row r="102" spans="1:8" ht="15">
      <c r="A102" s="164"/>
      <c r="B102" s="165">
        <f>DATE(22,11,1)</f>
        <v>8341</v>
      </c>
      <c r="C102" s="226">
        <v>3855288</v>
      </c>
      <c r="D102" s="226">
        <v>191836.78</v>
      </c>
      <c r="E102" s="226">
        <v>200635.43</v>
      </c>
      <c r="F102" s="166">
        <f>+(D102-E102)/E102</f>
        <v>-0.04385391951959828</v>
      </c>
      <c r="G102" s="241">
        <f>+D102/C102</f>
        <v>0.049759390219355853</v>
      </c>
      <c r="H102" s="289">
        <f>1-G102</f>
        <v>0.9502406097806442</v>
      </c>
    </row>
    <row r="103" spans="1:8" ht="15" thickBot="1">
      <c r="A103" s="167"/>
      <c r="B103" s="168"/>
      <c r="C103" s="226"/>
      <c r="D103" s="226"/>
      <c r="E103" s="226"/>
      <c r="F103" s="166"/>
      <c r="G103" s="241"/>
      <c r="H103" s="242"/>
    </row>
    <row r="104" spans="1:8" ht="16.5" thickBot="1" thickTop="1">
      <c r="A104" s="174" t="s">
        <v>14</v>
      </c>
      <c r="B104" s="175"/>
      <c r="C104" s="228">
        <f>SUM(C98:C103)</f>
        <v>22963304.64</v>
      </c>
      <c r="D104" s="228">
        <f>SUM(D98:D103)</f>
        <v>1040579.2999999999</v>
      </c>
      <c r="E104" s="228">
        <f>SUM(E98:E103)</f>
        <v>861490.98</v>
      </c>
      <c r="F104" s="176">
        <f>+(D104-E104)/E104</f>
        <v>0.20788182831583443</v>
      </c>
      <c r="G104" s="245">
        <f>+D104/C104</f>
        <v>0.04531487589932526</v>
      </c>
      <c r="H104" s="246">
        <f>1-G104</f>
        <v>0.9546851241006747</v>
      </c>
    </row>
    <row r="105" spans="1:8" ht="15" thickTop="1">
      <c r="A105" s="167"/>
      <c r="B105" s="168"/>
      <c r="C105" s="226"/>
      <c r="D105" s="226"/>
      <c r="E105" s="226"/>
      <c r="F105" s="166"/>
      <c r="G105" s="241"/>
      <c r="H105" s="242"/>
    </row>
    <row r="106" spans="1:8" ht="15">
      <c r="A106" s="164" t="s">
        <v>57</v>
      </c>
      <c r="B106" s="165">
        <f>DATE(22,7,1)</f>
        <v>8218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">
      <c r="A107" s="164"/>
      <c r="B107" s="165">
        <f>DATE(22,8,1)</f>
        <v>8249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">
      <c r="A108" s="164"/>
      <c r="B108" s="165">
        <f>DATE(22,9,1)</f>
        <v>8280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">
      <c r="A109" s="164"/>
      <c r="B109" s="165">
        <f>DATE(22,10,1)</f>
        <v>8310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">
      <c r="A110" s="164"/>
      <c r="B110" s="165">
        <f>DATE(22,11,1)</f>
        <v>8341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 thickBot="1">
      <c r="A111" s="167"/>
      <c r="B111" s="168"/>
      <c r="C111" s="226"/>
      <c r="D111" s="226"/>
      <c r="E111" s="226"/>
      <c r="F111" s="166"/>
      <c r="G111" s="241"/>
      <c r="H111" s="242"/>
    </row>
    <row r="112" spans="1:8" ht="16.5" thickBot="1" thickTop="1">
      <c r="A112" s="169" t="s">
        <v>14</v>
      </c>
      <c r="B112" s="155"/>
      <c r="C112" s="223">
        <f>SUM(C106:C111)</f>
        <v>0</v>
      </c>
      <c r="D112" s="223">
        <f>SUM(D106:D111)</f>
        <v>0</v>
      </c>
      <c r="E112" s="223">
        <f>SUM(E106:E111)</f>
        <v>0</v>
      </c>
      <c r="F112" s="176">
        <v>0</v>
      </c>
      <c r="G112" s="245">
        <v>0</v>
      </c>
      <c r="H112" s="246">
        <v>0</v>
      </c>
    </row>
    <row r="113" spans="1:8" ht="15.75" thickBot="1" thickTop="1">
      <c r="A113" s="171"/>
      <c r="B113" s="172"/>
      <c r="C113" s="227"/>
      <c r="D113" s="227"/>
      <c r="E113" s="227"/>
      <c r="F113" s="173"/>
      <c r="G113" s="243"/>
      <c r="H113" s="244"/>
    </row>
    <row r="114" spans="1:8" ht="16.5" thickBot="1" thickTop="1">
      <c r="A114" s="184" t="s">
        <v>38</v>
      </c>
      <c r="B114" s="155"/>
      <c r="C114" s="223">
        <f>C112+C104+C80+C64+C48+C32+C16+C40+C96+C24+C72+C88+C56</f>
        <v>48075600.370000005</v>
      </c>
      <c r="D114" s="223">
        <f>D112+D104+D80+D64+D48+D32+D16+D40+D96+D24+D72+D88+D56</f>
        <v>2243760.9</v>
      </c>
      <c r="E114" s="223">
        <f>E112+E104+E80+E64+E48+E32+E16+E40+E96+E24+E72+E88+E56</f>
        <v>912592.01</v>
      </c>
      <c r="F114" s="176">
        <f>+(D114-E114)/E114</f>
        <v>1.4586681402130617</v>
      </c>
      <c r="G114" s="236">
        <f>D114/C114</f>
        <v>0.046671510760792186</v>
      </c>
      <c r="H114" s="237">
        <f>1-G114</f>
        <v>0.9533284892392078</v>
      </c>
    </row>
    <row r="115" spans="1:8" ht="16.5" thickBot="1" thickTop="1">
      <c r="A115" s="184"/>
      <c r="B115" s="155"/>
      <c r="C115" s="223"/>
      <c r="D115" s="223"/>
      <c r="E115" s="223"/>
      <c r="F115" s="170"/>
      <c r="G115" s="236"/>
      <c r="H115" s="237"/>
    </row>
    <row r="116" spans="1:8" ht="16.5" thickBot="1" thickTop="1">
      <c r="A116" s="184" t="s">
        <v>39</v>
      </c>
      <c r="B116" s="155"/>
      <c r="C116" s="223">
        <f>+C14+C22+C30+C38+C46+C54+C62+C70+C78+C86+C94+C102+C110</f>
        <v>8687732.379999999</v>
      </c>
      <c r="D116" s="223">
        <f>+D14+D22+D30+D38+D46+D54+D62+D70+D78+D86+D94+D102+D110</f>
        <v>407972.57999999996</v>
      </c>
      <c r="E116" s="223">
        <f>+E14+E22+E30+E38+E46+E54+E62+E70+E78+E86+E94+E102+E110</f>
        <v>251736.46</v>
      </c>
      <c r="F116" s="176">
        <f>+(D116-E116)/E116</f>
        <v>0.6206336579135179</v>
      </c>
      <c r="G116" s="236">
        <f>D116/C116</f>
        <v>0.04695961640567938</v>
      </c>
      <c r="H116" s="246">
        <f>1-G116</f>
        <v>0.9530403835943206</v>
      </c>
    </row>
    <row r="117" spans="1:8" ht="15.75" thickTop="1">
      <c r="A117" s="185"/>
      <c r="B117" s="186"/>
      <c r="C117" s="231"/>
      <c r="D117" s="231"/>
      <c r="E117" s="231"/>
      <c r="F117" s="187"/>
      <c r="G117" s="250"/>
      <c r="H117" s="250"/>
    </row>
    <row r="118" spans="1:8" ht="17.25">
      <c r="A118" s="188" t="s">
        <v>49</v>
      </c>
      <c r="B118" s="189"/>
      <c r="C118" s="232"/>
      <c r="D118" s="232"/>
      <c r="E118" s="232"/>
      <c r="F118" s="190"/>
      <c r="G118" s="251"/>
      <c r="H118" s="251"/>
    </row>
    <row r="119" spans="1:8" ht="15">
      <c r="A119" s="191"/>
      <c r="B119" s="189"/>
      <c r="C119" s="232"/>
      <c r="D119" s="232"/>
      <c r="E119" s="232"/>
      <c r="F119" s="190"/>
      <c r="G119" s="257"/>
      <c r="H119" s="257"/>
    </row>
  </sheetData>
  <sheetProtection/>
  <printOptions horizontalCentered="1"/>
  <pageMargins left="0.7" right="0.45" top="0.25" bottom="0.25" header="0.3" footer="0.3"/>
  <pageSetup horizontalDpi="600" verticalDpi="600" orientation="landscape" scale="64" r:id="rId1"/>
  <rowBreaks count="2" manualBreakCount="2">
    <brk id="56" max="255" man="1"/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>(+D10-E10)/E10</f>
        <v>-0.050274622998703784</v>
      </c>
      <c r="G10" s="241">
        <f>D10/C10</f>
        <v>0.09543807894024711</v>
      </c>
      <c r="H10" s="242">
        <f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11831590.09</v>
      </c>
      <c r="E11" s="226">
        <v>12571995.62</v>
      </c>
      <c r="F11" s="166">
        <f>(+D11-E11)/E11</f>
        <v>-0.05889323798539467</v>
      </c>
      <c r="G11" s="241">
        <f>D11/C11</f>
        <v>0.09475694158313903</v>
      </c>
      <c r="H11" s="242">
        <f>1-G11</f>
        <v>0.9052430584168609</v>
      </c>
      <c r="I11" s="157"/>
    </row>
    <row r="12" spans="1:9" ht="1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>(+D12-E12)/E12</f>
        <v>-0.012825221875395023</v>
      </c>
      <c r="G12" s="241">
        <f>D12/C12</f>
        <v>0.09747348498535309</v>
      </c>
      <c r="H12" s="242">
        <f>1-G12</f>
        <v>0.9025265150146469</v>
      </c>
      <c r="I12" s="157"/>
    </row>
    <row r="13" spans="1:9" ht="1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>(+D13-E13)/E13</f>
        <v>-0.0598119061606977</v>
      </c>
      <c r="G13" s="241">
        <f>D13/C13</f>
        <v>0.09629289624789654</v>
      </c>
      <c r="H13" s="242">
        <f>1-G13</f>
        <v>0.9037071037521035</v>
      </c>
      <c r="I13" s="157"/>
    </row>
    <row r="14" spans="1:9" ht="15">
      <c r="A14" s="164"/>
      <c r="B14" s="165">
        <f>DATE(22,11,1)</f>
        <v>8341</v>
      </c>
      <c r="C14" s="226">
        <v>116767090.33</v>
      </c>
      <c r="D14" s="226">
        <v>10518258.62</v>
      </c>
      <c r="E14" s="226">
        <v>11228260.11</v>
      </c>
      <c r="F14" s="166">
        <f>(+D14-E14)/E14</f>
        <v>-0.06323343804332301</v>
      </c>
      <c r="G14" s="241">
        <f>D14/C14</f>
        <v>0.09007896480313024</v>
      </c>
      <c r="H14" s="242">
        <f>1-G14</f>
        <v>0.9099210351968697</v>
      </c>
      <c r="I14" s="157"/>
    </row>
    <row r="15" spans="1:9" ht="15" thickBot="1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6.5" thickBot="1" thickTop="1">
      <c r="A16" s="169" t="s">
        <v>14</v>
      </c>
      <c r="B16" s="155"/>
      <c r="C16" s="223">
        <f>SUM(C10:C15)</f>
        <v>620140264.46</v>
      </c>
      <c r="D16" s="223">
        <f>SUM(D10:D15)</f>
        <v>58825247.79</v>
      </c>
      <c r="E16" s="223">
        <f>SUM(E10:E15)</f>
        <v>61862457.41</v>
      </c>
      <c r="F16" s="170">
        <f>(+D16-E16)/E16</f>
        <v>-0.0490961682926782</v>
      </c>
      <c r="G16" s="236">
        <f>D16/C16</f>
        <v>0.09485797191579441</v>
      </c>
      <c r="H16" s="237">
        <f>1-G16</f>
        <v>0.9051420280842056</v>
      </c>
      <c r="I16" s="157"/>
    </row>
    <row r="17" spans="1:9" ht="1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">
      <c r="A18" s="19" t="s">
        <v>48</v>
      </c>
      <c r="B18" s="165">
        <f>DATE(22,7,1)</f>
        <v>8218</v>
      </c>
      <c r="C18" s="226">
        <v>76496067.98</v>
      </c>
      <c r="D18" s="226">
        <v>7757914.71</v>
      </c>
      <c r="E18" s="226">
        <v>7305624.15</v>
      </c>
      <c r="F18" s="166">
        <f>(+D18-E18)/E18</f>
        <v>0.06190991361087191</v>
      </c>
      <c r="G18" s="241">
        <f>D18/C18</f>
        <v>0.10141586247319688</v>
      </c>
      <c r="H18" s="242">
        <f>1-G18</f>
        <v>0.8985841375268031</v>
      </c>
      <c r="I18" s="157"/>
    </row>
    <row r="19" spans="1:9" ht="15">
      <c r="A19" s="19"/>
      <c r="B19" s="165">
        <f>DATE(22,8,1)</f>
        <v>8249</v>
      </c>
      <c r="C19" s="226">
        <v>71699704.19</v>
      </c>
      <c r="D19" s="226">
        <v>6870200.03</v>
      </c>
      <c r="E19" s="226">
        <v>6574172.11</v>
      </c>
      <c r="F19" s="166">
        <f>(+D19-E19)/E19</f>
        <v>0.04502892760439153</v>
      </c>
      <c r="G19" s="241">
        <f>D19/C19</f>
        <v>0.09581908471748188</v>
      </c>
      <c r="H19" s="242">
        <f>1-G19</f>
        <v>0.9041809152825181</v>
      </c>
      <c r="I19" s="157"/>
    </row>
    <row r="20" spans="1:9" ht="15">
      <c r="A20" s="19"/>
      <c r="B20" s="165">
        <f>DATE(22,9,1)</f>
        <v>8280</v>
      </c>
      <c r="C20" s="226">
        <v>72118161.13</v>
      </c>
      <c r="D20" s="226">
        <v>7013550.54</v>
      </c>
      <c r="E20" s="226">
        <v>6771046.11</v>
      </c>
      <c r="F20" s="166">
        <f>(+D20-E20)/E20</f>
        <v>0.03581491339157336</v>
      </c>
      <c r="G20" s="241">
        <f>D20/C20</f>
        <v>0.09725082323379534</v>
      </c>
      <c r="H20" s="242">
        <f>1-G20</f>
        <v>0.9027491767662047</v>
      </c>
      <c r="I20" s="157"/>
    </row>
    <row r="21" spans="1:9" ht="15">
      <c r="A21" s="19"/>
      <c r="B21" s="165">
        <f>DATE(22,10,1)</f>
        <v>8310</v>
      </c>
      <c r="C21" s="226">
        <v>69505120.64</v>
      </c>
      <c r="D21" s="226">
        <v>6793373.34</v>
      </c>
      <c r="E21" s="226">
        <v>7189129.76</v>
      </c>
      <c r="F21" s="166">
        <f>(+D21-E21)/E21</f>
        <v>-0.05504928040135972</v>
      </c>
      <c r="G21" s="241">
        <f>D21/C21</f>
        <v>0.09773917773894823</v>
      </c>
      <c r="H21" s="242">
        <f>1-G21</f>
        <v>0.9022608222610518</v>
      </c>
      <c r="I21" s="157"/>
    </row>
    <row r="22" spans="1:9" ht="15">
      <c r="A22" s="19"/>
      <c r="B22" s="165">
        <f>DATE(22,11,1)</f>
        <v>8341</v>
      </c>
      <c r="C22" s="226">
        <v>63859122.32</v>
      </c>
      <c r="D22" s="226">
        <v>6317939.56</v>
      </c>
      <c r="E22" s="226">
        <v>6088324.14</v>
      </c>
      <c r="F22" s="166">
        <f>(+D22-E22)/E22</f>
        <v>0.037714059685396435</v>
      </c>
      <c r="G22" s="241">
        <f>D22/C22</f>
        <v>0.09893558399284934</v>
      </c>
      <c r="H22" s="242">
        <f>1-G22</f>
        <v>0.9010644160071507</v>
      </c>
      <c r="I22" s="157"/>
    </row>
    <row r="23" spans="1:9" ht="15" thickBot="1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6.5" thickBot="1" thickTop="1">
      <c r="A24" s="169" t="s">
        <v>14</v>
      </c>
      <c r="B24" s="155"/>
      <c r="C24" s="223">
        <f>SUM(C18:C23)</f>
        <v>353678176.26</v>
      </c>
      <c r="D24" s="223">
        <f>SUM(D18:D23)</f>
        <v>34752978.18</v>
      </c>
      <c r="E24" s="223">
        <f>SUM(E18:E23)</f>
        <v>33928296.27</v>
      </c>
      <c r="F24" s="170">
        <f>(+D24-E24)/E24</f>
        <v>0.024306611314556182</v>
      </c>
      <c r="G24" s="236">
        <f>D24/C24</f>
        <v>0.09826158500221396</v>
      </c>
      <c r="H24" s="237">
        <f>1-G24</f>
        <v>0.9017384149977861</v>
      </c>
      <c r="I24" s="157"/>
    </row>
    <row r="25" spans="1:9" ht="15" thickTop="1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">
      <c r="A26" s="19" t="s">
        <v>62</v>
      </c>
      <c r="B26" s="165">
        <f>DATE(22,7,1)</f>
        <v>8218</v>
      </c>
      <c r="C26" s="226">
        <v>35430502.56</v>
      </c>
      <c r="D26" s="226">
        <v>3537425.2</v>
      </c>
      <c r="E26" s="226">
        <v>4179858.95</v>
      </c>
      <c r="F26" s="166">
        <f>(+D26-E26)/E26</f>
        <v>-0.1536974710594002</v>
      </c>
      <c r="G26" s="241">
        <f>D26/C26</f>
        <v>0.09984123691188194</v>
      </c>
      <c r="H26" s="242">
        <f>1-G26</f>
        <v>0.900158763088118</v>
      </c>
      <c r="I26" s="157"/>
    </row>
    <row r="27" spans="1:9" ht="15">
      <c r="A27" s="19"/>
      <c r="B27" s="165">
        <f>DATE(22,8,1)</f>
        <v>8249</v>
      </c>
      <c r="C27" s="226">
        <v>31830509.12</v>
      </c>
      <c r="D27" s="226">
        <v>3224518.01</v>
      </c>
      <c r="E27" s="226">
        <v>3554355.99</v>
      </c>
      <c r="F27" s="166">
        <f>(+D27-E27)/E27</f>
        <v>-0.09279823994219567</v>
      </c>
      <c r="G27" s="241">
        <f>D27/C27</f>
        <v>0.1013027469288559</v>
      </c>
      <c r="H27" s="242">
        <f>1-G27</f>
        <v>0.8986972530711441</v>
      </c>
      <c r="I27" s="157"/>
    </row>
    <row r="28" spans="1:9" ht="15">
      <c r="A28" s="19"/>
      <c r="B28" s="165">
        <f>DATE(22,9,1)</f>
        <v>8280</v>
      </c>
      <c r="C28" s="226">
        <v>31336078.07</v>
      </c>
      <c r="D28" s="226">
        <v>3285954.25</v>
      </c>
      <c r="E28" s="226">
        <v>3815155.29</v>
      </c>
      <c r="F28" s="166">
        <f>(+D28-E28)/E28</f>
        <v>-0.13871022272333247</v>
      </c>
      <c r="G28" s="241">
        <f>D28/C28</f>
        <v>0.10486169464665238</v>
      </c>
      <c r="H28" s="242">
        <f>1-G28</f>
        <v>0.8951383053533476</v>
      </c>
      <c r="I28" s="157"/>
    </row>
    <row r="29" spans="1:9" ht="15">
      <c r="A29" s="19"/>
      <c r="B29" s="165">
        <f>DATE(22,10,1)</f>
        <v>8310</v>
      </c>
      <c r="C29" s="226">
        <v>31389480.81</v>
      </c>
      <c r="D29" s="226">
        <v>3155435.74</v>
      </c>
      <c r="E29" s="226">
        <v>3758784.61</v>
      </c>
      <c r="F29" s="166">
        <f>(+D29-E29)/E29</f>
        <v>-0.1605170108430341</v>
      </c>
      <c r="G29" s="241">
        <f>D29/C29</f>
        <v>0.10052526064702376</v>
      </c>
      <c r="H29" s="242">
        <f>1-G29</f>
        <v>0.8994747393529763</v>
      </c>
      <c r="I29" s="157"/>
    </row>
    <row r="30" spans="1:9" ht="15">
      <c r="A30" s="19"/>
      <c r="B30" s="165">
        <f>DATE(22,11,1)</f>
        <v>8341</v>
      </c>
      <c r="C30" s="226">
        <v>26208826.05</v>
      </c>
      <c r="D30" s="226">
        <v>2805588.39</v>
      </c>
      <c r="E30" s="226">
        <v>3347078.48</v>
      </c>
      <c r="F30" s="166">
        <f>(+D30-E30)/E30</f>
        <v>-0.16177992037999656</v>
      </c>
      <c r="G30" s="241">
        <f>D30/C30</f>
        <v>0.10704746502753029</v>
      </c>
      <c r="H30" s="242">
        <f>1-G30</f>
        <v>0.8929525349724697</v>
      </c>
      <c r="I30" s="157"/>
    </row>
    <row r="31" spans="1:9" ht="1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6.5" thickBot="1" thickTop="1">
      <c r="A32" s="174" t="s">
        <v>14</v>
      </c>
      <c r="B32" s="175"/>
      <c r="C32" s="228">
        <f>SUM(C26:C31)</f>
        <v>156195396.61</v>
      </c>
      <c r="D32" s="228">
        <f>SUM(D26:D31)</f>
        <v>16008921.590000002</v>
      </c>
      <c r="E32" s="228">
        <f>SUM(E26:E31)</f>
        <v>18655233.32</v>
      </c>
      <c r="F32" s="176">
        <f>(+D32-E32)/E32</f>
        <v>-0.14185358524371425</v>
      </c>
      <c r="G32" s="245">
        <f>D32/C32</f>
        <v>0.10249291552408703</v>
      </c>
      <c r="H32" s="246">
        <f>1-G32</f>
        <v>0.897507084475913</v>
      </c>
      <c r="I32" s="157"/>
    </row>
    <row r="33" spans="1:9" ht="1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">
      <c r="A34" s="177" t="s">
        <v>58</v>
      </c>
      <c r="B34" s="165">
        <f>DATE(22,7,1)</f>
        <v>8218</v>
      </c>
      <c r="C34" s="226">
        <v>201538093.35</v>
      </c>
      <c r="D34" s="226">
        <v>17880290.2</v>
      </c>
      <c r="E34" s="226">
        <v>16788708.57</v>
      </c>
      <c r="F34" s="166">
        <f>(+D34-E34)/E34</f>
        <v>0.06501879673762179</v>
      </c>
      <c r="G34" s="241">
        <f>D34/C34</f>
        <v>0.08871915925565642</v>
      </c>
      <c r="H34" s="242">
        <f>1-G34</f>
        <v>0.9112808407443436</v>
      </c>
      <c r="I34" s="157"/>
    </row>
    <row r="35" spans="1:9" ht="15">
      <c r="A35" s="177"/>
      <c r="B35" s="165">
        <f>DATE(22,8,1)</f>
        <v>8249</v>
      </c>
      <c r="C35" s="226">
        <v>184867734.87</v>
      </c>
      <c r="D35" s="226">
        <v>17060867.38</v>
      </c>
      <c r="E35" s="226">
        <v>15228470.93</v>
      </c>
      <c r="F35" s="166">
        <f>(+D35-E35)/E35</f>
        <v>0.12032701499860954</v>
      </c>
      <c r="G35" s="241">
        <f>D35/C35</f>
        <v>0.09228688495587017</v>
      </c>
      <c r="H35" s="242">
        <f>1-G35</f>
        <v>0.9077131150441298</v>
      </c>
      <c r="I35" s="157"/>
    </row>
    <row r="36" spans="1:9" ht="15">
      <c r="A36" s="177"/>
      <c r="B36" s="165">
        <f>DATE(22,9,1)</f>
        <v>8280</v>
      </c>
      <c r="C36" s="226">
        <v>181026457.54</v>
      </c>
      <c r="D36" s="226">
        <v>17061917.54</v>
      </c>
      <c r="E36" s="226">
        <v>16699713.12</v>
      </c>
      <c r="F36" s="166">
        <f>(+D36-E36)/E36</f>
        <v>0.02168926001286901</v>
      </c>
      <c r="G36" s="241">
        <f>D36/C36</f>
        <v>0.09425096072616877</v>
      </c>
      <c r="H36" s="242">
        <f>1-G36</f>
        <v>0.9057490392738312</v>
      </c>
      <c r="I36" s="157"/>
    </row>
    <row r="37" spans="1:9" ht="15">
      <c r="A37" s="177"/>
      <c r="B37" s="165">
        <f>DATE(22,10,1)</f>
        <v>8310</v>
      </c>
      <c r="C37" s="226">
        <v>173386132.73</v>
      </c>
      <c r="D37" s="226">
        <v>16341780.85</v>
      </c>
      <c r="E37" s="226">
        <v>16704308.95</v>
      </c>
      <c r="F37" s="166">
        <f>(+D37-E37)/E37</f>
        <v>-0.02170266971744435</v>
      </c>
      <c r="G37" s="241">
        <f>D37/C37</f>
        <v>0.09425079498974531</v>
      </c>
      <c r="H37" s="242">
        <f>1-G37</f>
        <v>0.9057492050102547</v>
      </c>
      <c r="I37" s="157"/>
    </row>
    <row r="38" spans="1:9" ht="15">
      <c r="A38" s="177"/>
      <c r="B38" s="165">
        <f>DATE(22,11,1)</f>
        <v>8341</v>
      </c>
      <c r="C38" s="226">
        <v>167573650.07</v>
      </c>
      <c r="D38" s="226">
        <v>14923708.42</v>
      </c>
      <c r="E38" s="226">
        <v>15419780.21</v>
      </c>
      <c r="F38" s="166">
        <f>(+D38-E38)/E38</f>
        <v>-0.032171132353643384</v>
      </c>
      <c r="G38" s="241">
        <f>D38/C38</f>
        <v>0.08905760788623968</v>
      </c>
      <c r="H38" s="242">
        <f>1-G38</f>
        <v>0.9109423921137603</v>
      </c>
      <c r="I38" s="157"/>
    </row>
    <row r="39" spans="1:9" ht="15" thickBot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6.5" thickBot="1" thickTop="1">
      <c r="A40" s="174" t="s">
        <v>14</v>
      </c>
      <c r="B40" s="178"/>
      <c r="C40" s="228">
        <f>SUM(C34:C39)</f>
        <v>908392068.56</v>
      </c>
      <c r="D40" s="228">
        <f>SUM(D34:D39)</f>
        <v>83268564.39</v>
      </c>
      <c r="E40" s="228">
        <f>SUM(E34:E39)</f>
        <v>80840981.78</v>
      </c>
      <c r="F40" s="176">
        <f>(+D40-E40)/E40</f>
        <v>0.030029108461428675</v>
      </c>
      <c r="G40" s="245">
        <f>D40/C40</f>
        <v>0.0916658866495817</v>
      </c>
      <c r="H40" s="246">
        <f>1-G40</f>
        <v>0.9083341133504184</v>
      </c>
      <c r="I40" s="157"/>
    </row>
    <row r="41" spans="1:9" ht="15" thickTop="1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">
      <c r="A42" s="164" t="s">
        <v>60</v>
      </c>
      <c r="B42" s="165">
        <f>DATE(22,7,1)</f>
        <v>8218</v>
      </c>
      <c r="C42" s="226">
        <v>121501837.18</v>
      </c>
      <c r="D42" s="226">
        <v>11877741.56</v>
      </c>
      <c r="E42" s="226">
        <v>12735420.67</v>
      </c>
      <c r="F42" s="166">
        <f>(+D42-E42)/E42</f>
        <v>-0.0673459583490931</v>
      </c>
      <c r="G42" s="241">
        <f>D42/C42</f>
        <v>0.09775771161718001</v>
      </c>
      <c r="H42" s="242">
        <f>1-G42</f>
        <v>0.90224228838282</v>
      </c>
      <c r="I42" s="157"/>
    </row>
    <row r="43" spans="1:9" ht="15">
      <c r="A43" s="164"/>
      <c r="B43" s="165">
        <f>DATE(22,8,1)</f>
        <v>8249</v>
      </c>
      <c r="C43" s="226">
        <v>118750548.99</v>
      </c>
      <c r="D43" s="226">
        <v>11399779.33</v>
      </c>
      <c r="E43" s="226">
        <v>11645905.55</v>
      </c>
      <c r="F43" s="166">
        <f>(+D43-E43)/E43</f>
        <v>-0.02113414186155757</v>
      </c>
      <c r="G43" s="241">
        <f>D43/C43</f>
        <v>0.09599769792188478</v>
      </c>
      <c r="H43" s="242">
        <f>1-G43</f>
        <v>0.9040023020781152</v>
      </c>
      <c r="I43" s="157"/>
    </row>
    <row r="44" spans="1:9" ht="15">
      <c r="A44" s="164"/>
      <c r="B44" s="165">
        <f>DATE(22,9,1)</f>
        <v>8280</v>
      </c>
      <c r="C44" s="226">
        <v>118393348.34</v>
      </c>
      <c r="D44" s="226">
        <v>10069352.81</v>
      </c>
      <c r="E44" s="226">
        <v>11184280.18</v>
      </c>
      <c r="F44" s="166">
        <f>(+D44-E44)/E44</f>
        <v>-0.09968700283400797</v>
      </c>
      <c r="G44" s="241">
        <f>D44/C44</f>
        <v>0.08504998761487009</v>
      </c>
      <c r="H44" s="242">
        <f>1-G44</f>
        <v>0.91495001238513</v>
      </c>
      <c r="I44" s="157"/>
    </row>
    <row r="45" spans="1:9" ht="15">
      <c r="A45" s="164"/>
      <c r="B45" s="165">
        <f>DATE(22,10,1)</f>
        <v>8310</v>
      </c>
      <c r="C45" s="226">
        <v>113325190.2</v>
      </c>
      <c r="D45" s="226">
        <v>10695374.6</v>
      </c>
      <c r="E45" s="226">
        <v>11396005.27</v>
      </c>
      <c r="F45" s="166">
        <f>(+D45-E45)/E45</f>
        <v>-0.061480374341736324</v>
      </c>
      <c r="G45" s="241">
        <f>D45/C45</f>
        <v>0.09437773350412607</v>
      </c>
      <c r="H45" s="242">
        <f>1-G45</f>
        <v>0.905622266495874</v>
      </c>
      <c r="I45" s="157"/>
    </row>
    <row r="46" spans="1:9" ht="15">
      <c r="A46" s="164"/>
      <c r="B46" s="165">
        <f>DATE(22,11,1)</f>
        <v>8341</v>
      </c>
      <c r="C46" s="226">
        <v>111643931.18</v>
      </c>
      <c r="D46" s="226">
        <v>10611649.12</v>
      </c>
      <c r="E46" s="226">
        <v>11134846.92</v>
      </c>
      <c r="F46" s="166">
        <f>(+D46-E46)/E46</f>
        <v>-0.04698742638843577</v>
      </c>
      <c r="G46" s="241">
        <f>D46/C46</f>
        <v>0.09504904572816565</v>
      </c>
      <c r="H46" s="242">
        <f>1-G46</f>
        <v>0.9049509542718344</v>
      </c>
      <c r="I46" s="157"/>
    </row>
    <row r="47" spans="1:9" ht="1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6.5" thickBot="1" thickTop="1">
      <c r="A48" s="174" t="s">
        <v>14</v>
      </c>
      <c r="B48" s="175"/>
      <c r="C48" s="228">
        <f>SUM(C42:C47)</f>
        <v>583614855.89</v>
      </c>
      <c r="D48" s="230">
        <f>SUM(D42:D47)</f>
        <v>54653897.42</v>
      </c>
      <c r="E48" s="271">
        <f>SUM(E42:E47)</f>
        <v>58096458.59</v>
      </c>
      <c r="F48" s="272">
        <f>(+D48-E48)/E48</f>
        <v>-0.05925595558749877</v>
      </c>
      <c r="G48" s="249">
        <f>D48/C48</f>
        <v>0.09364720049261596</v>
      </c>
      <c r="H48" s="270">
        <f>1-G48</f>
        <v>0.906352799507384</v>
      </c>
      <c r="I48" s="157"/>
    </row>
    <row r="49" spans="1:9" ht="1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">
      <c r="A50" s="164" t="s">
        <v>64</v>
      </c>
      <c r="B50" s="165">
        <f>DATE(22,7,1)</f>
        <v>8218</v>
      </c>
      <c r="C50" s="226">
        <v>53641198.85</v>
      </c>
      <c r="D50" s="226">
        <v>5559220.1</v>
      </c>
      <c r="E50" s="226">
        <v>5744094.34</v>
      </c>
      <c r="F50" s="166">
        <f>(+D50-E50)/E50</f>
        <v>-0.03218509812984726</v>
      </c>
      <c r="G50" s="241">
        <f>D50/C50</f>
        <v>0.10363713375507452</v>
      </c>
      <c r="H50" s="242">
        <f>1-G50</f>
        <v>0.8963628662449254</v>
      </c>
      <c r="I50" s="157"/>
    </row>
    <row r="51" spans="1:9" ht="15">
      <c r="A51" s="164"/>
      <c r="B51" s="165">
        <f>DATE(22,8,1)</f>
        <v>8249</v>
      </c>
      <c r="C51" s="226">
        <v>47590579.29</v>
      </c>
      <c r="D51" s="226">
        <v>4834999.09</v>
      </c>
      <c r="E51" s="226">
        <v>5022432.17</v>
      </c>
      <c r="F51" s="166">
        <f>(+D51-E51)/E51</f>
        <v>-0.03731918593536726</v>
      </c>
      <c r="G51" s="241">
        <f>D51/C51</f>
        <v>0.10159571835714043</v>
      </c>
      <c r="H51" s="242">
        <f>1-G51</f>
        <v>0.8984042816428596</v>
      </c>
      <c r="I51" s="157"/>
    </row>
    <row r="52" spans="1:9" ht="15">
      <c r="A52" s="164"/>
      <c r="B52" s="165">
        <f>DATE(22,9,1)</f>
        <v>8280</v>
      </c>
      <c r="C52" s="226">
        <v>47220660.24</v>
      </c>
      <c r="D52" s="226">
        <v>4841899.8</v>
      </c>
      <c r="E52" s="226">
        <v>5281548.16</v>
      </c>
      <c r="F52" s="166">
        <f>(+D52-E52)/E52</f>
        <v>-0.08324232718915514</v>
      </c>
      <c r="G52" s="241">
        <f>D52/C52</f>
        <v>0.10253774037446621</v>
      </c>
      <c r="H52" s="242">
        <f>1-G52</f>
        <v>0.8974622596255338</v>
      </c>
      <c r="I52" s="157"/>
    </row>
    <row r="53" spans="1:9" ht="15">
      <c r="A53" s="164"/>
      <c r="B53" s="165">
        <f>DATE(22,10,1)</f>
        <v>8310</v>
      </c>
      <c r="C53" s="226">
        <v>47792404.84</v>
      </c>
      <c r="D53" s="226">
        <v>4855268.22</v>
      </c>
      <c r="E53" s="226">
        <v>5329338.81</v>
      </c>
      <c r="F53" s="166">
        <f>(+D53-E53)/E53</f>
        <v>-0.08895486042479628</v>
      </c>
      <c r="G53" s="241">
        <f>D53/C53</f>
        <v>0.1015907911781072</v>
      </c>
      <c r="H53" s="242">
        <f>1-G53</f>
        <v>0.8984092088218928</v>
      </c>
      <c r="I53" s="157"/>
    </row>
    <row r="54" spans="1:9" ht="15">
      <c r="A54" s="164"/>
      <c r="B54" s="165">
        <f>DATE(22,11,1)</f>
        <v>8341</v>
      </c>
      <c r="C54" s="226">
        <v>43866316.45</v>
      </c>
      <c r="D54" s="226">
        <v>4436643.53</v>
      </c>
      <c r="E54" s="226">
        <v>4979381.55</v>
      </c>
      <c r="F54" s="166">
        <f>(+D54-E54)/E54</f>
        <v>-0.10899707414467959</v>
      </c>
      <c r="G54" s="241">
        <f>D54/C54</f>
        <v>0.1011400976659849</v>
      </c>
      <c r="H54" s="242">
        <f>1-G54</f>
        <v>0.8988599023340151</v>
      </c>
      <c r="I54" s="157"/>
    </row>
    <row r="55" spans="1:9" ht="1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6.5" thickBot="1" thickTop="1">
      <c r="A56" s="174" t="s">
        <v>14</v>
      </c>
      <c r="B56" s="175"/>
      <c r="C56" s="228">
        <f>SUM(C50:C55)</f>
        <v>240111159.67000002</v>
      </c>
      <c r="D56" s="230">
        <f>SUM(D50:D55)</f>
        <v>24528030.74</v>
      </c>
      <c r="E56" s="271">
        <f>SUM(E50:E55)</f>
        <v>26356795.03</v>
      </c>
      <c r="F56" s="272">
        <f>(+D56-E56)/E56</f>
        <v>-0.06938492665433924</v>
      </c>
      <c r="G56" s="249">
        <f>D56/C56</f>
        <v>0.10215281444523622</v>
      </c>
      <c r="H56" s="270">
        <f>1-G56</f>
        <v>0.8978471855547638</v>
      </c>
      <c r="I56" s="157"/>
    </row>
    <row r="57" spans="1:9" ht="1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">
      <c r="A58" s="290" t="s">
        <v>67</v>
      </c>
      <c r="B58" s="165">
        <f>DATE(22,7,1)</f>
        <v>8218</v>
      </c>
      <c r="C58" s="226">
        <v>85581160.4</v>
      </c>
      <c r="D58" s="226">
        <v>9654928.82</v>
      </c>
      <c r="E58" s="226">
        <v>8446672.57</v>
      </c>
      <c r="F58" s="166">
        <f>(+D58-E58)/E58</f>
        <v>0.14304523349127524</v>
      </c>
      <c r="G58" s="241">
        <f>D58/C58</f>
        <v>0.11281605408098673</v>
      </c>
      <c r="H58" s="242">
        <f>1-G58</f>
        <v>0.8871839459190133</v>
      </c>
      <c r="I58" s="157"/>
    </row>
    <row r="59" spans="1:9" ht="15">
      <c r="A59" s="290"/>
      <c r="B59" s="165">
        <f>DATE(22,8,1)</f>
        <v>8249</v>
      </c>
      <c r="C59" s="226">
        <v>82456263.29</v>
      </c>
      <c r="D59" s="226">
        <v>9270730.97</v>
      </c>
      <c r="E59" s="226">
        <v>8803736.44</v>
      </c>
      <c r="F59" s="166">
        <f>(+D59-E59)/E59</f>
        <v>0.05304503754544488</v>
      </c>
      <c r="G59" s="241">
        <f>D59/C59</f>
        <v>0.11243210157844154</v>
      </c>
      <c r="H59" s="242">
        <f>1-G59</f>
        <v>0.8875678984215585</v>
      </c>
      <c r="I59" s="157"/>
    </row>
    <row r="60" spans="1:9" ht="15">
      <c r="A60" s="290"/>
      <c r="B60" s="165">
        <f>DATE(22,9,1)</f>
        <v>8280</v>
      </c>
      <c r="C60" s="226">
        <v>81432452.09</v>
      </c>
      <c r="D60" s="226">
        <v>9440089.3</v>
      </c>
      <c r="E60" s="226">
        <v>8914995.23</v>
      </c>
      <c r="F60" s="166">
        <f>(+D60-E60)/E60</f>
        <v>0.05890009545187387</v>
      </c>
      <c r="G60" s="241">
        <f>D60/C60</f>
        <v>0.11592539654297422</v>
      </c>
      <c r="H60" s="242">
        <f>1-G60</f>
        <v>0.8840746034570258</v>
      </c>
      <c r="I60" s="157"/>
    </row>
    <row r="61" spans="1:9" ht="15">
      <c r="A61" s="290"/>
      <c r="B61" s="165">
        <f>DATE(22,10,1)</f>
        <v>8310</v>
      </c>
      <c r="C61" s="226">
        <v>82324119.66</v>
      </c>
      <c r="D61" s="226">
        <v>9283650.12</v>
      </c>
      <c r="E61" s="226">
        <v>9230867.67</v>
      </c>
      <c r="F61" s="166">
        <f>(+D61-E61)/E61</f>
        <v>0.005718037771415616</v>
      </c>
      <c r="G61" s="241">
        <f>D61/C61</f>
        <v>0.11276950374132916</v>
      </c>
      <c r="H61" s="242">
        <f>1-G61</f>
        <v>0.8872304962586708</v>
      </c>
      <c r="I61" s="157"/>
    </row>
    <row r="62" spans="1:9" ht="15">
      <c r="A62" s="290"/>
      <c r="B62" s="165">
        <f>DATE(22,11,1)</f>
        <v>8341</v>
      </c>
      <c r="C62" s="226">
        <v>82659962.18</v>
      </c>
      <c r="D62" s="226">
        <v>9336104.85</v>
      </c>
      <c r="E62" s="226">
        <v>8512217.68</v>
      </c>
      <c r="F62" s="166">
        <f>(+D62-E62)/E62</f>
        <v>0.09678878066473506</v>
      </c>
      <c r="G62" s="241">
        <f>D62/C62</f>
        <v>0.112945912431822</v>
      </c>
      <c r="H62" s="242">
        <f>1-G62</f>
        <v>0.887054087568178</v>
      </c>
      <c r="I62" s="157"/>
    </row>
    <row r="63" spans="1:9" ht="1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6.5" thickBot="1" thickTop="1">
      <c r="A64" s="174" t="s">
        <v>14</v>
      </c>
      <c r="B64" s="175"/>
      <c r="C64" s="228">
        <f>SUM(C58:C63)</f>
        <v>414453957.62</v>
      </c>
      <c r="D64" s="230">
        <f>SUM(D58:D63)</f>
        <v>46985504.06</v>
      </c>
      <c r="E64" s="271">
        <f>SUM(E58:E63)</f>
        <v>43908489.589999996</v>
      </c>
      <c r="F64" s="272">
        <f>(+D64-E64)/E64</f>
        <v>0.07007789379074396</v>
      </c>
      <c r="G64" s="249">
        <f>D64/C64</f>
        <v>0.11336724670169408</v>
      </c>
      <c r="H64" s="270">
        <f>1-G64</f>
        <v>0.8866327532983059</v>
      </c>
      <c r="I64" s="157"/>
    </row>
    <row r="65" spans="1:9" ht="1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">
      <c r="A66" s="164" t="s">
        <v>69</v>
      </c>
      <c r="B66" s="165">
        <f>DATE(22,7,1)</f>
        <v>8218</v>
      </c>
      <c r="C66" s="226">
        <v>115913733.48</v>
      </c>
      <c r="D66" s="226">
        <v>11762621.74</v>
      </c>
      <c r="E66" s="226">
        <v>13534455.82</v>
      </c>
      <c r="F66" s="166">
        <f>(+D66-E66)/E66</f>
        <v>-0.1309128422719252</v>
      </c>
      <c r="G66" s="241">
        <f>D66/C66</f>
        <v>0.10147737793321572</v>
      </c>
      <c r="H66" s="242">
        <f>1-G66</f>
        <v>0.8985226220667842</v>
      </c>
      <c r="I66" s="157"/>
    </row>
    <row r="67" spans="1:9" ht="15">
      <c r="A67" s="164"/>
      <c r="B67" s="165">
        <f>DATE(22,8,1)</f>
        <v>8249</v>
      </c>
      <c r="C67" s="226">
        <v>120866905.96</v>
      </c>
      <c r="D67" s="226">
        <v>12540537.03</v>
      </c>
      <c r="E67" s="226">
        <v>11799607.16</v>
      </c>
      <c r="F67" s="166">
        <f>(+D67-E67)/E67</f>
        <v>0.0627927574158324</v>
      </c>
      <c r="G67" s="241">
        <f>D67/C67</f>
        <v>0.10375492721018438</v>
      </c>
      <c r="H67" s="242">
        <f>1-G67</f>
        <v>0.8962450727898156</v>
      </c>
      <c r="I67" s="157"/>
    </row>
    <row r="68" spans="1:9" ht="15">
      <c r="A68" s="164"/>
      <c r="B68" s="165">
        <f>DATE(22,9,1)</f>
        <v>8280</v>
      </c>
      <c r="C68" s="226">
        <v>118707239.62</v>
      </c>
      <c r="D68" s="226">
        <v>12203478.51</v>
      </c>
      <c r="E68" s="226">
        <v>11262305.48</v>
      </c>
      <c r="F68" s="166">
        <f>(+D68-E68)/E68</f>
        <v>0.08356841604690687</v>
      </c>
      <c r="G68" s="241">
        <f>D68/C68</f>
        <v>0.10280315294218952</v>
      </c>
      <c r="H68" s="242">
        <f>1-G68</f>
        <v>0.8971968470578104</v>
      </c>
      <c r="I68" s="157"/>
    </row>
    <row r="69" spans="1:9" ht="15">
      <c r="A69" s="164"/>
      <c r="B69" s="165">
        <f>DATE(22,10,1)</f>
        <v>8310</v>
      </c>
      <c r="C69" s="226">
        <v>112671486.7</v>
      </c>
      <c r="D69" s="226">
        <v>11570843.18</v>
      </c>
      <c r="E69" s="226">
        <v>11850584.04</v>
      </c>
      <c r="F69" s="166">
        <f>(+D69-E69)/E69</f>
        <v>-0.023605660198330564</v>
      </c>
      <c r="G69" s="241">
        <f>D69/C69</f>
        <v>0.10269539808956829</v>
      </c>
      <c r="H69" s="242">
        <f>1-G69</f>
        <v>0.8973046019104317</v>
      </c>
      <c r="I69" s="157"/>
    </row>
    <row r="70" spans="1:9" ht="15">
      <c r="A70" s="164"/>
      <c r="B70" s="165">
        <f>DATE(22,11,1)</f>
        <v>8341</v>
      </c>
      <c r="C70" s="226">
        <v>102848583.43</v>
      </c>
      <c r="D70" s="226">
        <v>10635557.71</v>
      </c>
      <c r="E70" s="226">
        <v>10537202.82</v>
      </c>
      <c r="F70" s="166">
        <f>(+D70-E70)/E70</f>
        <v>0.009334060630713056</v>
      </c>
      <c r="G70" s="241">
        <f>D70/C70</f>
        <v>0.10340986093638023</v>
      </c>
      <c r="H70" s="242">
        <f>1-G70</f>
        <v>0.8965901390636197</v>
      </c>
      <c r="I70" s="157"/>
    </row>
    <row r="71" spans="1:9" ht="15" thickBot="1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6.5" thickBot="1" thickTop="1">
      <c r="A72" s="174" t="s">
        <v>14</v>
      </c>
      <c r="B72" s="175"/>
      <c r="C72" s="228">
        <f>SUM(C66:C71)</f>
        <v>571007949.19</v>
      </c>
      <c r="D72" s="230">
        <f>SUM(D66:D71)</f>
        <v>58713038.17</v>
      </c>
      <c r="E72" s="271">
        <f>SUM(E66:E71)</f>
        <v>58984155.32</v>
      </c>
      <c r="F72" s="176">
        <f>(+D72-E72)/E72</f>
        <v>-0.004596440324170747</v>
      </c>
      <c r="G72" s="249">
        <f>D72/C72</f>
        <v>0.10282350403928182</v>
      </c>
      <c r="H72" s="270">
        <f>1-G72</f>
        <v>0.8971764959607181</v>
      </c>
      <c r="I72" s="157"/>
    </row>
    <row r="73" spans="1:9" ht="15" thickTop="1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">
      <c r="A74" s="164" t="s">
        <v>16</v>
      </c>
      <c r="B74" s="165">
        <f>DATE(22,7,1)</f>
        <v>8218</v>
      </c>
      <c r="C74" s="226">
        <v>164331221.16</v>
      </c>
      <c r="D74" s="226">
        <v>15914314.48</v>
      </c>
      <c r="E74" s="226">
        <v>16148799.36</v>
      </c>
      <c r="F74" s="166">
        <f>(+D74-E74)/E74</f>
        <v>-0.014520267096810284</v>
      </c>
      <c r="G74" s="241">
        <f>D74/C74</f>
        <v>0.09684291498391005</v>
      </c>
      <c r="H74" s="242">
        <f>1-G74</f>
        <v>0.9031570850160899</v>
      </c>
      <c r="I74" s="157"/>
    </row>
    <row r="75" spans="1:9" ht="15">
      <c r="A75" s="164"/>
      <c r="B75" s="165">
        <f>DATE(22,8,1)</f>
        <v>8249</v>
      </c>
      <c r="C75" s="226">
        <v>151296993.62</v>
      </c>
      <c r="D75" s="226">
        <v>14340389.18</v>
      </c>
      <c r="E75" s="226">
        <v>14007269.2</v>
      </c>
      <c r="F75" s="166">
        <f>(+D75-E75)/E75</f>
        <v>0.02378193602504623</v>
      </c>
      <c r="G75" s="241">
        <f>D75/C75</f>
        <v>0.09478304120184672</v>
      </c>
      <c r="H75" s="242">
        <f>1-G75</f>
        <v>0.9052169587981533</v>
      </c>
      <c r="I75" s="157"/>
    </row>
    <row r="76" spans="1:9" ht="15">
      <c r="A76" s="164"/>
      <c r="B76" s="165">
        <f>DATE(22,9,1)</f>
        <v>8280</v>
      </c>
      <c r="C76" s="226">
        <v>150060402.08</v>
      </c>
      <c r="D76" s="226">
        <v>15068846.29</v>
      </c>
      <c r="E76" s="226">
        <v>13534117.95</v>
      </c>
      <c r="F76" s="166">
        <f>(+D76-E76)/E76</f>
        <v>0.11339699754870246</v>
      </c>
      <c r="G76" s="241">
        <f>D76/C76</f>
        <v>0.10041853867595607</v>
      </c>
      <c r="H76" s="242">
        <f>1-G76</f>
        <v>0.8995814613240439</v>
      </c>
      <c r="I76" s="157"/>
    </row>
    <row r="77" spans="1:9" ht="15">
      <c r="A77" s="164"/>
      <c r="B77" s="165">
        <f>DATE(22,10,1)</f>
        <v>8310</v>
      </c>
      <c r="C77" s="226">
        <v>151075922.59</v>
      </c>
      <c r="D77" s="226">
        <v>14552868.96</v>
      </c>
      <c r="E77" s="226">
        <v>14717532.77</v>
      </c>
      <c r="F77" s="166">
        <f>(+D77-E77)/E77</f>
        <v>-0.011188275410919888</v>
      </c>
      <c r="G77" s="241">
        <f>D77/C77</f>
        <v>0.09632818195321935</v>
      </c>
      <c r="H77" s="242">
        <f>1-G77</f>
        <v>0.9036718180467807</v>
      </c>
      <c r="I77" s="157"/>
    </row>
    <row r="78" spans="1:9" ht="15">
      <c r="A78" s="164"/>
      <c r="B78" s="165">
        <f>DATE(22,11,1)</f>
        <v>8341</v>
      </c>
      <c r="C78" s="226">
        <v>137208695.11</v>
      </c>
      <c r="D78" s="226">
        <v>13319735.5</v>
      </c>
      <c r="E78" s="226">
        <v>13812980.33</v>
      </c>
      <c r="F78" s="166">
        <f>(+D78-E78)/E78</f>
        <v>-0.035708791167155744</v>
      </c>
      <c r="G78" s="241">
        <f>D78/C78</f>
        <v>0.09707646799877798</v>
      </c>
      <c r="H78" s="242">
        <f>1-G78</f>
        <v>0.902923532001222</v>
      </c>
      <c r="I78" s="157"/>
    </row>
    <row r="79" spans="1:9" ht="15.75" customHeight="1" thickBot="1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6.5" thickBot="1" thickTop="1">
      <c r="A80" s="174" t="s">
        <v>14</v>
      </c>
      <c r="B80" s="181"/>
      <c r="C80" s="228">
        <f>SUM(C74:C79)</f>
        <v>753973234.5600001</v>
      </c>
      <c r="D80" s="228">
        <f>SUM(D74:D79)</f>
        <v>73196154.41</v>
      </c>
      <c r="E80" s="228">
        <f>SUM(E74:E79)</f>
        <v>72220699.61</v>
      </c>
      <c r="F80" s="176">
        <f>(+D80-E80)/E80</f>
        <v>0.013506581980894175</v>
      </c>
      <c r="G80" s="245">
        <f>D80/C80</f>
        <v>0.09708057402424297</v>
      </c>
      <c r="H80" s="246">
        <f>1-G80</f>
        <v>0.902919425975757</v>
      </c>
      <c r="I80" s="157"/>
    </row>
    <row r="81" spans="1:9" ht="15" thickTop="1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">
      <c r="A82" s="164" t="s">
        <v>53</v>
      </c>
      <c r="B82" s="165">
        <f>DATE(22,7,1)</f>
        <v>8218</v>
      </c>
      <c r="C82" s="226">
        <v>217334773.96</v>
      </c>
      <c r="D82" s="226">
        <v>19656587.45</v>
      </c>
      <c r="E82" s="226">
        <v>17635283.72</v>
      </c>
      <c r="F82" s="166">
        <f>(+D82-E82)/E82</f>
        <v>0.1146170235814046</v>
      </c>
      <c r="G82" s="241">
        <f>D82/C82</f>
        <v>0.09044382126174504</v>
      </c>
      <c r="H82" s="242">
        <f>1-G82</f>
        <v>0.909556178738255</v>
      </c>
      <c r="I82" s="157"/>
    </row>
    <row r="83" spans="1:9" ht="15">
      <c r="A83" s="164"/>
      <c r="B83" s="165">
        <f>DATE(22,8,1)</f>
        <v>8249</v>
      </c>
      <c r="C83" s="226">
        <v>200475281.67</v>
      </c>
      <c r="D83" s="226">
        <v>17776767.91</v>
      </c>
      <c r="E83" s="226">
        <v>17152915.09</v>
      </c>
      <c r="F83" s="166">
        <f>(+D83-E83)/E83</f>
        <v>0.03637007568257019</v>
      </c>
      <c r="G83" s="241">
        <f>D83/C83</f>
        <v>0.08867311601667746</v>
      </c>
      <c r="H83" s="242">
        <f>1-G83</f>
        <v>0.9113268839833225</v>
      </c>
      <c r="I83" s="157"/>
    </row>
    <row r="84" spans="1:9" ht="15">
      <c r="A84" s="164"/>
      <c r="B84" s="165">
        <f>DATE(22,9,1)</f>
        <v>8280</v>
      </c>
      <c r="C84" s="226">
        <v>196574841.52</v>
      </c>
      <c r="D84" s="226">
        <v>17845168.1</v>
      </c>
      <c r="E84" s="226">
        <v>16762718.67</v>
      </c>
      <c r="F84" s="166">
        <f>(+D84-E84)/E84</f>
        <v>0.06457481338854931</v>
      </c>
      <c r="G84" s="241">
        <f>D84/C84</f>
        <v>0.09078052899350494</v>
      </c>
      <c r="H84" s="242">
        <f>1-G84</f>
        <v>0.909219471006495</v>
      </c>
      <c r="I84" s="157"/>
    </row>
    <row r="85" spans="1:9" ht="15">
      <c r="A85" s="164"/>
      <c r="B85" s="165">
        <f>DATE(22,10,1)</f>
        <v>8310</v>
      </c>
      <c r="C85" s="226">
        <v>198946815.71</v>
      </c>
      <c r="D85" s="226">
        <v>17788599.37</v>
      </c>
      <c r="E85" s="226">
        <v>18368300.02</v>
      </c>
      <c r="F85" s="166">
        <f>(+D85-E85)/E85</f>
        <v>-0.03155984219382314</v>
      </c>
      <c r="G85" s="241">
        <f>D85/C85</f>
        <v>0.0894138431244359</v>
      </c>
      <c r="H85" s="242">
        <f>1-G85</f>
        <v>0.9105861568755641</v>
      </c>
      <c r="I85" s="157"/>
    </row>
    <row r="86" spans="1:9" ht="15">
      <c r="A86" s="164"/>
      <c r="B86" s="165">
        <f>DATE(22,11,1)</f>
        <v>8341</v>
      </c>
      <c r="C86" s="226">
        <v>191380410.94</v>
      </c>
      <c r="D86" s="226">
        <v>17618885.15</v>
      </c>
      <c r="E86" s="226">
        <v>17099113.55</v>
      </c>
      <c r="F86" s="166">
        <f>(+D86-E86)/E86</f>
        <v>0.03039757578544168</v>
      </c>
      <c r="G86" s="241">
        <f>D86/C86</f>
        <v>0.09206211369001463</v>
      </c>
      <c r="H86" s="242">
        <f>1-G86</f>
        <v>0.9079378863099854</v>
      </c>
      <c r="I86" s="157"/>
    </row>
    <row r="87" spans="1:9" ht="15" thickBot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6.5" thickBot="1" thickTop="1">
      <c r="A88" s="174" t="s">
        <v>14</v>
      </c>
      <c r="B88" s="175"/>
      <c r="C88" s="228">
        <f>SUM(C82:C87)</f>
        <v>1004712123.8</v>
      </c>
      <c r="D88" s="228">
        <f>SUM(D82:D87)</f>
        <v>90686007.97999999</v>
      </c>
      <c r="E88" s="228">
        <f>SUM(E82:E87)</f>
        <v>87018331.05</v>
      </c>
      <c r="F88" s="176">
        <f>(+D88-E88)/E88</f>
        <v>0.042148325367129556</v>
      </c>
      <c r="G88" s="249">
        <f>D88/C88</f>
        <v>0.09026068844178906</v>
      </c>
      <c r="H88" s="270">
        <f>1-G88</f>
        <v>0.909739311558211</v>
      </c>
      <c r="I88" s="157"/>
    </row>
    <row r="89" spans="1:9" ht="15" thickTop="1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">
      <c r="A90" s="164" t="s">
        <v>54</v>
      </c>
      <c r="B90" s="165">
        <f>DATE(22,7,1)</f>
        <v>8218</v>
      </c>
      <c r="C90" s="226">
        <v>29253159.1</v>
      </c>
      <c r="D90" s="226">
        <v>3220140.18</v>
      </c>
      <c r="E90" s="226">
        <v>3540868.12</v>
      </c>
      <c r="F90" s="166">
        <f>(+D90-E90)/E90</f>
        <v>-0.09057890018225247</v>
      </c>
      <c r="G90" s="241">
        <f>D90/C90</f>
        <v>0.11007837372340412</v>
      </c>
      <c r="H90" s="242">
        <f>1-G90</f>
        <v>0.8899216262765959</v>
      </c>
      <c r="I90" s="157"/>
    </row>
    <row r="91" spans="1:9" ht="15">
      <c r="A91" s="164"/>
      <c r="B91" s="165">
        <f>DATE(22,8,1)</f>
        <v>8249</v>
      </c>
      <c r="C91" s="226">
        <v>25837783.38</v>
      </c>
      <c r="D91" s="226">
        <v>2910388.06</v>
      </c>
      <c r="E91" s="226">
        <v>3115295.59</v>
      </c>
      <c r="F91" s="166">
        <f>(+D91-E91)/E91</f>
        <v>-0.06577466698753931</v>
      </c>
      <c r="G91" s="241">
        <f>D91/C91</f>
        <v>0.11264077948160274</v>
      </c>
      <c r="H91" s="242">
        <f>1-G91</f>
        <v>0.8873592205183972</v>
      </c>
      <c r="I91" s="157"/>
    </row>
    <row r="92" spans="1:9" ht="15">
      <c r="A92" s="164"/>
      <c r="B92" s="165">
        <f>DATE(22,9,1)</f>
        <v>8280</v>
      </c>
      <c r="C92" s="226">
        <v>27357626.21</v>
      </c>
      <c r="D92" s="226">
        <v>3079109.35</v>
      </c>
      <c r="E92" s="226">
        <v>3042841.65</v>
      </c>
      <c r="F92" s="166">
        <f>(+D92-E92)/E92</f>
        <v>0.011919023127608428</v>
      </c>
      <c r="G92" s="241">
        <f>D92/C92</f>
        <v>0.11255031143288656</v>
      </c>
      <c r="H92" s="242">
        <f>1-G92</f>
        <v>0.8874496885671135</v>
      </c>
      <c r="I92" s="157"/>
    </row>
    <row r="93" spans="1:9" ht="15">
      <c r="A93" s="164"/>
      <c r="B93" s="165">
        <f>DATE(22,10,1)</f>
        <v>8310</v>
      </c>
      <c r="C93" s="226">
        <v>26519006.94</v>
      </c>
      <c r="D93" s="226">
        <v>3026739.97</v>
      </c>
      <c r="E93" s="226">
        <v>3415416.93</v>
      </c>
      <c r="F93" s="166">
        <f>(+D93-E93)/E93</f>
        <v>-0.11380073588848784</v>
      </c>
      <c r="G93" s="241">
        <f>D93/C93</f>
        <v>0.11413474029582195</v>
      </c>
      <c r="H93" s="242">
        <f>1-G93</f>
        <v>0.8858652597041781</v>
      </c>
      <c r="I93" s="157"/>
    </row>
    <row r="94" spans="1:9" ht="15">
      <c r="A94" s="164"/>
      <c r="B94" s="165">
        <f>DATE(22,11,1)</f>
        <v>8341</v>
      </c>
      <c r="C94" s="226">
        <v>23873732.33</v>
      </c>
      <c r="D94" s="226">
        <v>2771028.1</v>
      </c>
      <c r="E94" s="226">
        <v>3126811.29</v>
      </c>
      <c r="F94" s="166">
        <f>(+D94-E94)/E94</f>
        <v>-0.11378466974896971</v>
      </c>
      <c r="G94" s="241">
        <f>D94/C94</f>
        <v>0.11607016706465689</v>
      </c>
      <c r="H94" s="242">
        <f>1-G94</f>
        <v>0.8839298329353431</v>
      </c>
      <c r="I94" s="157"/>
    </row>
    <row r="95" spans="1:9" ht="15" thickBot="1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6.5" thickBot="1" thickTop="1">
      <c r="A96" s="182" t="s">
        <v>14</v>
      </c>
      <c r="B96" s="183"/>
      <c r="C96" s="230">
        <f>SUM(C90:C95)</f>
        <v>132841307.96</v>
      </c>
      <c r="D96" s="230">
        <f>SUM(D90:D95)</f>
        <v>15007405.66</v>
      </c>
      <c r="E96" s="230">
        <f>SUM(E90:E95)</f>
        <v>16241233.579999998</v>
      </c>
      <c r="F96" s="176">
        <f>(+D96-E96)/E96</f>
        <v>-0.0759688550701823</v>
      </c>
      <c r="G96" s="249">
        <f>D96/C96</f>
        <v>0.1129724322235588</v>
      </c>
      <c r="H96" s="246">
        <f>1-G96</f>
        <v>0.8870275677764412</v>
      </c>
      <c r="I96" s="157"/>
    </row>
    <row r="97" spans="1:9" ht="15" thickTop="1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">
      <c r="A98" s="164" t="s">
        <v>37</v>
      </c>
      <c r="B98" s="165">
        <f>DATE(22,7,1)</f>
        <v>8218</v>
      </c>
      <c r="C98" s="226">
        <v>239506696.32</v>
      </c>
      <c r="D98" s="226">
        <v>21735779.22</v>
      </c>
      <c r="E98" s="226">
        <v>21441670.74</v>
      </c>
      <c r="F98" s="166">
        <f>(+D98-E98)/E98</f>
        <v>0.013716677378658435</v>
      </c>
      <c r="G98" s="241">
        <f>D98/C98</f>
        <v>0.09075228189427852</v>
      </c>
      <c r="H98" s="242">
        <f>1-G98</f>
        <v>0.9092477181057215</v>
      </c>
      <c r="I98" s="157"/>
    </row>
    <row r="99" spans="1:9" ht="15">
      <c r="A99" s="164"/>
      <c r="B99" s="165">
        <f>DATE(22,8,1)</f>
        <v>8249</v>
      </c>
      <c r="C99" s="226">
        <v>220146005.59</v>
      </c>
      <c r="D99" s="226">
        <v>20453352.67</v>
      </c>
      <c r="E99" s="226">
        <v>19679228.6</v>
      </c>
      <c r="F99" s="166">
        <f>(+D99-E99)/E99</f>
        <v>0.03933711456555773</v>
      </c>
      <c r="G99" s="241">
        <f>D99/C99</f>
        <v>0.09290812529250397</v>
      </c>
      <c r="H99" s="242">
        <f>1-G99</f>
        <v>0.9070918747074961</v>
      </c>
      <c r="I99" s="157"/>
    </row>
    <row r="100" spans="1:9" ht="15">
      <c r="A100" s="164"/>
      <c r="B100" s="165">
        <f>DATE(22,9,1)</f>
        <v>8280</v>
      </c>
      <c r="C100" s="226">
        <v>219043118.49</v>
      </c>
      <c r="D100" s="226">
        <v>19785542.02</v>
      </c>
      <c r="E100" s="226">
        <v>19466571.38</v>
      </c>
      <c r="F100" s="166">
        <f>(+D100-E100)/E100</f>
        <v>0.01638555828725503</v>
      </c>
      <c r="G100" s="241">
        <f>D100/C100</f>
        <v>0.09032715639000213</v>
      </c>
      <c r="H100" s="242">
        <f>1-G100</f>
        <v>0.9096728436099979</v>
      </c>
      <c r="I100" s="157"/>
    </row>
    <row r="101" spans="1:9" ht="15">
      <c r="A101" s="164"/>
      <c r="B101" s="165">
        <f>DATE(22,10,1)</f>
        <v>8310</v>
      </c>
      <c r="C101" s="226">
        <v>217723657.17</v>
      </c>
      <c r="D101" s="226">
        <v>19414273.08</v>
      </c>
      <c r="E101" s="226">
        <v>20992171.95</v>
      </c>
      <c r="F101" s="166">
        <f>(+D101-E101)/E101</f>
        <v>-0.07516606065148018</v>
      </c>
      <c r="G101" s="241">
        <f>D101/C101</f>
        <v>0.08916933204388172</v>
      </c>
      <c r="H101" s="242">
        <f>1-G101</f>
        <v>0.9108306679561182</v>
      </c>
      <c r="I101" s="157"/>
    </row>
    <row r="102" spans="1:9" ht="15">
      <c r="A102" s="164"/>
      <c r="B102" s="165">
        <f>DATE(22,11,1)</f>
        <v>8341</v>
      </c>
      <c r="C102" s="226">
        <v>209644418.53</v>
      </c>
      <c r="D102" s="226">
        <v>19549323.03</v>
      </c>
      <c r="E102" s="226">
        <v>19425579.76</v>
      </c>
      <c r="F102" s="166">
        <f>(+D102-E102)/E102</f>
        <v>0.006370119786839224</v>
      </c>
      <c r="G102" s="241">
        <f>D102/C102</f>
        <v>0.09324990938026095</v>
      </c>
      <c r="H102" s="242">
        <f>1-G102</f>
        <v>0.906750090619739</v>
      </c>
      <c r="I102" s="157"/>
    </row>
    <row r="103" spans="1:9" ht="15" thickBot="1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6.5" thickBot="1" thickTop="1">
      <c r="A104" s="174" t="s">
        <v>14</v>
      </c>
      <c r="B104" s="175"/>
      <c r="C104" s="228">
        <f>SUM(C98:C103)</f>
        <v>1106063896.1</v>
      </c>
      <c r="D104" s="228">
        <f>SUM(D98:D103)</f>
        <v>100938270.02</v>
      </c>
      <c r="E104" s="228">
        <f>SUM(E98:E103)</f>
        <v>101005222.43</v>
      </c>
      <c r="F104" s="176">
        <f>(+D104-E104)/E104</f>
        <v>-0.0006628608738168126</v>
      </c>
      <c r="G104" s="245">
        <f>D104/C104</f>
        <v>0.0912589863713209</v>
      </c>
      <c r="H104" s="246">
        <f>1-G104</f>
        <v>0.9087410136286791</v>
      </c>
      <c r="I104" s="157"/>
    </row>
    <row r="105" spans="1:9" ht="15" thickTop="1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">
      <c r="A106" s="164" t="s">
        <v>57</v>
      </c>
      <c r="B106" s="165">
        <f>DATE(22,7,1)</f>
        <v>8218</v>
      </c>
      <c r="C106" s="226">
        <v>35319959.49</v>
      </c>
      <c r="D106" s="226">
        <v>3941098.7</v>
      </c>
      <c r="E106" s="226">
        <v>3963905.07</v>
      </c>
      <c r="F106" s="166">
        <f>(+D106-E106)/E106</f>
        <v>-0.005753510640959837</v>
      </c>
      <c r="G106" s="241">
        <f>D106/C106</f>
        <v>0.11158276387932516</v>
      </c>
      <c r="H106" s="242">
        <f>1-G106</f>
        <v>0.8884172361206748</v>
      </c>
      <c r="I106" s="157"/>
    </row>
    <row r="107" spans="1:9" ht="15">
      <c r="A107" s="164"/>
      <c r="B107" s="165">
        <f>DATE(22,8,1)</f>
        <v>8249</v>
      </c>
      <c r="C107" s="226">
        <v>32131032.47</v>
      </c>
      <c r="D107" s="226">
        <v>3508347.49</v>
      </c>
      <c r="E107" s="226">
        <v>3797696.16</v>
      </c>
      <c r="F107" s="166">
        <f>(+D107-E107)/E107</f>
        <v>-0.07619057918525002</v>
      </c>
      <c r="G107" s="241">
        <f>D107/C107</f>
        <v>0.10918875679689606</v>
      </c>
      <c r="H107" s="242">
        <f>1-G107</f>
        <v>0.8908112432031039</v>
      </c>
      <c r="I107" s="157"/>
    </row>
    <row r="108" spans="1:9" ht="15">
      <c r="A108" s="164"/>
      <c r="B108" s="165">
        <f>DATE(22,9,1)</f>
        <v>8280</v>
      </c>
      <c r="C108" s="226">
        <v>32450974.03</v>
      </c>
      <c r="D108" s="226">
        <v>3766686.61</v>
      </c>
      <c r="E108" s="226">
        <v>3519488.37</v>
      </c>
      <c r="F108" s="166">
        <f>(+D108-E108)/E108</f>
        <v>0.07023698163264558</v>
      </c>
      <c r="G108" s="241">
        <f>D108/C108</f>
        <v>0.11607314487749444</v>
      </c>
      <c r="H108" s="242">
        <f>1-G108</f>
        <v>0.8839268551225056</v>
      </c>
      <c r="I108" s="157"/>
    </row>
    <row r="109" spans="1:9" ht="15">
      <c r="A109" s="164"/>
      <c r="B109" s="165">
        <f>DATE(22,10,1)</f>
        <v>8310</v>
      </c>
      <c r="C109" s="226">
        <v>32407148.93</v>
      </c>
      <c r="D109" s="226">
        <v>3644045.37</v>
      </c>
      <c r="E109" s="226">
        <v>3955357.96</v>
      </c>
      <c r="F109" s="166">
        <f>(+D109-E109)/E109</f>
        <v>-0.07870655276924667</v>
      </c>
      <c r="G109" s="241">
        <f>D109/C109</f>
        <v>0.11244572541296986</v>
      </c>
      <c r="H109" s="242">
        <f>1-G109</f>
        <v>0.8875542745870302</v>
      </c>
      <c r="I109" s="157"/>
    </row>
    <row r="110" spans="1:9" ht="15">
      <c r="A110" s="164"/>
      <c r="B110" s="165">
        <f>DATE(22,11,1)</f>
        <v>8341</v>
      </c>
      <c r="C110" s="226">
        <v>30807154.7</v>
      </c>
      <c r="D110" s="226">
        <v>3367619.94</v>
      </c>
      <c r="E110" s="226">
        <v>3600834.91</v>
      </c>
      <c r="F110" s="166">
        <f>(+D110-E110)/E110</f>
        <v>-0.06476691540407227</v>
      </c>
      <c r="G110" s="241">
        <f>D110/C110</f>
        <v>0.10931291684655318</v>
      </c>
      <c r="H110" s="242">
        <f>1-G110</f>
        <v>0.8906870831534468</v>
      </c>
      <c r="I110" s="157"/>
    </row>
    <row r="111" spans="1:9" ht="15" thickBot="1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6.5" thickBot="1" thickTop="1">
      <c r="A112" s="169" t="s">
        <v>14</v>
      </c>
      <c r="B112" s="155"/>
      <c r="C112" s="223">
        <f>SUM(C106:C111)</f>
        <v>163116269.62</v>
      </c>
      <c r="D112" s="223">
        <f>SUM(D106:D111)</f>
        <v>18227798.110000003</v>
      </c>
      <c r="E112" s="223">
        <f>SUM(E106:E111)</f>
        <v>18837282.470000003</v>
      </c>
      <c r="F112" s="176">
        <f>(+D112-E112)/E112</f>
        <v>-0.03235521689344818</v>
      </c>
      <c r="G112" s="245">
        <f>D112/C112</f>
        <v>0.1117472717618173</v>
      </c>
      <c r="H112" s="246">
        <f>1-G112</f>
        <v>0.8882527282381827</v>
      </c>
      <c r="I112" s="157"/>
    </row>
    <row r="113" spans="1:9" ht="15.75" thickBot="1" thickTop="1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6.5" thickBot="1" thickTop="1">
      <c r="A114" s="184" t="s">
        <v>38</v>
      </c>
      <c r="B114" s="155"/>
      <c r="C114" s="223">
        <f>C112+C104+C80+C64+C48+C32+C16+C40+C96+C24+C72+C88+C56</f>
        <v>7008300660.3</v>
      </c>
      <c r="D114" s="223">
        <f>D112+D104+D80+D64+D48+D32+D16+D40+D96+D24+D72+D88+D56</f>
        <v>675791818.52</v>
      </c>
      <c r="E114" s="223">
        <f>E112+E104+E80+E64+E48+E32+E16+E40+E96+E24+E72+E88+E56</f>
        <v>677955636.4499998</v>
      </c>
      <c r="F114" s="170">
        <f>(+D114-E114)/E114</f>
        <v>-0.003191680714287288</v>
      </c>
      <c r="G114" s="236">
        <f>D114/C114</f>
        <v>0.09642734398485006</v>
      </c>
      <c r="H114" s="237">
        <f>1-G114</f>
        <v>0.9035726560151499</v>
      </c>
      <c r="I114" s="157"/>
    </row>
    <row r="115" spans="1:9" ht="16.5" thickBot="1" thickTop="1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6.5" thickBot="1" thickTop="1">
      <c r="A116" s="184" t="s">
        <v>39</v>
      </c>
      <c r="B116" s="155"/>
      <c r="C116" s="223">
        <f>+C14+C22+C30+C38+C46+C54+C62+C70+C78+C86+C94+C102+C110</f>
        <v>1308341893.6200001</v>
      </c>
      <c r="D116" s="223">
        <f>+D14+D22+D30+D38+D46+D54+D62+D70+D78+D86+D94+D102+D110</f>
        <v>126212041.91999999</v>
      </c>
      <c r="E116" s="223">
        <f>+E14+E22+E30+E38+E46+E54+E62+E70+E78+E86+E94+E102+E110</f>
        <v>128312411.75</v>
      </c>
      <c r="F116" s="170">
        <f>(+D116-E116)/E116</f>
        <v>-0.016369186747828494</v>
      </c>
      <c r="G116" s="236">
        <f>D116/C116</f>
        <v>0.09646717156689741</v>
      </c>
      <c r="H116" s="246">
        <f>1-G116</f>
        <v>0.9035328284331026</v>
      </c>
      <c r="I116" s="157"/>
    </row>
    <row r="117" spans="1:9" ht="15.75" thickTop="1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>
      <c r="A118" s="188" t="s">
        <v>49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">
      <c r="A120" s="72"/>
      <c r="I120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2" manualBreakCount="2">
    <brk id="56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2022-12-07T22:18:02Z</cp:lastPrinted>
  <dcterms:created xsi:type="dcterms:W3CDTF">2003-09-09T14:41:43Z</dcterms:created>
  <dcterms:modified xsi:type="dcterms:W3CDTF">2022-12-07T22:22:37Z</dcterms:modified>
  <cp:category/>
  <cp:version/>
  <cp:contentType/>
  <cp:contentStatus/>
</cp:coreProperties>
</file>