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56" windowWidth="7536" windowHeight="4056" activeTab="0"/>
  </bookViews>
  <sheets>
    <sheet name="MONTHLY STATS" sheetId="1" r:id="rId1"/>
    <sheet name="YTD TAXES" sheetId="2" r:id="rId2"/>
    <sheet name="TABLE STATS" sheetId="3" r:id="rId3"/>
    <sheet name="HYBRID STATS" sheetId="4" r:id="rId4"/>
    <sheet name="SLOT STATS" sheetId="5" r:id="rId5"/>
  </sheets>
  <definedNames>
    <definedName name="_xlnm.Print_Area" localSheetId="0">'MONTHLY STATS'!$A$1:$M$156</definedName>
    <definedName name="_xlnm.Print_Area" localSheetId="4">'SLOT STATS'!$A$1:$I$157</definedName>
    <definedName name="_xlnm.Print_Area" localSheetId="2">'TABLE STATS'!$A$1:$H$156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fullCalcOnLoad="1"/>
</workbook>
</file>

<file path=xl/sharedStrings.xml><?xml version="1.0" encoding="utf-8"?>
<sst xmlns="http://schemas.openxmlformats.org/spreadsheetml/2006/main" count="241" uniqueCount="79">
  <si>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</si>
  <si>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</si>
  <si>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</si>
  <si>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</si>
  <si>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</si>
  <si>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</si>
  <si>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</si>
  <si>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</si>
  <si>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</si>
  <si>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</si>
  <si>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</si>
  <si>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</si>
  <si>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</si>
  <si>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</si>
  <si>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</si>
  <si>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</si>
  <si>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</si>
  <si>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</si>
  <si>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</si>
  <si>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</si>
  <si>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</si>
  <si>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</si>
  <si>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</si>
  <si>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</si>
  <si>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</si>
  <si>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</si>
  <si>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</si>
  <si>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</si>
  <si>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</si>
  <si>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</si>
  <si>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</si>
  <si>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</si>
  <si>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</si>
  <si>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</si>
  <si>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</si>
  <si>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</si>
  <si>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</si>
  <si>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</si>
  <si>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</si>
  <si>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</si>
  <si>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</si>
  <si>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</si>
  <si>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</si>
  <si>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</si>
  <si>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</si>
  <si>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</si>
  <si>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</si>
  <si>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</si>
  <si>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</si>
  <si>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</si>
  <si>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</si>
  <si>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</si>
  <si>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</si>
  <si>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</si>
  <si>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</si>
  <si>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</si>
  <si>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</si>
  <si>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</si>
  <si>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</si>
  <si>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>HYBRID TABLES</t>
  </si>
  <si>
    <t>HARRAHS KC</t>
  </si>
  <si>
    <t xml:space="preserve">CENTURY- CAPE </t>
  </si>
  <si>
    <t>CENTURY-CARUTHERSVILLE</t>
  </si>
  <si>
    <t>CENTURY - CAPE</t>
  </si>
  <si>
    <t>CENTURY-CAPE</t>
  </si>
  <si>
    <t>HYBRID</t>
  </si>
  <si>
    <t>HYBRID WIN</t>
  </si>
  <si>
    <t>BALLY'S KANSAS CITY</t>
  </si>
  <si>
    <t>BALLY'S KC</t>
  </si>
  <si>
    <t>HORSESHOE ST. LOUIS</t>
  </si>
  <si>
    <t>HORSESHOE STL</t>
  </si>
  <si>
    <t xml:space="preserve">FISCAL 2023 YTD ADMISSIONS, PATRONS AND AGR SUMMARY </t>
  </si>
  <si>
    <t>MONTH ENDED:  FEBRUARY 28, 2023</t>
  </si>
  <si>
    <t>(as reported on the tax remittal database dtd 3/9/23)</t>
  </si>
  <si>
    <t>FOR THE MONTH ENDED:   FEBRUARY 28, 2023</t>
  </si>
  <si>
    <t>THRU MONTH ENDED:   FEBRUARY 28, 2023</t>
  </si>
  <si>
    <t>(as reported on the tax remittal database as of 3/9/23)</t>
  </si>
  <si>
    <t>THRU MONTH ENDED:    FEBRUARY 28, 2023</t>
  </si>
  <si>
    <t>THRU MONTH ENDED:     FEBRUARY 28, 2023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</si>
</sst>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  <numFmt numFmtId="168" formatCode="0.000000000000000%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1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8" fillId="33" borderId="11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8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9" fillId="33" borderId="13" xfId="0" applyFont="1" applyFill="1" applyBorder="1" applyAlignment="1">
      <alignment horizontal="center"/>
    </xf>
    <xf numFmtId="164" fontId="8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8" fillId="34" borderId="15" xfId="0" applyFont="1" applyFill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34" borderId="11" xfId="0" applyFont="1" applyFill="1" applyBorder="1" applyAlignment="1">
      <alignment horizontal="center"/>
    </xf>
    <xf numFmtId="164" fontId="10" fillId="34" borderId="12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9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9" fontId="9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9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64" fontId="9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7" fontId="0" fillId="0" borderId="0" xfId="0" applyNumberFormat="1" applyFont="1" applyAlignment="1">
      <alignment/>
    </xf>
    <xf numFmtId="0" fontId="11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9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9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1" fillId="0" borderId="0" xfId="55" applyNumberFormat="1" applyFon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9" fillId="34" borderId="10" xfId="55" applyNumberFormat="1" applyFont="1" applyFill="1" applyBorder="1" applyAlignment="1">
      <alignment horizontal="center"/>
      <protection/>
    </xf>
    <xf numFmtId="17" fontId="10" fillId="34" borderId="13" xfId="55" applyNumberFormat="1" applyFont="1" applyFill="1" applyBorder="1" applyAlignment="1">
      <alignment horizontal="center"/>
      <protection/>
    </xf>
    <xf numFmtId="0" fontId="10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9" fillId="33" borderId="24" xfId="54" applyNumberFormat="1" applyFont="1" applyFill="1" applyBorder="1" applyAlignment="1">
      <alignment horizontal="center"/>
      <protection/>
    </xf>
    <xf numFmtId="0" fontId="9" fillId="33" borderId="25" xfId="54" applyNumberFormat="1" applyFont="1" applyFill="1" applyBorder="1" applyAlignment="1">
      <alignment horizontal="center"/>
      <protection/>
    </xf>
    <xf numFmtId="0" fontId="9" fillId="34" borderId="25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/>
      <protection/>
    </xf>
    <xf numFmtId="0" fontId="10" fillId="34" borderId="14" xfId="54" applyNumberFormat="1" applyFont="1" applyFill="1" applyBorder="1" applyAlignment="1">
      <alignment horizontal="center"/>
      <protection/>
    </xf>
    <xf numFmtId="166" fontId="9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9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9" fillId="34" borderId="11" xfId="54" applyNumberFormat="1" applyFont="1" applyFill="1" applyBorder="1" applyAlignment="1">
      <alignment horizontal="center"/>
      <protection/>
    </xf>
    <xf numFmtId="166" fontId="9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9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9" fillId="34" borderId="17" xfId="54" applyNumberFormat="1" applyFont="1" applyFill="1" applyBorder="1" applyAlignment="1">
      <alignment horizontal="center"/>
      <protection/>
    </xf>
    <xf numFmtId="166" fontId="9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9" fillId="33" borderId="10" xfId="54" applyNumberFormat="1" applyFont="1" applyFill="1" applyBorder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9" fillId="33" borderId="10" xfId="53" applyNumberFormat="1" applyFont="1" applyFill="1" applyBorder="1" applyAlignment="1">
      <alignment horizontal="center"/>
      <protection/>
    </xf>
    <xf numFmtId="0" fontId="9" fillId="33" borderId="11" xfId="53" applyNumberFormat="1" applyFont="1" applyFill="1" applyBorder="1" applyAlignment="1">
      <alignment horizontal="center"/>
      <protection/>
    </xf>
    <xf numFmtId="0" fontId="9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33" borderId="13" xfId="53" applyNumberFormat="1" applyFont="1" applyFill="1" applyBorder="1" applyAlignment="1">
      <alignment horizontal="center"/>
      <protection/>
    </xf>
    <xf numFmtId="0" fontId="9" fillId="33" borderId="14" xfId="53" applyNumberFormat="1" applyFont="1" applyFill="1" applyBorder="1" applyAlignment="1">
      <alignment horizontal="center"/>
      <protection/>
    </xf>
    <xf numFmtId="0" fontId="9" fillId="34" borderId="14" xfId="53" applyNumberFormat="1" applyFont="1" applyFill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/>
      <protection/>
    </xf>
    <xf numFmtId="9" fontId="9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9" fillId="33" borderId="16" xfId="53" applyNumberFormat="1" applyFont="1" applyFill="1" applyBorder="1" applyAlignment="1">
      <alignment/>
      <protection/>
    </xf>
    <xf numFmtId="0" fontId="9" fillId="33" borderId="17" xfId="53" applyNumberFormat="1" applyFont="1" applyFill="1" applyBorder="1" applyAlignment="1">
      <alignment horizontal="center"/>
      <protection/>
    </xf>
    <xf numFmtId="9" fontId="9" fillId="34" borderId="17" xfId="53" applyNumberFormat="1" applyFont="1" applyFill="1" applyBorder="1" applyAlignment="1">
      <alignment horizontal="center"/>
      <protection/>
    </xf>
    <xf numFmtId="0" fontId="9" fillId="0" borderId="13" xfId="53" applyNumberFormat="1" applyFont="1" applyBorder="1" applyAlignment="1">
      <alignment/>
      <protection/>
    </xf>
    <xf numFmtId="17" fontId="9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9" fillId="33" borderId="21" xfId="53" applyNumberFormat="1" applyFont="1" applyFill="1" applyBorder="1" applyAlignment="1">
      <alignment/>
      <protection/>
    </xf>
    <xf numFmtId="0" fontId="9" fillId="33" borderId="19" xfId="53" applyNumberFormat="1" applyFont="1" applyFill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 horizontal="center"/>
      <protection/>
    </xf>
    <xf numFmtId="166" fontId="9" fillId="0" borderId="22" xfId="53" applyNumberFormat="1" applyFont="1" applyBorder="1" applyAlignment="1">
      <alignment/>
      <protection/>
    </xf>
    <xf numFmtId="0" fontId="9" fillId="0" borderId="22" xfId="53" applyNumberFormat="1" applyFont="1" applyBorder="1" applyAlignment="1">
      <alignment horizontal="center"/>
      <protection/>
    </xf>
    <xf numFmtId="4" fontId="9" fillId="0" borderId="22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/>
      <protection/>
    </xf>
    <xf numFmtId="17" fontId="9" fillId="0" borderId="0" xfId="53" applyNumberFormat="1" applyFont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25" xfId="54" applyNumberFormat="1" applyFont="1" applyFill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9" fillId="33" borderId="17" xfId="54" applyNumberFormat="1" applyFont="1" applyFill="1" applyBorder="1" applyAlignment="1">
      <alignment horizontal="center"/>
      <protection/>
    </xf>
    <xf numFmtId="3" fontId="9" fillId="33" borderId="19" xfId="54" applyNumberFormat="1" applyFont="1" applyFill="1" applyBorder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9" fillId="0" borderId="0" xfId="54" applyNumberFormat="1" applyFont="1" applyAlignment="1">
      <alignment horizontal="center"/>
      <protection/>
    </xf>
    <xf numFmtId="167" fontId="9" fillId="33" borderId="11" xfId="54" applyNumberFormat="1" applyFont="1" applyFill="1" applyBorder="1" applyAlignment="1">
      <alignment horizontal="center"/>
      <protection/>
    </xf>
    <xf numFmtId="167" fontId="9" fillId="33" borderId="26" xfId="54" applyNumberFormat="1" applyFont="1" applyFill="1" applyBorder="1" applyAlignment="1">
      <alignment horizontal="center"/>
      <protection/>
    </xf>
    <xf numFmtId="167" fontId="10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9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9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9" fillId="33" borderId="11" xfId="53" applyNumberFormat="1" applyFont="1" applyFill="1" applyBorder="1" applyAlignment="1">
      <alignment horizontal="center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9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9" fillId="33" borderId="19" xfId="53" applyNumberFormat="1" applyFont="1" applyFill="1" applyBorder="1" applyAlignment="1">
      <alignment horizontal="center"/>
      <protection/>
    </xf>
    <xf numFmtId="3" fontId="9" fillId="0" borderId="22" xfId="53" applyNumberFormat="1" applyFont="1" applyBorder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9" fillId="0" borderId="0" xfId="53" applyNumberFormat="1" applyFont="1" applyAlignment="1">
      <alignment horizontal="centerContinuous"/>
      <protection/>
    </xf>
    <xf numFmtId="167" fontId="9" fillId="33" borderId="11" xfId="53" applyNumberFormat="1" applyFont="1" applyFill="1" applyBorder="1" applyAlignment="1">
      <alignment horizontal="center"/>
      <protection/>
    </xf>
    <xf numFmtId="167" fontId="9" fillId="33" borderId="12" xfId="53" applyNumberFormat="1" applyFont="1" applyFill="1" applyBorder="1" applyAlignment="1">
      <alignment horizontal="center"/>
      <protection/>
    </xf>
    <xf numFmtId="167" fontId="9" fillId="33" borderId="14" xfId="53" applyNumberFormat="1" applyFont="1" applyFill="1" applyBorder="1" applyAlignment="1">
      <alignment horizontal="center"/>
      <protection/>
    </xf>
    <xf numFmtId="167" fontId="10" fillId="0" borderId="11" xfId="53" applyNumberFormat="1" applyFont="1" applyBorder="1" applyAlignment="1">
      <alignment horizontal="center"/>
      <protection/>
    </xf>
    <xf numFmtId="167" fontId="10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9" fillId="33" borderId="17" xfId="53" applyNumberFormat="1" applyFont="1" applyFill="1" applyBorder="1" applyAlignment="1">
      <alignment horizontal="center"/>
      <protection/>
    </xf>
    <xf numFmtId="167" fontId="9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9" fillId="33" borderId="19" xfId="53" applyNumberFormat="1" applyFont="1" applyFill="1" applyBorder="1" applyAlignment="1">
      <alignment horizontal="center"/>
      <protection/>
    </xf>
    <xf numFmtId="167" fontId="9" fillId="0" borderId="22" xfId="53" applyNumberFormat="1" applyFont="1" applyBorder="1" applyAlignment="1">
      <alignment horizontal="center"/>
      <protection/>
    </xf>
    <xf numFmtId="167" fontId="9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9" fillId="33" borderId="12" xfId="53" applyNumberFormat="1" applyFont="1" applyFill="1" applyBorder="1" applyAlignment="1">
      <alignment/>
      <protection/>
    </xf>
    <xf numFmtId="167" fontId="9" fillId="33" borderId="15" xfId="53" applyNumberFormat="1" applyFont="1" applyFill="1" applyBorder="1" applyAlignment="1">
      <alignment/>
      <protection/>
    </xf>
    <xf numFmtId="166" fontId="9" fillId="0" borderId="27" xfId="54" applyNumberFormat="1" applyFont="1" applyBorder="1" applyAlignment="1">
      <alignment/>
      <protection/>
    </xf>
    <xf numFmtId="166" fontId="9" fillId="0" borderId="0" xfId="53" applyNumberFormat="1" applyFont="1" applyBorder="1" applyAlignment="1">
      <alignment/>
      <protection/>
    </xf>
    <xf numFmtId="167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3" fontId="9" fillId="33" borderId="20" xfId="54" applyNumberFormat="1" applyFont="1" applyFill="1" applyBorder="1" applyAlignment="1">
      <alignment horizontal="center"/>
      <protection/>
    </xf>
    <xf numFmtId="3" fontId="9" fillId="33" borderId="28" xfId="54" applyNumberFormat="1" applyFont="1" applyFill="1" applyBorder="1" applyAlignment="1">
      <alignment horizontal="center"/>
      <protection/>
    </xf>
    <xf numFmtId="166" fontId="12" fillId="0" borderId="0" xfId="54" applyNumberFormat="1" applyFont="1" applyAlignment="1">
      <alignment/>
      <protection/>
    </xf>
    <xf numFmtId="166" fontId="12" fillId="0" borderId="0" xfId="0" applyNumberFormat="1" applyFont="1" applyAlignment="1">
      <alignment/>
    </xf>
    <xf numFmtId="166" fontId="9" fillId="33" borderId="16" xfId="54" applyNumberFormat="1" applyFont="1" applyFill="1" applyBorder="1" applyAlignment="1">
      <alignment horizontal="center"/>
      <protection/>
    </xf>
    <xf numFmtId="0" fontId="9" fillId="33" borderId="17" xfId="54" applyNumberFormat="1" applyFont="1" applyFill="1" applyBorder="1" applyAlignment="1">
      <alignment horizontal="center"/>
      <protection/>
    </xf>
    <xf numFmtId="167" fontId="9" fillId="33" borderId="29" xfId="54" applyNumberFormat="1" applyFont="1" applyFill="1" applyBorder="1" applyAlignment="1">
      <alignment horizontal="center"/>
      <protection/>
    </xf>
    <xf numFmtId="9" fontId="9" fillId="34" borderId="19" xfId="54" applyNumberFormat="1" applyFont="1" applyFill="1" applyBorder="1" applyAlignment="1">
      <alignment horizontal="center"/>
      <protection/>
    </xf>
    <xf numFmtId="9" fontId="9" fillId="34" borderId="30" xfId="54" applyNumberFormat="1" applyFont="1" applyFill="1" applyBorder="1" applyAlignment="1">
      <alignment horizontal="center"/>
      <protection/>
    </xf>
    <xf numFmtId="167" fontId="9" fillId="33" borderId="29" xfId="53" applyNumberFormat="1" applyFont="1" applyFill="1" applyBorder="1" applyAlignment="1">
      <alignment horizontal="center"/>
      <protection/>
    </xf>
    <xf numFmtId="3" fontId="9" fillId="33" borderId="20" xfId="53" applyNumberFormat="1" applyFont="1" applyFill="1" applyBorder="1" applyAlignment="1">
      <alignment horizontal="center"/>
      <protection/>
    </xf>
    <xf numFmtId="9" fontId="9" fillId="34" borderId="19" xfId="53" applyNumberFormat="1" applyFont="1" applyFill="1" applyBorder="1" applyAlignment="1">
      <alignment horizontal="center"/>
      <protection/>
    </xf>
    <xf numFmtId="166" fontId="9" fillId="33" borderId="13" xfId="0" applyNumberFormat="1" applyFont="1" applyFill="1" applyBorder="1" applyAlignment="1">
      <alignment/>
    </xf>
    <xf numFmtId="166" fontId="9" fillId="0" borderId="13" xfId="0" applyNumberFormat="1" applyFont="1" applyBorder="1" applyAlignment="1">
      <alignment/>
    </xf>
    <xf numFmtId="0" fontId="10" fillId="34" borderId="13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9" fillId="34" borderId="11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0" fontId="11" fillId="0" borderId="0" xfId="55" applyFont="1" applyAlignment="1">
      <alignment/>
      <protection/>
    </xf>
    <xf numFmtId="0" fontId="6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13" fillId="0" borderId="0" xfId="53" applyNumberFormat="1" applyFont="1" applyAlignment="1">
      <alignment/>
      <protection/>
    </xf>
    <xf numFmtId="4" fontId="0" fillId="0" borderId="0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left"/>
      <protection/>
    </xf>
    <xf numFmtId="167" fontId="0" fillId="0" borderId="15" xfId="53" applyNumberFormat="1" applyFont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6"/>
  <sheetViews>
    <sheetView tabSelected="1" showOutlineSymbols="0" workbookViewId="0" topLeftCell="A1">
      <selection activeCell="A5" sqref="A5"/>
    </sheetView>
  </sheetViews>
  <sheetFormatPr defaultColWidth="9.6640625" defaultRowHeight="15"/>
  <cols>
    <col min="1" max="1" width="26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>
      <c r="A2" s="4" t="s">
        <v>71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7.25">
      <c r="A3" s="277" t="s">
        <v>72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ht="15">
      <c r="A4" s="278" t="s">
        <v>73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5.7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">
      <c r="A9" s="19" t="s">
        <v>13</v>
      </c>
      <c r="B9" s="20">
        <f>DATE(2022,7,1)</f>
        <v>44743</v>
      </c>
      <c r="C9" s="21">
        <v>217943</v>
      </c>
      <c r="D9" s="22">
        <v>232803</v>
      </c>
      <c r="E9" s="23">
        <f aca="true" t="shared" si="0" ref="E9:E16">(+C9-D9)/D9</f>
        <v>-0.06383079255851513</v>
      </c>
      <c r="F9" s="21">
        <f>+C9-101378</f>
        <v>116565</v>
      </c>
      <c r="G9" s="21">
        <f>+D9-107437</f>
        <v>125366</v>
      </c>
      <c r="H9" s="23">
        <f aca="true" t="shared" si="1" ref="H9:H16">(+F9-G9)/G9</f>
        <v>-0.0702024472344974</v>
      </c>
      <c r="I9" s="24">
        <f aca="true" t="shared" si="2" ref="I9:I16">K9/C9</f>
        <v>73.39293026158217</v>
      </c>
      <c r="J9" s="24">
        <f aca="true" t="shared" si="3" ref="J9:J16">K9/F9</f>
        <v>137.22365547119634</v>
      </c>
      <c r="K9" s="21">
        <v>15995475.4</v>
      </c>
      <c r="L9" s="21">
        <v>15939478.61</v>
      </c>
      <c r="M9" s="25">
        <f aca="true" t="shared" si="4" ref="M9:M16">(+K9-L9)/L9</f>
        <v>0.0035130879353149035</v>
      </c>
      <c r="N9" s="10"/>
      <c r="R9" s="2"/>
    </row>
    <row r="10" spans="1:18" ht="15">
      <c r="A10" s="19"/>
      <c r="B10" s="20">
        <f>DATE(2022,8,1)</f>
        <v>44774</v>
      </c>
      <c r="C10" s="21">
        <v>199444</v>
      </c>
      <c r="D10" s="22">
        <v>224849</v>
      </c>
      <c r="E10" s="23">
        <f t="shared" si="0"/>
        <v>-0.11298693790054659</v>
      </c>
      <c r="F10" s="21">
        <f>+C10-93160</f>
        <v>106284</v>
      </c>
      <c r="G10" s="21">
        <f>+D10-102898</f>
        <v>121951</v>
      </c>
      <c r="H10" s="23">
        <f t="shared" si="1"/>
        <v>-0.12846963124533625</v>
      </c>
      <c r="I10" s="24">
        <f t="shared" si="2"/>
        <v>76.13284024588356</v>
      </c>
      <c r="J10" s="24">
        <f t="shared" si="3"/>
        <v>142.86476035903803</v>
      </c>
      <c r="K10" s="21">
        <v>15184238.19</v>
      </c>
      <c r="L10" s="21">
        <v>15076597.12</v>
      </c>
      <c r="M10" s="25">
        <f t="shared" si="4"/>
        <v>0.007139613080010478</v>
      </c>
      <c r="N10" s="10"/>
      <c r="R10" s="2"/>
    </row>
    <row r="11" spans="1:18" ht="15">
      <c r="A11" s="19"/>
      <c r="B11" s="20">
        <f>DATE(2022,9,1)</f>
        <v>44805</v>
      </c>
      <c r="C11" s="21">
        <v>190853</v>
      </c>
      <c r="D11" s="22">
        <v>206050</v>
      </c>
      <c r="E11" s="23">
        <f t="shared" si="0"/>
        <v>-0.07375394321766561</v>
      </c>
      <c r="F11" s="21">
        <f>+C11-90801</f>
        <v>100052</v>
      </c>
      <c r="G11" s="21">
        <f>+D11-93968</f>
        <v>112082</v>
      </c>
      <c r="H11" s="23">
        <f t="shared" si="1"/>
        <v>-0.10733213183205154</v>
      </c>
      <c r="I11" s="24">
        <f t="shared" si="2"/>
        <v>72.70080192608971</v>
      </c>
      <c r="J11" s="24">
        <f t="shared" si="3"/>
        <v>138.67954813496982</v>
      </c>
      <c r="K11" s="21">
        <v>13875166.15</v>
      </c>
      <c r="L11" s="21">
        <v>13876432.72</v>
      </c>
      <c r="M11" s="25">
        <f t="shared" si="4"/>
        <v>-9.127489936046748E-05</v>
      </c>
      <c r="N11" s="10"/>
      <c r="R11" s="2"/>
    </row>
    <row r="12" spans="1:18" ht="15">
      <c r="A12" s="19"/>
      <c r="B12" s="20">
        <f>DATE(2022,10,1)</f>
        <v>44835</v>
      </c>
      <c r="C12" s="21">
        <v>191998</v>
      </c>
      <c r="D12" s="22">
        <v>219538</v>
      </c>
      <c r="E12" s="23">
        <f t="shared" si="0"/>
        <v>-0.12544525321356667</v>
      </c>
      <c r="F12" s="21">
        <f>+C12-90818</f>
        <v>101180</v>
      </c>
      <c r="G12" s="21">
        <f>+D12-100658</f>
        <v>118880</v>
      </c>
      <c r="H12" s="23">
        <f t="shared" si="1"/>
        <v>-0.14888963660834456</v>
      </c>
      <c r="I12" s="24">
        <f t="shared" si="2"/>
        <v>76.28116969968437</v>
      </c>
      <c r="J12" s="24">
        <f t="shared" si="3"/>
        <v>144.75026704882387</v>
      </c>
      <c r="K12" s="21">
        <v>14645832.02</v>
      </c>
      <c r="L12" s="21">
        <v>15248970.91</v>
      </c>
      <c r="M12" s="25">
        <f t="shared" si="4"/>
        <v>-0.03955276021967312</v>
      </c>
      <c r="N12" s="10"/>
      <c r="R12" s="2"/>
    </row>
    <row r="13" spans="1:18" ht="15">
      <c r="A13" s="19"/>
      <c r="B13" s="20">
        <f>DATE(2022,11,1)</f>
        <v>44866</v>
      </c>
      <c r="C13" s="21">
        <v>181329</v>
      </c>
      <c r="D13" s="22">
        <v>201331</v>
      </c>
      <c r="E13" s="23">
        <f t="shared" si="0"/>
        <v>-0.09934883351297118</v>
      </c>
      <c r="F13" s="21">
        <f>+C13-85776</f>
        <v>95553</v>
      </c>
      <c r="G13" s="21">
        <f>+D13-92874</f>
        <v>108457</v>
      </c>
      <c r="H13" s="23">
        <f t="shared" si="1"/>
        <v>-0.11897802815862507</v>
      </c>
      <c r="I13" s="24">
        <f t="shared" si="2"/>
        <v>74.71362490280099</v>
      </c>
      <c r="J13" s="24">
        <f t="shared" si="3"/>
        <v>141.78253838184045</v>
      </c>
      <c r="K13" s="21">
        <v>13547746.89</v>
      </c>
      <c r="L13" s="21">
        <v>13533758.14</v>
      </c>
      <c r="M13" s="25">
        <f t="shared" si="4"/>
        <v>0.0010336190328874902</v>
      </c>
      <c r="N13" s="10"/>
      <c r="R13" s="2"/>
    </row>
    <row r="14" spans="1:18" ht="15">
      <c r="A14" s="19"/>
      <c r="B14" s="20">
        <f>DATE(2022,12,1)</f>
        <v>44896</v>
      </c>
      <c r="C14" s="21">
        <v>198171</v>
      </c>
      <c r="D14" s="22">
        <v>212681</v>
      </c>
      <c r="E14" s="23">
        <f t="shared" si="0"/>
        <v>-0.06822424193980657</v>
      </c>
      <c r="F14" s="21">
        <f>+C14-94881</f>
        <v>103290</v>
      </c>
      <c r="G14" s="21">
        <f>+D14-99427</f>
        <v>113254</v>
      </c>
      <c r="H14" s="23">
        <f t="shared" si="1"/>
        <v>-0.08797923252158864</v>
      </c>
      <c r="I14" s="24">
        <f t="shared" si="2"/>
        <v>66.7055760933739</v>
      </c>
      <c r="J14" s="24">
        <f t="shared" si="3"/>
        <v>127.98054719721173</v>
      </c>
      <c r="K14" s="21">
        <v>13219110.72</v>
      </c>
      <c r="L14" s="21">
        <v>14610455.7</v>
      </c>
      <c r="M14" s="25">
        <f t="shared" si="4"/>
        <v>-0.09522940341963453</v>
      </c>
      <c r="N14" s="10"/>
      <c r="R14" s="2"/>
    </row>
    <row r="15" spans="1:18" ht="15">
      <c r="A15" s="19"/>
      <c r="B15" s="20">
        <f>DATE(2023,1,1)</f>
        <v>44927</v>
      </c>
      <c r="C15" s="21">
        <v>197003</v>
      </c>
      <c r="D15" s="22">
        <v>183563</v>
      </c>
      <c r="E15" s="23">
        <f t="shared" si="0"/>
        <v>0.07321736951346404</v>
      </c>
      <c r="F15" s="21">
        <f>+C15-95273</f>
        <v>101730</v>
      </c>
      <c r="G15" s="21">
        <f>+D15-87679</f>
        <v>95884</v>
      </c>
      <c r="H15" s="23">
        <f t="shared" si="1"/>
        <v>0.06096950481832214</v>
      </c>
      <c r="I15" s="24">
        <f t="shared" si="2"/>
        <v>73.52713583041883</v>
      </c>
      <c r="J15" s="24">
        <f t="shared" si="3"/>
        <v>142.387362036764</v>
      </c>
      <c r="K15" s="21">
        <v>14485066.34</v>
      </c>
      <c r="L15" s="21">
        <v>12724384.04</v>
      </c>
      <c r="M15" s="25">
        <f t="shared" si="4"/>
        <v>0.13837072933865968</v>
      </c>
      <c r="N15" s="10"/>
      <c r="R15" s="2"/>
    </row>
    <row r="16" spans="1:18" ht="15">
      <c r="A16" s="19"/>
      <c r="B16" s="20">
        <f>DATE(2023,2,1)</f>
        <v>44958</v>
      </c>
      <c r="C16" s="21">
        <v>191288</v>
      </c>
      <c r="D16" s="22">
        <v>198133</v>
      </c>
      <c r="E16" s="23">
        <f t="shared" si="0"/>
        <v>-0.034547500921098456</v>
      </c>
      <c r="F16" s="21">
        <f>+C16-92919</f>
        <v>98369</v>
      </c>
      <c r="G16" s="21">
        <f>+D16-96112</f>
        <v>102021</v>
      </c>
      <c r="H16" s="23">
        <f t="shared" si="1"/>
        <v>-0.03579655169033826</v>
      </c>
      <c r="I16" s="24">
        <f t="shared" si="2"/>
        <v>72.94723176571452</v>
      </c>
      <c r="J16" s="24">
        <f t="shared" si="3"/>
        <v>141.8529218554626</v>
      </c>
      <c r="K16" s="21">
        <v>13953930.07</v>
      </c>
      <c r="L16" s="21">
        <v>13962827.57</v>
      </c>
      <c r="M16" s="25">
        <f t="shared" si="4"/>
        <v>-0.0006372276643390504</v>
      </c>
      <c r="N16" s="10"/>
      <c r="R16" s="2"/>
    </row>
    <row r="17" spans="1:18" ht="15.75" customHeight="1" thickBot="1">
      <c r="A17" s="19"/>
      <c r="B17" s="20"/>
      <c r="C17" s="21"/>
      <c r="D17" s="21"/>
      <c r="E17" s="23"/>
      <c r="F17" s="21"/>
      <c r="G17" s="21"/>
      <c r="H17" s="23"/>
      <c r="I17" s="24"/>
      <c r="J17" s="24"/>
      <c r="K17" s="21"/>
      <c r="L17" s="21"/>
      <c r="M17" s="25"/>
      <c r="N17" s="10"/>
      <c r="R17" s="2"/>
    </row>
    <row r="18" spans="1:18" ht="16.5" thickBot="1" thickTop="1">
      <c r="A18" s="26" t="s">
        <v>14</v>
      </c>
      <c r="B18" s="27"/>
      <c r="C18" s="28">
        <f>SUM(C9:C17)</f>
        <v>1568029</v>
      </c>
      <c r="D18" s="28">
        <f>SUM(D9:D17)</f>
        <v>1678948</v>
      </c>
      <c r="E18" s="279">
        <f>(+C18-D18)/D18</f>
        <v>-0.06606458329858936</v>
      </c>
      <c r="F18" s="28">
        <f>SUM(F9:F17)</f>
        <v>823023</v>
      </c>
      <c r="G18" s="28">
        <f>SUM(G9:G17)</f>
        <v>897895</v>
      </c>
      <c r="H18" s="30">
        <f>(+F18-G18)/G18</f>
        <v>-0.08338614203219753</v>
      </c>
      <c r="I18" s="31">
        <f>K18/C18</f>
        <v>73.28089326154044</v>
      </c>
      <c r="J18" s="31">
        <f>K18/F18</f>
        <v>139.61525471341628</v>
      </c>
      <c r="K18" s="28">
        <f>SUM(K9:K17)</f>
        <v>114906565.78</v>
      </c>
      <c r="L18" s="28">
        <f>SUM(L9:L17)</f>
        <v>114972904.81</v>
      </c>
      <c r="M18" s="32">
        <f>(+K18-L18)/L18</f>
        <v>-0.00057699707691678</v>
      </c>
      <c r="N18" s="10"/>
      <c r="R18" s="2"/>
    </row>
    <row r="19" spans="1:18" ht="15.75" customHeight="1" thickTop="1">
      <c r="A19" s="15"/>
      <c r="B19" s="16"/>
      <c r="C19" s="16"/>
      <c r="D19" s="16"/>
      <c r="E19" s="17"/>
      <c r="F19" s="16"/>
      <c r="G19" s="16"/>
      <c r="H19" s="17"/>
      <c r="I19" s="16"/>
      <c r="J19" s="16"/>
      <c r="K19" s="195"/>
      <c r="L19" s="195"/>
      <c r="M19" s="18"/>
      <c r="N19" s="10"/>
      <c r="R19" s="2"/>
    </row>
    <row r="20" spans="1:18" ht="15">
      <c r="A20" s="19" t="s">
        <v>15</v>
      </c>
      <c r="B20" s="20">
        <f>DATE(2022,7,1)</f>
        <v>44743</v>
      </c>
      <c r="C20" s="21">
        <v>114715</v>
      </c>
      <c r="D20" s="21">
        <v>116107</v>
      </c>
      <c r="E20" s="23">
        <f aca="true" t="shared" si="5" ref="E20:E27">(+C20-D20)/D20</f>
        <v>-0.011988941235239909</v>
      </c>
      <c r="F20" s="21">
        <f>+C20-55568</f>
        <v>59147</v>
      </c>
      <c r="G20" s="21">
        <f>+D20-56210</f>
        <v>59897</v>
      </c>
      <c r="H20" s="23">
        <f aca="true" t="shared" si="6" ref="H20:H27">(+F20-G20)/G20</f>
        <v>-0.012521495233484147</v>
      </c>
      <c r="I20" s="24">
        <f aca="true" t="shared" si="7" ref="I20:I27">K20/C20</f>
        <v>73.18793714858563</v>
      </c>
      <c r="J20" s="24">
        <f aca="true" t="shared" si="8" ref="J20:J27">K20/F20</f>
        <v>141.9472536223308</v>
      </c>
      <c r="K20" s="21">
        <v>8395754.21</v>
      </c>
      <c r="L20" s="21">
        <v>8058935.65</v>
      </c>
      <c r="M20" s="25">
        <f aca="true" t="shared" si="9" ref="M20:M27">(+K20-L20)/L20</f>
        <v>0.041794422319279906</v>
      </c>
      <c r="N20" s="10"/>
      <c r="R20" s="2"/>
    </row>
    <row r="21" spans="1:18" ht="15">
      <c r="A21" s="19"/>
      <c r="B21" s="20">
        <f>DATE(2022,8,1)</f>
        <v>44774</v>
      </c>
      <c r="C21" s="21">
        <v>103784</v>
      </c>
      <c r="D21" s="21">
        <v>103353</v>
      </c>
      <c r="E21" s="23">
        <f t="shared" si="5"/>
        <v>0.004170174063645951</v>
      </c>
      <c r="F21" s="21">
        <f>+C21-49858</f>
        <v>53926</v>
      </c>
      <c r="G21" s="21">
        <f>+D21-50446</f>
        <v>52907</v>
      </c>
      <c r="H21" s="23">
        <f t="shared" si="6"/>
        <v>0.019260211314192827</v>
      </c>
      <c r="I21" s="24">
        <f t="shared" si="7"/>
        <v>72.90103994835428</v>
      </c>
      <c r="J21" s="24">
        <f t="shared" si="8"/>
        <v>140.30266531914106</v>
      </c>
      <c r="K21" s="21">
        <v>7565961.53</v>
      </c>
      <c r="L21" s="21">
        <v>7190146.61</v>
      </c>
      <c r="M21" s="25">
        <f t="shared" si="9"/>
        <v>0.05226804686810133</v>
      </c>
      <c r="N21" s="10"/>
      <c r="R21" s="2"/>
    </row>
    <row r="22" spans="1:18" ht="15">
      <c r="A22" s="19"/>
      <c r="B22" s="20">
        <f>DATE(2022,9,1)</f>
        <v>44805</v>
      </c>
      <c r="C22" s="21">
        <v>107511</v>
      </c>
      <c r="D22" s="21">
        <v>103596</v>
      </c>
      <c r="E22" s="23">
        <f t="shared" si="5"/>
        <v>0.037791034402872695</v>
      </c>
      <c r="F22" s="21">
        <f>+C22-51983</f>
        <v>55528</v>
      </c>
      <c r="G22" s="21">
        <f>+D22-49808</f>
        <v>53788</v>
      </c>
      <c r="H22" s="23">
        <f t="shared" si="6"/>
        <v>0.0323492228749907</v>
      </c>
      <c r="I22" s="24">
        <f t="shared" si="7"/>
        <v>72.49414980792663</v>
      </c>
      <c r="J22" s="24">
        <f t="shared" si="8"/>
        <v>140.36015235556837</v>
      </c>
      <c r="K22" s="21">
        <v>7793918.54</v>
      </c>
      <c r="L22" s="21">
        <v>7629702.11</v>
      </c>
      <c r="M22" s="25">
        <f t="shared" si="9"/>
        <v>0.021523308201609418</v>
      </c>
      <c r="N22" s="10"/>
      <c r="R22" s="2"/>
    </row>
    <row r="23" spans="1:18" ht="15">
      <c r="A23" s="19"/>
      <c r="B23" s="20">
        <f>DATE(2022,10,1)</f>
        <v>44835</v>
      </c>
      <c r="C23" s="21">
        <v>104490</v>
      </c>
      <c r="D23" s="21">
        <v>110079</v>
      </c>
      <c r="E23" s="23">
        <f t="shared" si="5"/>
        <v>-0.05077262693156733</v>
      </c>
      <c r="F23" s="21">
        <f>+C23-49825</f>
        <v>54665</v>
      </c>
      <c r="G23" s="21">
        <f>+D23-53226</f>
        <v>56853</v>
      </c>
      <c r="H23" s="23">
        <f t="shared" si="6"/>
        <v>-0.03848521625947619</v>
      </c>
      <c r="I23" s="24">
        <f t="shared" si="7"/>
        <v>73.32391941812614</v>
      </c>
      <c r="J23" s="24">
        <f t="shared" si="8"/>
        <v>140.1557914570566</v>
      </c>
      <c r="K23" s="21">
        <v>7661616.34</v>
      </c>
      <c r="L23" s="21">
        <v>7839043.76</v>
      </c>
      <c r="M23" s="25">
        <f t="shared" si="9"/>
        <v>-0.02263380910122639</v>
      </c>
      <c r="N23" s="10"/>
      <c r="R23" s="2"/>
    </row>
    <row r="24" spans="1:18" ht="15">
      <c r="A24" s="19"/>
      <c r="B24" s="20">
        <f>DATE(2022,11,1)</f>
        <v>44866</v>
      </c>
      <c r="C24" s="21">
        <v>93678</v>
      </c>
      <c r="D24" s="21">
        <v>95314</v>
      </c>
      <c r="E24" s="23">
        <f t="shared" si="5"/>
        <v>-0.017164320036930567</v>
      </c>
      <c r="F24" s="21">
        <f>+C24-44918</f>
        <v>48760</v>
      </c>
      <c r="G24" s="21">
        <f>+D24-46228</f>
        <v>49086</v>
      </c>
      <c r="H24" s="23">
        <f t="shared" si="6"/>
        <v>-0.006641404881228863</v>
      </c>
      <c r="I24" s="24">
        <f t="shared" si="7"/>
        <v>75.06646234975128</v>
      </c>
      <c r="J24" s="24">
        <f t="shared" si="8"/>
        <v>144.21813084495489</v>
      </c>
      <c r="K24" s="21">
        <v>7032076.06</v>
      </c>
      <c r="L24" s="21">
        <v>6796062.14</v>
      </c>
      <c r="M24" s="25">
        <f t="shared" si="9"/>
        <v>0.03472804031777142</v>
      </c>
      <c r="N24" s="10"/>
      <c r="R24" s="2"/>
    </row>
    <row r="25" spans="1:18" ht="15">
      <c r="A25" s="19"/>
      <c r="B25" s="20">
        <f>DATE(2022,12,1)</f>
        <v>44896</v>
      </c>
      <c r="C25" s="21">
        <v>102036</v>
      </c>
      <c r="D25" s="21">
        <v>104553</v>
      </c>
      <c r="E25" s="23">
        <f t="shared" si="5"/>
        <v>-0.024073914665289374</v>
      </c>
      <c r="F25" s="21">
        <f>+C25-49071</f>
        <v>52965</v>
      </c>
      <c r="G25" s="21">
        <f>+D25-51073</f>
        <v>53480</v>
      </c>
      <c r="H25" s="23">
        <f t="shared" si="6"/>
        <v>-0.009629768137621541</v>
      </c>
      <c r="I25" s="24">
        <f t="shared" si="7"/>
        <v>72.51331412442667</v>
      </c>
      <c r="J25" s="24">
        <f t="shared" si="8"/>
        <v>139.6954313225715</v>
      </c>
      <c r="K25" s="21">
        <v>7398968.52</v>
      </c>
      <c r="L25" s="21">
        <v>7388208.9</v>
      </c>
      <c r="M25" s="25">
        <f t="shared" si="9"/>
        <v>0.0014563231962755113</v>
      </c>
      <c r="N25" s="10"/>
      <c r="R25" s="2"/>
    </row>
    <row r="26" spans="1:18" ht="15">
      <c r="A26" s="19"/>
      <c r="B26" s="20">
        <f>DATE(2023,1,1)</f>
        <v>44927</v>
      </c>
      <c r="C26" s="21">
        <v>98251</v>
      </c>
      <c r="D26" s="21">
        <v>85873</v>
      </c>
      <c r="E26" s="23">
        <f t="shared" si="5"/>
        <v>0.14414309503569225</v>
      </c>
      <c r="F26" s="21">
        <f>+C26-47583</f>
        <v>50668</v>
      </c>
      <c r="G26" s="21">
        <f>+D26-42515</f>
        <v>43358</v>
      </c>
      <c r="H26" s="23">
        <f t="shared" si="6"/>
        <v>0.16859633746944047</v>
      </c>
      <c r="I26" s="24">
        <f t="shared" si="7"/>
        <v>73.31076548839197</v>
      </c>
      <c r="J26" s="24">
        <f t="shared" si="8"/>
        <v>142.15789097655323</v>
      </c>
      <c r="K26" s="21">
        <v>7202856.02</v>
      </c>
      <c r="L26" s="21">
        <v>6662490.69</v>
      </c>
      <c r="M26" s="25">
        <f t="shared" si="9"/>
        <v>0.08110560376632948</v>
      </c>
      <c r="N26" s="10"/>
      <c r="R26" s="2"/>
    </row>
    <row r="27" spans="1:18" ht="15">
      <c r="A27" s="19"/>
      <c r="B27" s="20">
        <f>DATE(2023,2,1)</f>
        <v>44958</v>
      </c>
      <c r="C27" s="21">
        <v>104260</v>
      </c>
      <c r="D27" s="21">
        <v>95434</v>
      </c>
      <c r="E27" s="23">
        <f t="shared" si="5"/>
        <v>0.09248276295659828</v>
      </c>
      <c r="F27" s="21">
        <f>+C27-49646</f>
        <v>54614</v>
      </c>
      <c r="G27" s="21">
        <f>+D27-47101</f>
        <v>48333</v>
      </c>
      <c r="H27" s="23">
        <f t="shared" si="6"/>
        <v>0.12995262036289906</v>
      </c>
      <c r="I27" s="24">
        <f t="shared" si="7"/>
        <v>73.3793858622674</v>
      </c>
      <c r="J27" s="24">
        <f t="shared" si="8"/>
        <v>140.08376551799904</v>
      </c>
      <c r="K27" s="21">
        <v>7650534.77</v>
      </c>
      <c r="L27" s="21">
        <v>6600177.21</v>
      </c>
      <c r="M27" s="25">
        <f t="shared" si="9"/>
        <v>0.1591408119176848</v>
      </c>
      <c r="N27" s="10"/>
      <c r="R27" s="2"/>
    </row>
    <row r="28" spans="1:18" ht="15.75" customHeight="1" thickBot="1">
      <c r="A28" s="19"/>
      <c r="B28" s="20"/>
      <c r="C28" s="21"/>
      <c r="D28" s="21"/>
      <c r="E28" s="23"/>
      <c r="F28" s="21"/>
      <c r="G28" s="21"/>
      <c r="H28" s="23"/>
      <c r="I28" s="24"/>
      <c r="J28" s="24"/>
      <c r="K28" s="21"/>
      <c r="L28" s="21"/>
      <c r="M28" s="25"/>
      <c r="N28" s="10"/>
      <c r="R28" s="2"/>
    </row>
    <row r="29" spans="1:18" ht="17.25" customHeight="1" thickBot="1" thickTop="1">
      <c r="A29" s="26" t="s">
        <v>14</v>
      </c>
      <c r="B29" s="27"/>
      <c r="C29" s="28">
        <f>SUM(C20:C28)</f>
        <v>828725</v>
      </c>
      <c r="D29" s="28">
        <f>SUM(D20:D28)</f>
        <v>814309</v>
      </c>
      <c r="E29" s="279">
        <f>(+C29-D29)/D29</f>
        <v>0.01770335339533273</v>
      </c>
      <c r="F29" s="28">
        <f>SUM(F20:F28)</f>
        <v>430273</v>
      </c>
      <c r="G29" s="28">
        <f>SUM(G20:G28)</f>
        <v>417702</v>
      </c>
      <c r="H29" s="30">
        <f>(+F29-G29)/G29</f>
        <v>0.030095618407381338</v>
      </c>
      <c r="I29" s="31">
        <f>K29/C29</f>
        <v>73.24707953784427</v>
      </c>
      <c r="J29" s="31">
        <f>K29/F29</f>
        <v>141.07714402251594</v>
      </c>
      <c r="K29" s="28">
        <f>SUM(K20:K28)</f>
        <v>60701685.989999995</v>
      </c>
      <c r="L29" s="28">
        <f>SUM(L20:L28)</f>
        <v>58164767.07</v>
      </c>
      <c r="M29" s="32">
        <f>(+K29-L29)/L29</f>
        <v>0.04361607632584291</v>
      </c>
      <c r="N29" s="10"/>
      <c r="R29" s="2"/>
    </row>
    <row r="30" spans="1:18" ht="15.75" customHeight="1" thickTop="1">
      <c r="A30" s="33"/>
      <c r="B30" s="34"/>
      <c r="C30" s="35"/>
      <c r="D30" s="35"/>
      <c r="E30" s="29"/>
      <c r="F30" s="35"/>
      <c r="G30" s="35"/>
      <c r="H30" s="29"/>
      <c r="I30" s="36"/>
      <c r="J30" s="36"/>
      <c r="K30" s="35"/>
      <c r="L30" s="35"/>
      <c r="M30" s="37"/>
      <c r="N30" s="10"/>
      <c r="R30" s="2"/>
    </row>
    <row r="31" spans="1:18" ht="15.75" customHeight="1">
      <c r="A31" s="19" t="s">
        <v>62</v>
      </c>
      <c r="B31" s="20">
        <f>DATE(2022,7,1)</f>
        <v>44743</v>
      </c>
      <c r="C31" s="21">
        <v>56544</v>
      </c>
      <c r="D31" s="21">
        <v>66837</v>
      </c>
      <c r="E31" s="23">
        <f aca="true" t="shared" si="10" ref="E31:E38">(+C31-D31)/D31</f>
        <v>-0.1540015261008124</v>
      </c>
      <c r="F31" s="21">
        <f>+C31-31773</f>
        <v>24771</v>
      </c>
      <c r="G31" s="21">
        <f>+D31-37212</f>
        <v>29625</v>
      </c>
      <c r="H31" s="23">
        <f aca="true" t="shared" si="11" ref="H31:H38">(+F31-G31)/G31</f>
        <v>-0.16384810126582278</v>
      </c>
      <c r="I31" s="24">
        <f aca="true" t="shared" si="12" ref="I31:I38">K31/C31</f>
        <v>66.96577355687606</v>
      </c>
      <c r="J31" s="24">
        <f aca="true" t="shared" si="13" ref="J31:J38">K31/F31</f>
        <v>152.8607121230471</v>
      </c>
      <c r="K31" s="21">
        <v>3786512.7</v>
      </c>
      <c r="L31" s="21">
        <v>4599517.95</v>
      </c>
      <c r="M31" s="25">
        <f aca="true" t="shared" si="14" ref="M31:M38">(+K31-L31)/L31</f>
        <v>-0.17675879490806204</v>
      </c>
      <c r="N31" s="10"/>
      <c r="R31" s="2"/>
    </row>
    <row r="32" spans="1:18" ht="15.75" customHeight="1">
      <c r="A32" s="19"/>
      <c r="B32" s="20">
        <f>DATE(2022,8,1)</f>
        <v>44774</v>
      </c>
      <c r="C32" s="21">
        <v>49669</v>
      </c>
      <c r="D32" s="21">
        <v>56112</v>
      </c>
      <c r="E32" s="23">
        <f t="shared" si="10"/>
        <v>-0.11482392358140861</v>
      </c>
      <c r="F32" s="21">
        <f>+C32-27651</f>
        <v>22018</v>
      </c>
      <c r="G32" s="21">
        <f>+D32-31048</f>
        <v>25064</v>
      </c>
      <c r="H32" s="23">
        <f t="shared" si="11"/>
        <v>-0.12152888605170763</v>
      </c>
      <c r="I32" s="24">
        <f t="shared" si="12"/>
        <v>70.40636030522056</v>
      </c>
      <c r="J32" s="24">
        <f t="shared" si="13"/>
        <v>158.8252116450177</v>
      </c>
      <c r="K32" s="21">
        <v>3497013.51</v>
      </c>
      <c r="L32" s="21">
        <v>3838097.49</v>
      </c>
      <c r="M32" s="25">
        <f t="shared" si="14"/>
        <v>-0.0888679823502869</v>
      </c>
      <c r="N32" s="10"/>
      <c r="R32" s="2"/>
    </row>
    <row r="33" spans="1:18" ht="15.75" customHeight="1">
      <c r="A33" s="19"/>
      <c r="B33" s="20">
        <f>DATE(2022,9,1)</f>
        <v>44805</v>
      </c>
      <c r="C33" s="21">
        <v>50523</v>
      </c>
      <c r="D33" s="21">
        <v>58084</v>
      </c>
      <c r="E33" s="23">
        <f t="shared" si="10"/>
        <v>-0.13017354176709592</v>
      </c>
      <c r="F33" s="21">
        <f>+C33-27954</f>
        <v>22569</v>
      </c>
      <c r="G33" s="21">
        <f>+D33-32339</f>
        <v>25745</v>
      </c>
      <c r="H33" s="23">
        <f t="shared" si="11"/>
        <v>-0.12336375995338901</v>
      </c>
      <c r="I33" s="24">
        <f t="shared" si="12"/>
        <v>71.1914227183659</v>
      </c>
      <c r="J33" s="24">
        <f t="shared" si="13"/>
        <v>159.36923434799948</v>
      </c>
      <c r="K33" s="21">
        <v>3596804.25</v>
      </c>
      <c r="L33" s="21">
        <v>4086616.29</v>
      </c>
      <c r="M33" s="25">
        <f t="shared" si="14"/>
        <v>-0.11985760473734128</v>
      </c>
      <c r="N33" s="10"/>
      <c r="R33" s="2"/>
    </row>
    <row r="34" spans="1:18" ht="15.75" customHeight="1">
      <c r="A34" s="19"/>
      <c r="B34" s="20">
        <f>DATE(2022,10,1)</f>
        <v>44835</v>
      </c>
      <c r="C34" s="21">
        <v>47473</v>
      </c>
      <c r="D34" s="21">
        <v>57860</v>
      </c>
      <c r="E34" s="23">
        <f t="shared" si="10"/>
        <v>-0.17951952989975803</v>
      </c>
      <c r="F34" s="21">
        <f>+C34-26103</f>
        <v>21370</v>
      </c>
      <c r="G34" s="21">
        <f>+D34-32287</f>
        <v>25573</v>
      </c>
      <c r="H34" s="23">
        <f t="shared" si="11"/>
        <v>-0.16435302858483558</v>
      </c>
      <c r="I34" s="24">
        <f t="shared" si="12"/>
        <v>70.76833652813178</v>
      </c>
      <c r="J34" s="24">
        <f t="shared" si="13"/>
        <v>157.21035283107162</v>
      </c>
      <c r="K34" s="21">
        <v>3359585.24</v>
      </c>
      <c r="L34" s="21">
        <v>4102964.61</v>
      </c>
      <c r="M34" s="25">
        <f t="shared" si="14"/>
        <v>-0.1811810338768678</v>
      </c>
      <c r="N34" s="10"/>
      <c r="R34" s="2"/>
    </row>
    <row r="35" spans="1:18" ht="15.75" customHeight="1">
      <c r="A35" s="19"/>
      <c r="B35" s="20">
        <f>DATE(2022,11,1)</f>
        <v>44866</v>
      </c>
      <c r="C35" s="21">
        <v>39425</v>
      </c>
      <c r="D35" s="21">
        <v>51753</v>
      </c>
      <c r="E35" s="23">
        <f t="shared" si="10"/>
        <v>-0.23820841303885765</v>
      </c>
      <c r="F35" s="21">
        <f>+C35-21931</f>
        <v>17494</v>
      </c>
      <c r="G35" s="21">
        <f>+D35-28958</f>
        <v>22795</v>
      </c>
      <c r="H35" s="23">
        <f t="shared" si="11"/>
        <v>-0.23255099802588286</v>
      </c>
      <c r="I35" s="24">
        <f t="shared" si="12"/>
        <v>78.5845882054534</v>
      </c>
      <c r="J35" s="24">
        <f t="shared" si="13"/>
        <v>177.10057105293245</v>
      </c>
      <c r="K35" s="21">
        <v>3098197.39</v>
      </c>
      <c r="L35" s="21">
        <v>3696376.98</v>
      </c>
      <c r="M35" s="25">
        <f t="shared" si="14"/>
        <v>-0.16182862117056032</v>
      </c>
      <c r="N35" s="10"/>
      <c r="R35" s="2"/>
    </row>
    <row r="36" spans="1:18" ht="15.75" customHeight="1">
      <c r="A36" s="19"/>
      <c r="B36" s="20">
        <f>DATE(2022,12,1)</f>
        <v>44896</v>
      </c>
      <c r="C36" s="21">
        <v>43315</v>
      </c>
      <c r="D36" s="21">
        <v>57109</v>
      </c>
      <c r="E36" s="23">
        <f t="shared" si="10"/>
        <v>-0.2415381113309636</v>
      </c>
      <c r="F36" s="21">
        <f>+C36-23779</f>
        <v>19536</v>
      </c>
      <c r="G36" s="21">
        <f>+D36-32118</f>
        <v>24991</v>
      </c>
      <c r="H36" s="23">
        <f t="shared" si="11"/>
        <v>-0.218278580288904</v>
      </c>
      <c r="I36" s="24">
        <f t="shared" si="12"/>
        <v>72.49898510908461</v>
      </c>
      <c r="J36" s="24">
        <f t="shared" si="13"/>
        <v>160.74393632268632</v>
      </c>
      <c r="K36" s="21">
        <v>3140293.54</v>
      </c>
      <c r="L36" s="21">
        <v>3934957.36</v>
      </c>
      <c r="M36" s="25">
        <f t="shared" si="14"/>
        <v>-0.2019497919032088</v>
      </c>
      <c r="N36" s="10"/>
      <c r="R36" s="2"/>
    </row>
    <row r="37" spans="1:18" ht="15.75" customHeight="1">
      <c r="A37" s="19"/>
      <c r="B37" s="20">
        <f>DATE(2023,1,1)</f>
        <v>44927</v>
      </c>
      <c r="C37" s="21">
        <v>50810</v>
      </c>
      <c r="D37" s="21">
        <v>47271</v>
      </c>
      <c r="E37" s="23">
        <f t="shared" si="10"/>
        <v>0.0748661970341224</v>
      </c>
      <c r="F37" s="21">
        <f>+C37-28221</f>
        <v>22589</v>
      </c>
      <c r="G37" s="21">
        <f>+D37-26698</f>
        <v>20573</v>
      </c>
      <c r="H37" s="23">
        <f t="shared" si="11"/>
        <v>0.09799251446070092</v>
      </c>
      <c r="I37" s="24">
        <f t="shared" si="12"/>
        <v>71.48021452469986</v>
      </c>
      <c r="J37" s="24">
        <f t="shared" si="13"/>
        <v>160.7822258621453</v>
      </c>
      <c r="K37" s="21">
        <v>3631909.7</v>
      </c>
      <c r="L37" s="21">
        <v>3435231.46</v>
      </c>
      <c r="M37" s="25">
        <f t="shared" si="14"/>
        <v>0.05725327166164233</v>
      </c>
      <c r="N37" s="10"/>
      <c r="R37" s="2"/>
    </row>
    <row r="38" spans="1:18" ht="15.75" customHeight="1">
      <c r="A38" s="19"/>
      <c r="B38" s="20">
        <f>DATE(2023,2,1)</f>
        <v>44958</v>
      </c>
      <c r="C38" s="21">
        <v>57307</v>
      </c>
      <c r="D38" s="21">
        <v>51279</v>
      </c>
      <c r="E38" s="23">
        <f t="shared" si="10"/>
        <v>0.117552994403167</v>
      </c>
      <c r="F38" s="21">
        <f>+C38-31374</f>
        <v>25933</v>
      </c>
      <c r="G38" s="21">
        <f>+D38-29313</f>
        <v>21966</v>
      </c>
      <c r="H38" s="23">
        <f t="shared" si="11"/>
        <v>0.18059728671583355</v>
      </c>
      <c r="I38" s="24">
        <f t="shared" si="12"/>
        <v>67.71290610222137</v>
      </c>
      <c r="J38" s="24">
        <f t="shared" si="13"/>
        <v>149.63264990552577</v>
      </c>
      <c r="K38" s="21">
        <v>3880423.51</v>
      </c>
      <c r="L38" s="21">
        <v>3789444.1</v>
      </c>
      <c r="M38" s="25">
        <f t="shared" si="14"/>
        <v>0.024008642850807504</v>
      </c>
      <c r="N38" s="10"/>
      <c r="R38" s="2"/>
    </row>
    <row r="39" spans="1:18" ht="15.75" customHeight="1" thickBot="1">
      <c r="A39" s="38"/>
      <c r="B39" s="20"/>
      <c r="C39" s="21"/>
      <c r="D39" s="21"/>
      <c r="E39" s="23"/>
      <c r="F39" s="21"/>
      <c r="G39" s="21"/>
      <c r="H39" s="23"/>
      <c r="I39" s="24"/>
      <c r="J39" s="24"/>
      <c r="K39" s="21"/>
      <c r="L39" s="21"/>
      <c r="M39" s="25"/>
      <c r="N39" s="10"/>
      <c r="R39" s="2"/>
    </row>
    <row r="40" spans="1:18" ht="17.25" customHeight="1" thickBot="1" thickTop="1">
      <c r="A40" s="39" t="s">
        <v>14</v>
      </c>
      <c r="B40" s="40"/>
      <c r="C40" s="41">
        <f>SUM(C31:C39)</f>
        <v>395066</v>
      </c>
      <c r="D40" s="41">
        <f>SUM(D31:D39)</f>
        <v>446305</v>
      </c>
      <c r="E40" s="280">
        <f>(+C40-D40)/D40</f>
        <v>-0.1148071386159689</v>
      </c>
      <c r="F40" s="41">
        <f>SUM(F31:F39)</f>
        <v>176280</v>
      </c>
      <c r="G40" s="41">
        <f>SUM(G31:G39)</f>
        <v>196332</v>
      </c>
      <c r="H40" s="42">
        <f>(+F40-G40)/G40</f>
        <v>-0.1021331214473443</v>
      </c>
      <c r="I40" s="43">
        <f>K40/C40</f>
        <v>70.85079414578829</v>
      </c>
      <c r="J40" s="43">
        <f>K40/F40</f>
        <v>158.78568096210572</v>
      </c>
      <c r="K40" s="41">
        <f>SUM(K31:K39)</f>
        <v>27990739.839999996</v>
      </c>
      <c r="L40" s="41">
        <f>SUM(L31:L39)</f>
        <v>31483206.240000002</v>
      </c>
      <c r="M40" s="44">
        <f>(+K40-L40)/L40</f>
        <v>-0.11093109047968444</v>
      </c>
      <c r="N40" s="10"/>
      <c r="R40" s="2"/>
    </row>
    <row r="41" spans="1:18" ht="15.75" customHeight="1" thickTop="1">
      <c r="A41" s="38"/>
      <c r="B41" s="45"/>
      <c r="C41" s="21"/>
      <c r="D41" s="21"/>
      <c r="E41" s="23"/>
      <c r="F41" s="21"/>
      <c r="G41" s="21"/>
      <c r="H41" s="23"/>
      <c r="I41" s="24"/>
      <c r="J41" s="24"/>
      <c r="K41" s="21"/>
      <c r="L41" s="21"/>
      <c r="M41" s="25"/>
      <c r="N41" s="10"/>
      <c r="R41" s="2"/>
    </row>
    <row r="42" spans="1:18" ht="15.75" customHeight="1">
      <c r="A42" s="177" t="s">
        <v>58</v>
      </c>
      <c r="B42" s="20">
        <f>DATE(2022,7,1)</f>
        <v>44743</v>
      </c>
      <c r="C42" s="21">
        <v>327697</v>
      </c>
      <c r="D42" s="21">
        <v>337225</v>
      </c>
      <c r="E42" s="23">
        <f aca="true" t="shared" si="15" ref="E42:E49">(+C42-D42)/D42</f>
        <v>-0.028254132997257025</v>
      </c>
      <c r="F42" s="21">
        <f>+C42-165744</f>
        <v>161953</v>
      </c>
      <c r="G42" s="21">
        <f>+D42-176904</f>
        <v>160321</v>
      </c>
      <c r="H42" s="23">
        <f aca="true" t="shared" si="16" ref="H42:H49">(+F42-G42)/G42</f>
        <v>0.010179577223195964</v>
      </c>
      <c r="I42" s="24">
        <f aca="true" t="shared" si="17" ref="I42:I49">K42/C42</f>
        <v>65.31661333487948</v>
      </c>
      <c r="J42" s="24">
        <f aca="true" t="shared" si="18" ref="J42:J49">K42/F42</f>
        <v>132.16215963890758</v>
      </c>
      <c r="K42" s="21">
        <v>21404058.24</v>
      </c>
      <c r="L42" s="21">
        <v>19292691.57</v>
      </c>
      <c r="M42" s="25">
        <f aca="true" t="shared" si="19" ref="M42:M49">(+K42-L42)/L42</f>
        <v>0.10943867849331912</v>
      </c>
      <c r="N42" s="10"/>
      <c r="R42" s="2"/>
    </row>
    <row r="43" spans="1:18" ht="15.75" customHeight="1">
      <c r="A43" s="177"/>
      <c r="B43" s="20">
        <f>DATE(2022,8,1)</f>
        <v>44774</v>
      </c>
      <c r="C43" s="21">
        <v>302775</v>
      </c>
      <c r="D43" s="21">
        <v>302300</v>
      </c>
      <c r="E43" s="23">
        <f t="shared" si="15"/>
        <v>0.00157128680119087</v>
      </c>
      <c r="F43" s="21">
        <f>+C43-150422</f>
        <v>152353</v>
      </c>
      <c r="G43" s="21">
        <f>+D43-157033</f>
        <v>145267</v>
      </c>
      <c r="H43" s="23">
        <f t="shared" si="16"/>
        <v>0.04877914460958098</v>
      </c>
      <c r="I43" s="24">
        <f t="shared" si="17"/>
        <v>63.88017115019404</v>
      </c>
      <c r="J43" s="24">
        <f t="shared" si="18"/>
        <v>126.950692273864</v>
      </c>
      <c r="K43" s="21">
        <v>19341318.82</v>
      </c>
      <c r="L43" s="21">
        <v>17616276.93</v>
      </c>
      <c r="M43" s="25">
        <f t="shared" si="19"/>
        <v>0.0979231818876726</v>
      </c>
      <c r="N43" s="10"/>
      <c r="R43" s="2"/>
    </row>
    <row r="44" spans="1:18" ht="15.75" customHeight="1">
      <c r="A44" s="177"/>
      <c r="B44" s="20">
        <f>DATE(2022,9,1)</f>
        <v>44805</v>
      </c>
      <c r="C44" s="21">
        <v>299586</v>
      </c>
      <c r="D44" s="21">
        <v>336142</v>
      </c>
      <c r="E44" s="23">
        <f t="shared" si="15"/>
        <v>-0.10875165852526611</v>
      </c>
      <c r="F44" s="21">
        <f>+C44-150974</f>
        <v>148612</v>
      </c>
      <c r="G44" s="21">
        <f>+D44-171648</f>
        <v>164494</v>
      </c>
      <c r="H44" s="23">
        <f t="shared" si="16"/>
        <v>-0.09655063406568021</v>
      </c>
      <c r="I44" s="24">
        <f t="shared" si="17"/>
        <v>70.61192689244491</v>
      </c>
      <c r="J44" s="24">
        <f t="shared" si="18"/>
        <v>142.3461411595295</v>
      </c>
      <c r="K44" s="21">
        <v>21154344.73</v>
      </c>
      <c r="L44" s="21">
        <v>19389436.62</v>
      </c>
      <c r="M44" s="25">
        <f t="shared" si="19"/>
        <v>0.09102420790192094</v>
      </c>
      <c r="N44" s="10"/>
      <c r="R44" s="2"/>
    </row>
    <row r="45" spans="1:18" ht="15.75" customHeight="1">
      <c r="A45" s="177"/>
      <c r="B45" s="20">
        <f>DATE(2022,10,1)</f>
        <v>44835</v>
      </c>
      <c r="C45" s="21">
        <v>280901</v>
      </c>
      <c r="D45" s="21">
        <v>333807</v>
      </c>
      <c r="E45" s="23">
        <f t="shared" si="15"/>
        <v>-0.15849278175712314</v>
      </c>
      <c r="F45" s="21">
        <f>+C45-143073</f>
        <v>137828</v>
      </c>
      <c r="G45" s="21">
        <f>+D45-175822</f>
        <v>157985</v>
      </c>
      <c r="H45" s="23">
        <f t="shared" si="16"/>
        <v>-0.1275880621577998</v>
      </c>
      <c r="I45" s="24">
        <f t="shared" si="17"/>
        <v>68.5524437435253</v>
      </c>
      <c r="J45" s="24">
        <f t="shared" si="18"/>
        <v>139.71362858054968</v>
      </c>
      <c r="K45" s="21">
        <v>19256450</v>
      </c>
      <c r="L45" s="21">
        <v>19174424.98</v>
      </c>
      <c r="M45" s="25">
        <f t="shared" si="19"/>
        <v>0.004277834672255165</v>
      </c>
      <c r="N45" s="10"/>
      <c r="R45" s="2"/>
    </row>
    <row r="46" spans="1:18" ht="15.75" customHeight="1">
      <c r="A46" s="177"/>
      <c r="B46" s="20">
        <f>DATE(2022,11,1)</f>
        <v>44866</v>
      </c>
      <c r="C46" s="21">
        <v>277702</v>
      </c>
      <c r="D46" s="21">
        <v>303436</v>
      </c>
      <c r="E46" s="23">
        <f t="shared" si="15"/>
        <v>-0.08480865816844409</v>
      </c>
      <c r="F46" s="21">
        <f>+C46-138977</f>
        <v>138725</v>
      </c>
      <c r="G46" s="21">
        <f>+D46-164494</f>
        <v>138942</v>
      </c>
      <c r="H46" s="23">
        <f t="shared" si="16"/>
        <v>-0.0015618027666220438</v>
      </c>
      <c r="I46" s="24">
        <f t="shared" si="17"/>
        <v>64.54274801765922</v>
      </c>
      <c r="J46" s="24">
        <f t="shared" si="18"/>
        <v>129.2027407460804</v>
      </c>
      <c r="K46" s="21">
        <v>17923650.21</v>
      </c>
      <c r="L46" s="21">
        <v>18834359.64</v>
      </c>
      <c r="M46" s="25">
        <f t="shared" si="19"/>
        <v>-0.04835361793059611</v>
      </c>
      <c r="N46" s="10"/>
      <c r="R46" s="2"/>
    </row>
    <row r="47" spans="1:18" ht="15.75" customHeight="1">
      <c r="A47" s="177"/>
      <c r="B47" s="20">
        <f>DATE(2022,12,1)</f>
        <v>44896</v>
      </c>
      <c r="C47" s="21">
        <v>302510</v>
      </c>
      <c r="D47" s="21">
        <v>313897</v>
      </c>
      <c r="E47" s="23">
        <f t="shared" si="15"/>
        <v>-0.03627623073810836</v>
      </c>
      <c r="F47" s="21">
        <f>+C47-154252</f>
        <v>148258</v>
      </c>
      <c r="G47" s="21">
        <f>+D47-163677</f>
        <v>150220</v>
      </c>
      <c r="H47" s="23">
        <f t="shared" si="16"/>
        <v>-0.013060844095326854</v>
      </c>
      <c r="I47" s="24">
        <f t="shared" si="17"/>
        <v>66.8517256619616</v>
      </c>
      <c r="J47" s="24">
        <f t="shared" si="18"/>
        <v>136.40623460454074</v>
      </c>
      <c r="K47" s="21">
        <v>20223315.53</v>
      </c>
      <c r="L47" s="21">
        <v>20352135.72</v>
      </c>
      <c r="M47" s="25">
        <f t="shared" si="19"/>
        <v>-0.006329566182747411</v>
      </c>
      <c r="N47" s="10"/>
      <c r="R47" s="2"/>
    </row>
    <row r="48" spans="1:18" ht="15.75" customHeight="1">
      <c r="A48" s="177"/>
      <c r="B48" s="20">
        <f>DATE(2023,1,1)</f>
        <v>44927</v>
      </c>
      <c r="C48" s="21">
        <v>303832</v>
      </c>
      <c r="D48" s="21">
        <v>284315</v>
      </c>
      <c r="E48" s="23">
        <f t="shared" si="15"/>
        <v>0.06864569227793117</v>
      </c>
      <c r="F48" s="21">
        <f>+C48-157346</f>
        <v>146486</v>
      </c>
      <c r="G48" s="21">
        <f>+D48-147505</f>
        <v>136810</v>
      </c>
      <c r="H48" s="23">
        <f t="shared" si="16"/>
        <v>0.0707258241356626</v>
      </c>
      <c r="I48" s="24">
        <f t="shared" si="17"/>
        <v>62.243780576107845</v>
      </c>
      <c r="J48" s="24">
        <f t="shared" si="18"/>
        <v>129.10211446827682</v>
      </c>
      <c r="K48" s="21">
        <v>18911652.34</v>
      </c>
      <c r="L48" s="21">
        <v>18953051.14</v>
      </c>
      <c r="M48" s="25">
        <f t="shared" si="19"/>
        <v>-0.0021842815541519584</v>
      </c>
      <c r="N48" s="10"/>
      <c r="R48" s="2"/>
    </row>
    <row r="49" spans="1:18" ht="15.75" customHeight="1">
      <c r="A49" s="177"/>
      <c r="B49" s="20">
        <f>DATE(2023,2,1)</f>
        <v>44958</v>
      </c>
      <c r="C49" s="21">
        <v>310506</v>
      </c>
      <c r="D49" s="21">
        <v>279152</v>
      </c>
      <c r="E49" s="23">
        <f t="shared" si="15"/>
        <v>0.1123187367455723</v>
      </c>
      <c r="F49" s="21">
        <f>+C49-160719</f>
        <v>149787</v>
      </c>
      <c r="G49" s="21">
        <f>+D49-149732</f>
        <v>129420</v>
      </c>
      <c r="H49" s="23">
        <f t="shared" si="16"/>
        <v>0.15737134909596662</v>
      </c>
      <c r="I49" s="24">
        <f t="shared" si="17"/>
        <v>62.29966457975047</v>
      </c>
      <c r="J49" s="24">
        <f t="shared" si="18"/>
        <v>129.14618524972127</v>
      </c>
      <c r="K49" s="21">
        <v>19344419.65</v>
      </c>
      <c r="L49" s="21">
        <v>17585750.39</v>
      </c>
      <c r="M49" s="25">
        <f t="shared" si="19"/>
        <v>0.10000535780378479</v>
      </c>
      <c r="N49" s="10"/>
      <c r="R49" s="2"/>
    </row>
    <row r="50" spans="1:18" ht="15" thickBot="1">
      <c r="A50" s="38"/>
      <c r="B50" s="45"/>
      <c r="C50" s="21"/>
      <c r="D50" s="21"/>
      <c r="E50" s="23"/>
      <c r="F50" s="21"/>
      <c r="G50" s="21"/>
      <c r="H50" s="23"/>
      <c r="I50" s="24"/>
      <c r="J50" s="24"/>
      <c r="K50" s="21"/>
      <c r="L50" s="21"/>
      <c r="M50" s="25"/>
      <c r="N50" s="10"/>
      <c r="R50" s="2"/>
    </row>
    <row r="51" spans="1:18" ht="16.5" thickBot="1" thickTop="1">
      <c r="A51" s="39" t="s">
        <v>14</v>
      </c>
      <c r="B51" s="40"/>
      <c r="C51" s="41">
        <f>SUM(C42:C50)</f>
        <v>2405509</v>
      </c>
      <c r="D51" s="41">
        <f>SUM(D42:D50)</f>
        <v>2490274</v>
      </c>
      <c r="E51" s="280">
        <f>(+C51-D51)/D51</f>
        <v>-0.03403842308115493</v>
      </c>
      <c r="F51" s="41">
        <f>SUM(F42:F50)</f>
        <v>1184002</v>
      </c>
      <c r="G51" s="41">
        <f>SUM(G42:G50)</f>
        <v>1183459</v>
      </c>
      <c r="H51" s="42">
        <f>(+F51-G51)/G51</f>
        <v>0.00045882451356574243</v>
      </c>
      <c r="I51" s="43">
        <f>K51/C51</f>
        <v>65.49932239704778</v>
      </c>
      <c r="J51" s="43">
        <f>K51/F51</f>
        <v>133.07343190298667</v>
      </c>
      <c r="K51" s="41">
        <f>SUM(K42:K50)</f>
        <v>157559209.52</v>
      </c>
      <c r="L51" s="41">
        <f>SUM(L42:L50)</f>
        <v>151198126.99</v>
      </c>
      <c r="M51" s="44">
        <f>(+K51-L51)/L51</f>
        <v>0.042071172815657386</v>
      </c>
      <c r="N51" s="10"/>
      <c r="R51" s="2"/>
    </row>
    <row r="52" spans="1:18" ht="15" thickTop="1">
      <c r="A52" s="38"/>
      <c r="B52" s="45"/>
      <c r="C52" s="21"/>
      <c r="D52" s="21"/>
      <c r="E52" s="23"/>
      <c r="F52" s="21"/>
      <c r="G52" s="21"/>
      <c r="H52" s="23"/>
      <c r="I52" s="24"/>
      <c r="J52" s="24"/>
      <c r="K52" s="21"/>
      <c r="L52" s="21"/>
      <c r="M52" s="25"/>
      <c r="N52" s="10"/>
      <c r="R52" s="2"/>
    </row>
    <row r="53" spans="1:18" ht="15">
      <c r="A53" s="19" t="s">
        <v>60</v>
      </c>
      <c r="B53" s="20">
        <f>DATE(2022,7,1)</f>
        <v>44743</v>
      </c>
      <c r="C53" s="21">
        <v>219130</v>
      </c>
      <c r="D53" s="21">
        <v>256229</v>
      </c>
      <c r="E53" s="23">
        <f aca="true" t="shared" si="20" ref="E53:E60">(+C53-D53)/D53</f>
        <v>-0.14478845095598078</v>
      </c>
      <c r="F53" s="21">
        <f>+C53-103416</f>
        <v>115714</v>
      </c>
      <c r="G53" s="21">
        <f>+D53-120621</f>
        <v>135608</v>
      </c>
      <c r="H53" s="23">
        <f aca="true" t="shared" si="21" ref="H53:H60">(+F53-G53)/G53</f>
        <v>-0.14670225945371954</v>
      </c>
      <c r="I53" s="24">
        <f aca="true" t="shared" si="22" ref="I53:I60">K53/C53</f>
        <v>68.78706274814037</v>
      </c>
      <c r="J53" s="24">
        <f aca="true" t="shared" si="23" ref="J53:J60">K53/F53</f>
        <v>130.2634863542873</v>
      </c>
      <c r="K53" s="21">
        <v>15073309.06</v>
      </c>
      <c r="L53" s="21">
        <v>16211316.17</v>
      </c>
      <c r="M53" s="25">
        <f aca="true" t="shared" si="24" ref="M53:M60">(+K53-L53)/L53</f>
        <v>-0.07019831690815759</v>
      </c>
      <c r="N53" s="10"/>
      <c r="R53" s="2"/>
    </row>
    <row r="54" spans="1:18" ht="15">
      <c r="A54" s="19"/>
      <c r="B54" s="20">
        <f>DATE(2022,8,1)</f>
        <v>44774</v>
      </c>
      <c r="C54" s="21">
        <v>204381</v>
      </c>
      <c r="D54" s="21">
        <v>232853</v>
      </c>
      <c r="E54" s="23">
        <f t="shared" si="20"/>
        <v>-0.12227456807513754</v>
      </c>
      <c r="F54" s="21">
        <f>+C54-97907</f>
        <v>106474</v>
      </c>
      <c r="G54" s="21">
        <f>+D54-112411</f>
        <v>120442</v>
      </c>
      <c r="H54" s="23">
        <f t="shared" si="21"/>
        <v>-0.11597283339698776</v>
      </c>
      <c r="I54" s="24">
        <f t="shared" si="22"/>
        <v>74.90397996878379</v>
      </c>
      <c r="J54" s="24">
        <f t="shared" si="23"/>
        <v>143.78111398087796</v>
      </c>
      <c r="K54" s="21">
        <v>15308950.33</v>
      </c>
      <c r="L54" s="21">
        <v>13388857.55</v>
      </c>
      <c r="M54" s="25">
        <f t="shared" si="24"/>
        <v>0.1434097549271483</v>
      </c>
      <c r="N54" s="10"/>
      <c r="R54" s="2"/>
    </row>
    <row r="55" spans="1:18" ht="15">
      <c r="A55" s="19"/>
      <c r="B55" s="20">
        <f>DATE(2022,9,1)</f>
        <v>44805</v>
      </c>
      <c r="C55" s="21">
        <v>195879</v>
      </c>
      <c r="D55" s="21">
        <v>224419</v>
      </c>
      <c r="E55" s="23">
        <f t="shared" si="20"/>
        <v>-0.12717283295977613</v>
      </c>
      <c r="F55" s="21">
        <f>+C55-93599</f>
        <v>102280</v>
      </c>
      <c r="G55" s="21">
        <f>+D55-105923</f>
        <v>118496</v>
      </c>
      <c r="H55" s="23">
        <f t="shared" si="21"/>
        <v>-0.1368485012152309</v>
      </c>
      <c r="I55" s="24">
        <f t="shared" si="22"/>
        <v>70.69372066428765</v>
      </c>
      <c r="J55" s="24">
        <f t="shared" si="23"/>
        <v>135.387322154869</v>
      </c>
      <c r="K55" s="21">
        <v>13847415.31</v>
      </c>
      <c r="L55" s="21">
        <v>14489840.68</v>
      </c>
      <c r="M55" s="25">
        <f t="shared" si="24"/>
        <v>-0.044336261811817185</v>
      </c>
      <c r="N55" s="10"/>
      <c r="R55" s="2"/>
    </row>
    <row r="56" spans="1:18" ht="15">
      <c r="A56" s="19"/>
      <c r="B56" s="20">
        <f>DATE(2022,10,1)</f>
        <v>44835</v>
      </c>
      <c r="C56" s="21">
        <v>197679</v>
      </c>
      <c r="D56" s="21">
        <v>231892</v>
      </c>
      <c r="E56" s="23">
        <f t="shared" si="20"/>
        <v>-0.14753850930605628</v>
      </c>
      <c r="F56" s="21">
        <f>+C56-94885</f>
        <v>102794</v>
      </c>
      <c r="G56" s="21">
        <f>+D56-109202</f>
        <v>122690</v>
      </c>
      <c r="H56" s="23">
        <f t="shared" si="21"/>
        <v>-0.16216480560762897</v>
      </c>
      <c r="I56" s="24">
        <f t="shared" si="22"/>
        <v>60.34940787842917</v>
      </c>
      <c r="J56" s="24">
        <f t="shared" si="23"/>
        <v>116.05551491332179</v>
      </c>
      <c r="K56" s="21">
        <v>11929810.6</v>
      </c>
      <c r="L56" s="21">
        <v>14909962.77</v>
      </c>
      <c r="M56" s="25">
        <f t="shared" si="24"/>
        <v>-0.19987656682793983</v>
      </c>
      <c r="N56" s="10"/>
      <c r="R56" s="2"/>
    </row>
    <row r="57" spans="1:18" ht="15">
      <c r="A57" s="19"/>
      <c r="B57" s="20">
        <f>DATE(2022,11,1)</f>
        <v>44866</v>
      </c>
      <c r="C57" s="21">
        <v>191977</v>
      </c>
      <c r="D57" s="21">
        <v>219677</v>
      </c>
      <c r="E57" s="23">
        <f t="shared" si="20"/>
        <v>-0.12609422015049368</v>
      </c>
      <c r="F57" s="21">
        <f>+C57-91569</f>
        <v>100408</v>
      </c>
      <c r="G57" s="21">
        <f>+D57-102367</f>
        <v>117310</v>
      </c>
      <c r="H57" s="23">
        <f t="shared" si="21"/>
        <v>-0.14407978859432274</v>
      </c>
      <c r="I57" s="24">
        <f t="shared" si="22"/>
        <v>73.44212129578023</v>
      </c>
      <c r="J57" s="24">
        <f t="shared" si="23"/>
        <v>140.41907138873395</v>
      </c>
      <c r="K57" s="21">
        <v>14099198.12</v>
      </c>
      <c r="L57" s="21">
        <v>15078789.92</v>
      </c>
      <c r="M57" s="25">
        <f t="shared" si="24"/>
        <v>-0.06496488147903057</v>
      </c>
      <c r="N57" s="10"/>
      <c r="R57" s="2"/>
    </row>
    <row r="58" spans="1:18" ht="15">
      <c r="A58" s="19"/>
      <c r="B58" s="20">
        <f>DATE(2022,12,1)</f>
        <v>44896</v>
      </c>
      <c r="C58" s="21">
        <v>193245</v>
      </c>
      <c r="D58" s="21">
        <v>233380</v>
      </c>
      <c r="E58" s="23">
        <f t="shared" si="20"/>
        <v>-0.17197274830748135</v>
      </c>
      <c r="F58" s="21">
        <f>+C58-93799</f>
        <v>99446</v>
      </c>
      <c r="G58" s="21">
        <f>+D58-110272</f>
        <v>123108</v>
      </c>
      <c r="H58" s="23">
        <f t="shared" si="21"/>
        <v>-0.19220521818240893</v>
      </c>
      <c r="I58" s="24">
        <f t="shared" si="22"/>
        <v>76.36663561799787</v>
      </c>
      <c r="J58" s="24">
        <f t="shared" si="23"/>
        <v>148.39682340164512</v>
      </c>
      <c r="K58" s="21">
        <v>14757470.5</v>
      </c>
      <c r="L58" s="21">
        <v>14821041.2</v>
      </c>
      <c r="M58" s="25">
        <f t="shared" si="24"/>
        <v>-0.004289219572508796</v>
      </c>
      <c r="N58" s="10"/>
      <c r="R58" s="2"/>
    </row>
    <row r="59" spans="1:18" ht="15">
      <c r="A59" s="19"/>
      <c r="B59" s="20">
        <f>DATE(2023,1,1)</f>
        <v>44927</v>
      </c>
      <c r="C59" s="21">
        <v>186881</v>
      </c>
      <c r="D59" s="21">
        <v>196225</v>
      </c>
      <c r="E59" s="23">
        <f t="shared" si="20"/>
        <v>-0.04761880494330488</v>
      </c>
      <c r="F59" s="21">
        <f>+C59-92185</f>
        <v>94696</v>
      </c>
      <c r="G59" s="21">
        <f>+D59-96553</f>
        <v>99672</v>
      </c>
      <c r="H59" s="23">
        <f t="shared" si="21"/>
        <v>-0.04992374989967092</v>
      </c>
      <c r="I59" s="24">
        <f t="shared" si="22"/>
        <v>75.54736998410753</v>
      </c>
      <c r="J59" s="24">
        <f t="shared" si="23"/>
        <v>149.09149330489146</v>
      </c>
      <c r="K59" s="21">
        <v>14118368.05</v>
      </c>
      <c r="L59" s="21">
        <v>13979337.13</v>
      </c>
      <c r="M59" s="25">
        <f t="shared" si="24"/>
        <v>0.009945458694292175</v>
      </c>
      <c r="N59" s="10"/>
      <c r="R59" s="2"/>
    </row>
    <row r="60" spans="1:18" ht="15">
      <c r="A60" s="19"/>
      <c r="B60" s="20">
        <f>DATE(2023,2,1)</f>
        <v>44958</v>
      </c>
      <c r="C60" s="21">
        <v>182698</v>
      </c>
      <c r="D60" s="21">
        <v>198005</v>
      </c>
      <c r="E60" s="23">
        <f t="shared" si="20"/>
        <v>-0.07730612863311533</v>
      </c>
      <c r="F60" s="21">
        <f>+C60-88434</f>
        <v>94264</v>
      </c>
      <c r="G60" s="21">
        <f>+D60-96853</f>
        <v>101152</v>
      </c>
      <c r="H60" s="23">
        <f t="shared" si="21"/>
        <v>-0.06809553938627017</v>
      </c>
      <c r="I60" s="24">
        <f t="shared" si="22"/>
        <v>74.94019704649202</v>
      </c>
      <c r="J60" s="24">
        <f t="shared" si="23"/>
        <v>145.2455244844267</v>
      </c>
      <c r="K60" s="21">
        <v>13691424.12</v>
      </c>
      <c r="L60" s="21">
        <v>12112080.02</v>
      </c>
      <c r="M60" s="25">
        <f t="shared" si="24"/>
        <v>0.13039412697010894</v>
      </c>
      <c r="N60" s="10"/>
      <c r="R60" s="2"/>
    </row>
    <row r="61" spans="1:18" ht="15" thickBot="1">
      <c r="A61" s="38"/>
      <c r="B61" s="20"/>
      <c r="C61" s="21"/>
      <c r="D61" s="21"/>
      <c r="E61" s="23"/>
      <c r="F61" s="21"/>
      <c r="G61" s="21"/>
      <c r="H61" s="23"/>
      <c r="I61" s="24"/>
      <c r="J61" s="24"/>
      <c r="K61" s="21"/>
      <c r="L61" s="21"/>
      <c r="M61" s="25"/>
      <c r="N61" s="10"/>
      <c r="R61" s="2"/>
    </row>
    <row r="62" spans="1:18" ht="16.5" thickBot="1" thickTop="1">
      <c r="A62" s="39" t="s">
        <v>14</v>
      </c>
      <c r="B62" s="40"/>
      <c r="C62" s="41">
        <f>SUM(C53:C61)</f>
        <v>1571870</v>
      </c>
      <c r="D62" s="41">
        <f>SUM(D53:D61)</f>
        <v>1792680</v>
      </c>
      <c r="E62" s="281">
        <f>(+C62-D62)/D62</f>
        <v>-0.1231731262690497</v>
      </c>
      <c r="F62" s="47">
        <f>SUM(F53:F61)</f>
        <v>816076</v>
      </c>
      <c r="G62" s="48">
        <f>SUM(G53:G61)</f>
        <v>938478</v>
      </c>
      <c r="H62" s="49">
        <f>(+F62-G62)/G62</f>
        <v>-0.1304260728541319</v>
      </c>
      <c r="I62" s="50">
        <f>K62/C62</f>
        <v>71.77816619058828</v>
      </c>
      <c r="J62" s="51">
        <f>K62/F62</f>
        <v>138.2542141785814</v>
      </c>
      <c r="K62" s="48">
        <f>SUM(K53:K61)</f>
        <v>112825946.09</v>
      </c>
      <c r="L62" s="47">
        <f>SUM(L53:L61)</f>
        <v>114991225.44</v>
      </c>
      <c r="M62" s="44">
        <f>(+K62-L62)/L62</f>
        <v>-0.018829952822181126</v>
      </c>
      <c r="N62" s="10"/>
      <c r="R62" s="2"/>
    </row>
    <row r="63" spans="1:18" ht="15.75" customHeight="1" thickTop="1">
      <c r="A63" s="273"/>
      <c r="B63" s="45"/>
      <c r="C63" s="21"/>
      <c r="D63" s="21"/>
      <c r="E63" s="23"/>
      <c r="F63" s="21"/>
      <c r="G63" s="21"/>
      <c r="H63" s="23"/>
      <c r="I63" s="24"/>
      <c r="J63" s="24"/>
      <c r="K63" s="21"/>
      <c r="L63" s="21"/>
      <c r="M63" s="25"/>
      <c r="N63" s="10"/>
      <c r="R63" s="2"/>
    </row>
    <row r="64" spans="1:18" ht="15">
      <c r="A64" s="274" t="s">
        <v>61</v>
      </c>
      <c r="B64" s="20">
        <f>DATE(2022,7,1)</f>
        <v>44743</v>
      </c>
      <c r="C64" s="21">
        <v>95268</v>
      </c>
      <c r="D64" s="21">
        <v>104293</v>
      </c>
      <c r="E64" s="23">
        <f aca="true" t="shared" si="25" ref="E64:E71">(+C64-D64)/D64</f>
        <v>-0.08653505029100707</v>
      </c>
      <c r="F64" s="21">
        <f>+C64-47922</f>
        <v>47346</v>
      </c>
      <c r="G64" s="21">
        <f>+D64-51816</f>
        <v>52477</v>
      </c>
      <c r="H64" s="23">
        <f aca="true" t="shared" si="26" ref="H64:H71">(+F64-G64)/G64</f>
        <v>-0.09777616860719934</v>
      </c>
      <c r="I64" s="24">
        <f aca="true" t="shared" si="27" ref="I64:I71">K64/C64</f>
        <v>65.71094281395641</v>
      </c>
      <c r="J64" s="24">
        <f aca="true" t="shared" si="28" ref="J64:J71">K64/F64</f>
        <v>132.22130908630083</v>
      </c>
      <c r="K64" s="21">
        <v>6260150.1</v>
      </c>
      <c r="L64" s="21">
        <v>6473124.34</v>
      </c>
      <c r="M64" s="25">
        <f aca="true" t="shared" si="29" ref="M64:M71">(+K64-L64)/L64</f>
        <v>-0.03290130527602382</v>
      </c>
      <c r="N64" s="10"/>
      <c r="R64" s="2"/>
    </row>
    <row r="65" spans="1:18" ht="15">
      <c r="A65" s="274"/>
      <c r="B65" s="20">
        <f>DATE(2022,8,1)</f>
        <v>44774</v>
      </c>
      <c r="C65" s="21">
        <v>85206</v>
      </c>
      <c r="D65" s="21">
        <v>93122</v>
      </c>
      <c r="E65" s="23">
        <f t="shared" si="25"/>
        <v>-0.08500676531861429</v>
      </c>
      <c r="F65" s="21">
        <f>+C65-42477</f>
        <v>42729</v>
      </c>
      <c r="G65" s="21">
        <f>+D65-46288</f>
        <v>46834</v>
      </c>
      <c r="H65" s="23">
        <f t="shared" si="26"/>
        <v>-0.08764999786479907</v>
      </c>
      <c r="I65" s="24">
        <f t="shared" si="27"/>
        <v>64.14037262634086</v>
      </c>
      <c r="J65" s="24">
        <f t="shared" si="28"/>
        <v>127.90246881509044</v>
      </c>
      <c r="K65" s="21">
        <v>5465144.59</v>
      </c>
      <c r="L65" s="21">
        <v>5866516.67</v>
      </c>
      <c r="M65" s="25">
        <f t="shared" si="29"/>
        <v>-0.06841744472533819</v>
      </c>
      <c r="N65" s="10"/>
      <c r="R65" s="2"/>
    </row>
    <row r="66" spans="1:18" ht="15">
      <c r="A66" s="274"/>
      <c r="B66" s="20">
        <f>DATE(2022,9,1)</f>
        <v>44805</v>
      </c>
      <c r="C66" s="21">
        <v>84321</v>
      </c>
      <c r="D66" s="21">
        <v>92204</v>
      </c>
      <c r="E66" s="23">
        <f t="shared" si="25"/>
        <v>-0.08549520628172314</v>
      </c>
      <c r="F66" s="21">
        <f>+C66-41917</f>
        <v>42404</v>
      </c>
      <c r="G66" s="21">
        <f>+D66-46055</f>
        <v>46149</v>
      </c>
      <c r="H66" s="23">
        <f t="shared" si="26"/>
        <v>-0.08115018743634748</v>
      </c>
      <c r="I66" s="24">
        <f t="shared" si="27"/>
        <v>63.81375695259781</v>
      </c>
      <c r="J66" s="24">
        <f t="shared" si="28"/>
        <v>126.89462786529572</v>
      </c>
      <c r="K66" s="21">
        <v>5380839.8</v>
      </c>
      <c r="L66" s="21">
        <v>5989167.16</v>
      </c>
      <c r="M66" s="25">
        <f t="shared" si="29"/>
        <v>-0.10157127756641214</v>
      </c>
      <c r="N66" s="10"/>
      <c r="R66" s="2"/>
    </row>
    <row r="67" spans="1:18" ht="15">
      <c r="A67" s="274"/>
      <c r="B67" s="20">
        <f>DATE(2022,10,1)</f>
        <v>44835</v>
      </c>
      <c r="C67" s="21">
        <v>85227</v>
      </c>
      <c r="D67" s="21">
        <v>93325</v>
      </c>
      <c r="E67" s="23">
        <f t="shared" si="25"/>
        <v>-0.08677203321725153</v>
      </c>
      <c r="F67" s="21">
        <f>+C67-43095</f>
        <v>42132</v>
      </c>
      <c r="G67" s="21">
        <f>+D67-46461</f>
        <v>46864</v>
      </c>
      <c r="H67" s="23">
        <f t="shared" si="26"/>
        <v>-0.10097302833731649</v>
      </c>
      <c r="I67" s="24">
        <f t="shared" si="27"/>
        <v>64.75007004822415</v>
      </c>
      <c r="J67" s="24">
        <f t="shared" si="28"/>
        <v>130.98011535175164</v>
      </c>
      <c r="K67" s="21">
        <v>5518454.22</v>
      </c>
      <c r="L67" s="21">
        <v>5764730.81</v>
      </c>
      <c r="M67" s="25">
        <f t="shared" si="29"/>
        <v>-0.04272126455111958</v>
      </c>
      <c r="N67" s="10"/>
      <c r="R67" s="2"/>
    </row>
    <row r="68" spans="1:18" ht="15">
      <c r="A68" s="274"/>
      <c r="B68" s="20">
        <f>DATE(2022,11,1)</f>
        <v>44866</v>
      </c>
      <c r="C68" s="21">
        <v>76718</v>
      </c>
      <c r="D68" s="21">
        <v>87600</v>
      </c>
      <c r="E68" s="23">
        <f t="shared" si="25"/>
        <v>-0.12422374429223744</v>
      </c>
      <c r="F68" s="21">
        <f>+C68-38746</f>
        <v>37972</v>
      </c>
      <c r="G68" s="21">
        <f>+D68-43575</f>
        <v>44025</v>
      </c>
      <c r="H68" s="23">
        <f t="shared" si="26"/>
        <v>-0.1374900624645088</v>
      </c>
      <c r="I68" s="24">
        <f t="shared" si="27"/>
        <v>66.23264462055842</v>
      </c>
      <c r="J68" s="24">
        <f t="shared" si="28"/>
        <v>133.81533840724745</v>
      </c>
      <c r="K68" s="21">
        <v>5081236.03</v>
      </c>
      <c r="L68" s="21">
        <v>5685591.55</v>
      </c>
      <c r="M68" s="25">
        <f t="shared" si="29"/>
        <v>-0.10629597899975765</v>
      </c>
      <c r="N68" s="10"/>
      <c r="R68" s="2"/>
    </row>
    <row r="69" spans="1:18" ht="15">
      <c r="A69" s="274"/>
      <c r="B69" s="20">
        <f>DATE(2022,12,1)</f>
        <v>44896</v>
      </c>
      <c r="C69" s="21">
        <v>89653</v>
      </c>
      <c r="D69" s="21">
        <v>97815</v>
      </c>
      <c r="E69" s="23">
        <f t="shared" si="25"/>
        <v>-0.08344323467770792</v>
      </c>
      <c r="F69" s="21">
        <f>+C69-45455</f>
        <v>44198</v>
      </c>
      <c r="G69" s="21">
        <f>+D69-49840</f>
        <v>47975</v>
      </c>
      <c r="H69" s="23">
        <f t="shared" si="26"/>
        <v>-0.0787285044293903</v>
      </c>
      <c r="I69" s="24">
        <f t="shared" si="27"/>
        <v>61.35331009559077</v>
      </c>
      <c r="J69" s="24">
        <f t="shared" si="28"/>
        <v>124.45152065704329</v>
      </c>
      <c r="K69" s="21">
        <v>5500508.31</v>
      </c>
      <c r="L69" s="21">
        <v>6306111.89</v>
      </c>
      <c r="M69" s="25">
        <f t="shared" si="29"/>
        <v>-0.12774964892035878</v>
      </c>
      <c r="N69" s="10"/>
      <c r="R69" s="2"/>
    </row>
    <row r="70" spans="1:18" ht="15">
      <c r="A70" s="274"/>
      <c r="B70" s="20">
        <f>DATE(2023,1,1)</f>
        <v>44927</v>
      </c>
      <c r="C70" s="21">
        <v>84414</v>
      </c>
      <c r="D70" s="21">
        <v>84178</v>
      </c>
      <c r="E70" s="23">
        <f t="shared" si="25"/>
        <v>0.002803582883888902</v>
      </c>
      <c r="F70" s="21">
        <f>+C70-42996</f>
        <v>41418</v>
      </c>
      <c r="G70" s="21">
        <f>+D70-43196</f>
        <v>40982</v>
      </c>
      <c r="H70" s="23">
        <f t="shared" si="26"/>
        <v>0.010638817041628033</v>
      </c>
      <c r="I70" s="24">
        <f t="shared" si="27"/>
        <v>62.73452744805365</v>
      </c>
      <c r="J70" s="24">
        <f t="shared" si="28"/>
        <v>127.8592013134386</v>
      </c>
      <c r="K70" s="21">
        <v>5295672.4</v>
      </c>
      <c r="L70" s="21">
        <v>5555053.69</v>
      </c>
      <c r="M70" s="25">
        <f t="shared" si="29"/>
        <v>-0.04669285023598035</v>
      </c>
      <c r="N70" s="10"/>
      <c r="R70" s="2"/>
    </row>
    <row r="71" spans="1:18" ht="15">
      <c r="A71" s="274"/>
      <c r="B71" s="20">
        <f>DATE(2023,2,1)</f>
        <v>44958</v>
      </c>
      <c r="C71" s="21">
        <v>89529</v>
      </c>
      <c r="D71" s="21">
        <v>86324</v>
      </c>
      <c r="E71" s="23">
        <f t="shared" si="25"/>
        <v>0.03712756591446179</v>
      </c>
      <c r="F71" s="21">
        <f>+C71-46008</f>
        <v>43521</v>
      </c>
      <c r="G71" s="21">
        <f>+D71-44518</f>
        <v>41806</v>
      </c>
      <c r="H71" s="23">
        <f t="shared" si="26"/>
        <v>0.04102281969095345</v>
      </c>
      <c r="I71" s="24">
        <f t="shared" si="27"/>
        <v>67.82320097398609</v>
      </c>
      <c r="J71" s="24">
        <f t="shared" si="28"/>
        <v>139.5221470094897</v>
      </c>
      <c r="K71" s="21">
        <v>6072143.36</v>
      </c>
      <c r="L71" s="21">
        <v>5448548.2</v>
      </c>
      <c r="M71" s="25">
        <f t="shared" si="29"/>
        <v>0.11445161850637572</v>
      </c>
      <c r="N71" s="10"/>
      <c r="R71" s="2"/>
    </row>
    <row r="72" spans="1:18" ht="15.75" customHeight="1" thickBot="1">
      <c r="A72" s="19"/>
      <c r="B72" s="20"/>
      <c r="C72" s="21"/>
      <c r="D72" s="21"/>
      <c r="E72" s="23"/>
      <c r="F72" s="21"/>
      <c r="G72" s="21"/>
      <c r="H72" s="23"/>
      <c r="I72" s="24"/>
      <c r="J72" s="24"/>
      <c r="K72" s="21"/>
      <c r="L72" s="21"/>
      <c r="M72" s="25"/>
      <c r="N72" s="10"/>
      <c r="R72" s="2"/>
    </row>
    <row r="73" spans="1:18" ht="17.25" customHeight="1" thickBot="1" thickTop="1">
      <c r="A73" s="39" t="s">
        <v>14</v>
      </c>
      <c r="B73" s="52"/>
      <c r="C73" s="47">
        <f>SUM(C64:C72)</f>
        <v>690336</v>
      </c>
      <c r="D73" s="48">
        <f>SUM(D64:D72)</f>
        <v>738861</v>
      </c>
      <c r="E73" s="281">
        <f>(+C73-D73)/D73</f>
        <v>-0.06567541120725008</v>
      </c>
      <c r="F73" s="48">
        <f>SUM(F64:F72)</f>
        <v>341720</v>
      </c>
      <c r="G73" s="47">
        <f>SUM(G64:G72)</f>
        <v>367112</v>
      </c>
      <c r="H73" s="46">
        <f>(+F73-G73)/G73</f>
        <v>-0.0691669027435769</v>
      </c>
      <c r="I73" s="51">
        <f>K73/C73</f>
        <v>64.56877348131924</v>
      </c>
      <c r="J73" s="50">
        <f>K73/F73</f>
        <v>130.4405618927777</v>
      </c>
      <c r="K73" s="47">
        <f>SUM(K64:K72)</f>
        <v>44574148.809999995</v>
      </c>
      <c r="L73" s="48">
        <f>SUM(L64:L72)</f>
        <v>47088844.31</v>
      </c>
      <c r="M73" s="44">
        <f>(+K73-L73)/L73</f>
        <v>-0.053403211245640514</v>
      </c>
      <c r="N73" s="10"/>
      <c r="R73" s="2"/>
    </row>
    <row r="74" spans="1:18" ht="15.75" customHeight="1" thickTop="1">
      <c r="A74" s="19"/>
      <c r="B74" s="45"/>
      <c r="C74" s="21"/>
      <c r="D74" s="21"/>
      <c r="E74" s="23"/>
      <c r="F74" s="21"/>
      <c r="G74" s="21"/>
      <c r="H74" s="23"/>
      <c r="I74" s="24"/>
      <c r="J74" s="24"/>
      <c r="K74" s="21"/>
      <c r="L74" s="21"/>
      <c r="M74" s="25"/>
      <c r="N74" s="10"/>
      <c r="R74" s="2"/>
    </row>
    <row r="75" spans="1:18" ht="15">
      <c r="A75" s="19" t="s">
        <v>67</v>
      </c>
      <c r="B75" s="20">
        <f>DATE(2022,7,1)</f>
        <v>44743</v>
      </c>
      <c r="C75" s="21">
        <v>220596</v>
      </c>
      <c r="D75" s="21">
        <v>224693</v>
      </c>
      <c r="E75" s="23">
        <f aca="true" t="shared" si="30" ref="E75:E82">(+C75-D75)/D75</f>
        <v>-0.018233767852136026</v>
      </c>
      <c r="F75" s="21">
        <f>+C75-105104</f>
        <v>115492</v>
      </c>
      <c r="G75" s="21">
        <f>+D75-121301</f>
        <v>103392</v>
      </c>
      <c r="H75" s="23">
        <f aca="true" t="shared" si="31" ref="H75:H82">(+F75-G75)/G75</f>
        <v>0.11703033116682142</v>
      </c>
      <c r="I75" s="24">
        <f aca="true" t="shared" si="32" ref="I75:I82">K75/C75</f>
        <v>48.08238961721881</v>
      </c>
      <c r="J75" s="24">
        <f aca="true" t="shared" si="33" ref="J75:J82">K75/F75</f>
        <v>91.83997869982336</v>
      </c>
      <c r="K75" s="21">
        <v>10606782.82</v>
      </c>
      <c r="L75" s="21">
        <v>9513693.57</v>
      </c>
      <c r="M75" s="25">
        <f aca="true" t="shared" si="34" ref="M75:M82">(+K75-L75)/L75</f>
        <v>0.11489641136297392</v>
      </c>
      <c r="N75" s="10"/>
      <c r="R75" s="2"/>
    </row>
    <row r="76" spans="1:18" ht="15">
      <c r="A76" s="19"/>
      <c r="B76" s="20">
        <f>DATE(2022,8,1)</f>
        <v>44774</v>
      </c>
      <c r="C76" s="21">
        <v>204208</v>
      </c>
      <c r="D76" s="21">
        <v>253687</v>
      </c>
      <c r="E76" s="23">
        <f t="shared" si="30"/>
        <v>-0.19503955661898323</v>
      </c>
      <c r="F76" s="21">
        <f>+C76-95602</f>
        <v>108606</v>
      </c>
      <c r="G76" s="21">
        <f>+D76-139919</f>
        <v>113768</v>
      </c>
      <c r="H76" s="23">
        <f t="shared" si="31"/>
        <v>-0.045373039870613883</v>
      </c>
      <c r="I76" s="24">
        <f t="shared" si="32"/>
        <v>50.441069742615376</v>
      </c>
      <c r="J76" s="24">
        <f t="shared" si="33"/>
        <v>94.8425498591238</v>
      </c>
      <c r="K76" s="21">
        <v>10300469.97</v>
      </c>
      <c r="L76" s="21">
        <v>9470339.94</v>
      </c>
      <c r="M76" s="25">
        <f t="shared" si="34"/>
        <v>0.08765577954533291</v>
      </c>
      <c r="N76" s="10"/>
      <c r="R76" s="2"/>
    </row>
    <row r="77" spans="1:18" ht="15">
      <c r="A77" s="19"/>
      <c r="B77" s="20">
        <f>DATE(2022,9,1)</f>
        <v>44805</v>
      </c>
      <c r="C77" s="21">
        <v>202639</v>
      </c>
      <c r="D77" s="21">
        <v>235488</v>
      </c>
      <c r="E77" s="23">
        <f t="shared" si="30"/>
        <v>-0.13949330751460795</v>
      </c>
      <c r="F77" s="21">
        <f>+C77-96056</f>
        <v>106583</v>
      </c>
      <c r="G77" s="21">
        <f>+D77-117319</f>
        <v>118169</v>
      </c>
      <c r="H77" s="23">
        <f t="shared" si="31"/>
        <v>-0.09804601883742775</v>
      </c>
      <c r="I77" s="24">
        <f t="shared" si="32"/>
        <v>48.50680421833902</v>
      </c>
      <c r="J77" s="24">
        <f t="shared" si="33"/>
        <v>92.22268373005076</v>
      </c>
      <c r="K77" s="21">
        <v>9829370.3</v>
      </c>
      <c r="L77" s="21">
        <v>10050706.73</v>
      </c>
      <c r="M77" s="25">
        <f t="shared" si="34"/>
        <v>-0.02202197675705136</v>
      </c>
      <c r="N77" s="10"/>
      <c r="R77" s="2"/>
    </row>
    <row r="78" spans="1:18" ht="15">
      <c r="A78" s="19"/>
      <c r="B78" s="20">
        <f>DATE(2022,10,1)</f>
        <v>44835</v>
      </c>
      <c r="C78" s="21">
        <v>197805</v>
      </c>
      <c r="D78" s="21">
        <v>221802</v>
      </c>
      <c r="E78" s="23">
        <f t="shared" si="30"/>
        <v>-0.10819108934996077</v>
      </c>
      <c r="F78" s="21">
        <f>+C78-92993</f>
        <v>104812</v>
      </c>
      <c r="G78" s="21">
        <f>+D78-108914</f>
        <v>112888</v>
      </c>
      <c r="H78" s="23">
        <f t="shared" si="31"/>
        <v>-0.07153993338530225</v>
      </c>
      <c r="I78" s="24">
        <f t="shared" si="32"/>
        <v>52.67072429918353</v>
      </c>
      <c r="J78" s="24">
        <f t="shared" si="33"/>
        <v>99.40209727893752</v>
      </c>
      <c r="K78" s="21">
        <v>10418532.62</v>
      </c>
      <c r="L78" s="21">
        <v>10399038.17</v>
      </c>
      <c r="M78" s="25">
        <f t="shared" si="34"/>
        <v>0.0018746397196846962</v>
      </c>
      <c r="N78" s="10"/>
      <c r="R78" s="2"/>
    </row>
    <row r="79" spans="1:18" ht="15">
      <c r="A79" s="19"/>
      <c r="B79" s="20">
        <f>DATE(2022,11,1)</f>
        <v>44866</v>
      </c>
      <c r="C79" s="21">
        <v>202320</v>
      </c>
      <c r="D79" s="21">
        <v>202081</v>
      </c>
      <c r="E79" s="23">
        <f t="shared" si="30"/>
        <v>0.001182694068220169</v>
      </c>
      <c r="F79" s="21">
        <f>+C79-93904</f>
        <v>108416</v>
      </c>
      <c r="G79" s="21">
        <f>+D79-97991</f>
        <v>104090</v>
      </c>
      <c r="H79" s="23">
        <f t="shared" si="31"/>
        <v>0.041560188298587764</v>
      </c>
      <c r="I79" s="24">
        <f t="shared" si="32"/>
        <v>52.06537094701463</v>
      </c>
      <c r="J79" s="24">
        <f t="shared" si="33"/>
        <v>97.16154303792798</v>
      </c>
      <c r="K79" s="21">
        <v>10533865.85</v>
      </c>
      <c r="L79" s="21">
        <v>9591289.68</v>
      </c>
      <c r="M79" s="25">
        <f t="shared" si="34"/>
        <v>0.09827418433263294</v>
      </c>
      <c r="N79" s="10"/>
      <c r="R79" s="2"/>
    </row>
    <row r="80" spans="1:18" ht="15">
      <c r="A80" s="19"/>
      <c r="B80" s="20">
        <f>DATE(2022,12,1)</f>
        <v>44896</v>
      </c>
      <c r="C80" s="21">
        <v>223223</v>
      </c>
      <c r="D80" s="21">
        <v>205858</v>
      </c>
      <c r="E80" s="23">
        <f t="shared" si="30"/>
        <v>0.08435426361861088</v>
      </c>
      <c r="F80" s="21">
        <f>+C80-104081</f>
        <v>119142</v>
      </c>
      <c r="G80" s="21">
        <f>+D80-97374</f>
        <v>108484</v>
      </c>
      <c r="H80" s="23">
        <f t="shared" si="31"/>
        <v>0.09824490247409756</v>
      </c>
      <c r="I80" s="24">
        <f t="shared" si="32"/>
        <v>47.76632080923561</v>
      </c>
      <c r="J80" s="24">
        <f t="shared" si="33"/>
        <v>89.49439685417401</v>
      </c>
      <c r="K80" s="21">
        <v>10662541.43</v>
      </c>
      <c r="L80" s="21">
        <v>10189799.08</v>
      </c>
      <c r="M80" s="25">
        <f t="shared" si="34"/>
        <v>0.04639368708730218</v>
      </c>
      <c r="N80" s="10"/>
      <c r="R80" s="2"/>
    </row>
    <row r="81" spans="1:18" ht="15">
      <c r="A81" s="19"/>
      <c r="B81" s="20">
        <f>DATE(2023,1,1)</f>
        <v>44927</v>
      </c>
      <c r="C81" s="21">
        <v>215124</v>
      </c>
      <c r="D81" s="21">
        <v>179199</v>
      </c>
      <c r="E81" s="23">
        <f t="shared" si="30"/>
        <v>0.2004754490817471</v>
      </c>
      <c r="F81" s="21">
        <f>+C81-101475</f>
        <v>113649</v>
      </c>
      <c r="G81" s="21">
        <f>+D81-85727</f>
        <v>93472</v>
      </c>
      <c r="H81" s="23">
        <f t="shared" si="31"/>
        <v>0.21586143444026018</v>
      </c>
      <c r="I81" s="24">
        <f t="shared" si="32"/>
        <v>50.618130241163236</v>
      </c>
      <c r="J81" s="24">
        <f t="shared" si="33"/>
        <v>95.81408239403778</v>
      </c>
      <c r="K81" s="21">
        <v>10889174.65</v>
      </c>
      <c r="L81" s="21">
        <v>9122057.77</v>
      </c>
      <c r="M81" s="25">
        <f t="shared" si="34"/>
        <v>0.1937191064292066</v>
      </c>
      <c r="N81" s="10"/>
      <c r="R81" s="2"/>
    </row>
    <row r="82" spans="1:18" ht="15">
      <c r="A82" s="19"/>
      <c r="B82" s="20">
        <f>DATE(2023,2,1)</f>
        <v>44958</v>
      </c>
      <c r="C82" s="21">
        <v>200798</v>
      </c>
      <c r="D82" s="21">
        <v>184738</v>
      </c>
      <c r="E82" s="23">
        <f t="shared" si="30"/>
        <v>0.08693392804945382</v>
      </c>
      <c r="F82" s="21">
        <f>+C82-95533</f>
        <v>105265</v>
      </c>
      <c r="G82" s="21">
        <f>+D82-91368</f>
        <v>93370</v>
      </c>
      <c r="H82" s="23">
        <f t="shared" si="31"/>
        <v>0.12739637999357395</v>
      </c>
      <c r="I82" s="24">
        <f t="shared" si="32"/>
        <v>51.48292622436478</v>
      </c>
      <c r="J82" s="24">
        <f t="shared" si="33"/>
        <v>98.20613328266755</v>
      </c>
      <c r="K82" s="21">
        <v>10337668.62</v>
      </c>
      <c r="L82" s="21">
        <v>9241774.34</v>
      </c>
      <c r="M82" s="25">
        <f t="shared" si="34"/>
        <v>0.11858050626239369</v>
      </c>
      <c r="N82" s="10"/>
      <c r="R82" s="2"/>
    </row>
    <row r="83" spans="1:18" ht="15.75" customHeight="1" thickBot="1">
      <c r="A83" s="19"/>
      <c r="B83" s="45"/>
      <c r="C83" s="21"/>
      <c r="D83" s="21"/>
      <c r="E83" s="23"/>
      <c r="F83" s="21"/>
      <c r="G83" s="21"/>
      <c r="H83" s="23"/>
      <c r="I83" s="24"/>
      <c r="J83" s="24"/>
      <c r="K83" s="21"/>
      <c r="L83" s="21"/>
      <c r="M83" s="25"/>
      <c r="N83" s="10"/>
      <c r="R83" s="2"/>
    </row>
    <row r="84" spans="1:18" ht="17.25" customHeight="1" thickBot="1" thickTop="1">
      <c r="A84" s="39" t="s">
        <v>14</v>
      </c>
      <c r="B84" s="52"/>
      <c r="C84" s="47">
        <f>SUM(C75:C83)</f>
        <v>1666713</v>
      </c>
      <c r="D84" s="48">
        <f>SUM(D75:D83)</f>
        <v>1707546</v>
      </c>
      <c r="E84" s="281">
        <f>(+C84-D84)/D84</f>
        <v>-0.02391326500135282</v>
      </c>
      <c r="F84" s="48">
        <f>SUM(F75:F83)</f>
        <v>881965</v>
      </c>
      <c r="G84" s="47">
        <f>SUM(G75:G83)</f>
        <v>847633</v>
      </c>
      <c r="H84" s="53">
        <f>(+F84-G84)/G84</f>
        <v>0.040503378230908896</v>
      </c>
      <c r="I84" s="51">
        <f>K84/C84</f>
        <v>50.14564970693815</v>
      </c>
      <c r="J84" s="50">
        <f>K84/F84</f>
        <v>94.76385827101983</v>
      </c>
      <c r="K84" s="47">
        <f>SUM(K75:K83)</f>
        <v>83578406.26</v>
      </c>
      <c r="L84" s="48">
        <f>SUM(L75:L83)</f>
        <v>77578699.28</v>
      </c>
      <c r="M84" s="44">
        <f>(+K84-L84)/L84</f>
        <v>0.07733704013708238</v>
      </c>
      <c r="N84" s="10"/>
      <c r="R84" s="2"/>
    </row>
    <row r="85" spans="1:18" ht="15.75" customHeight="1" thickTop="1">
      <c r="A85" s="19"/>
      <c r="B85" s="45"/>
      <c r="C85" s="21"/>
      <c r="D85" s="21"/>
      <c r="E85" s="23"/>
      <c r="F85" s="21"/>
      <c r="G85" s="21"/>
      <c r="H85" s="23"/>
      <c r="I85" s="24"/>
      <c r="J85" s="24"/>
      <c r="K85" s="21"/>
      <c r="L85" s="21"/>
      <c r="M85" s="25"/>
      <c r="N85" s="10"/>
      <c r="R85" s="2"/>
    </row>
    <row r="86" spans="1:18" ht="15.75" customHeight="1">
      <c r="A86" s="19" t="s">
        <v>69</v>
      </c>
      <c r="B86" s="20">
        <f>DATE(2022,7,1)</f>
        <v>44743</v>
      </c>
      <c r="C86" s="21">
        <v>226300</v>
      </c>
      <c r="D86" s="21">
        <v>251090</v>
      </c>
      <c r="E86" s="23">
        <f aca="true" t="shared" si="35" ref="E86:E93">(+C86-D86)/D86</f>
        <v>-0.09872953920904855</v>
      </c>
      <c r="F86" s="21">
        <f>+C86-105791</f>
        <v>120509</v>
      </c>
      <c r="G86" s="21">
        <f>+D86-113536</f>
        <v>137554</v>
      </c>
      <c r="H86" s="23">
        <f aca="true" t="shared" si="36" ref="H86:H93">(+F86-G86)/G86</f>
        <v>-0.12391497157479972</v>
      </c>
      <c r="I86" s="24">
        <f aca="true" t="shared" si="37" ref="I86:I93">K86/C86</f>
        <v>58.190034202386215</v>
      </c>
      <c r="J86" s="24">
        <f aca="true" t="shared" si="38" ref="J86:J93">K86/F86</f>
        <v>109.27320565268984</v>
      </c>
      <c r="K86" s="21">
        <v>13168404.74</v>
      </c>
      <c r="L86" s="21">
        <v>14822103.82</v>
      </c>
      <c r="M86" s="25">
        <f aca="true" t="shared" si="39" ref="M86:M93">(+K86-L86)/L86</f>
        <v>-0.111569794685192</v>
      </c>
      <c r="N86" s="10"/>
      <c r="R86" s="2"/>
    </row>
    <row r="87" spans="1:18" ht="15.75" customHeight="1">
      <c r="A87" s="19"/>
      <c r="B87" s="20">
        <f>DATE(2022,8,1)</f>
        <v>44774</v>
      </c>
      <c r="C87" s="21">
        <v>232585</v>
      </c>
      <c r="D87" s="21">
        <v>215479</v>
      </c>
      <c r="E87" s="23">
        <f t="shared" si="35"/>
        <v>0.0793859262387518</v>
      </c>
      <c r="F87" s="21">
        <f>+C87-107552</f>
        <v>125033</v>
      </c>
      <c r="G87" s="21">
        <f>+D87-96518</f>
        <v>118961</v>
      </c>
      <c r="H87" s="23">
        <f t="shared" si="36"/>
        <v>0.05104193811417187</v>
      </c>
      <c r="I87" s="24">
        <f t="shared" si="37"/>
        <v>59.88228583098652</v>
      </c>
      <c r="J87" s="24">
        <f t="shared" si="38"/>
        <v>111.3923640158998</v>
      </c>
      <c r="K87" s="21">
        <v>13927721.45</v>
      </c>
      <c r="L87" s="21">
        <v>13122626.66</v>
      </c>
      <c r="M87" s="25">
        <f t="shared" si="39"/>
        <v>0.06135164939608204</v>
      </c>
      <c r="N87" s="10"/>
      <c r="R87" s="2"/>
    </row>
    <row r="88" spans="1:18" ht="15.75" customHeight="1">
      <c r="A88" s="19"/>
      <c r="B88" s="20">
        <f>DATE(2022,9,1)</f>
        <v>44805</v>
      </c>
      <c r="C88" s="21">
        <v>229799</v>
      </c>
      <c r="D88" s="21">
        <v>213931</v>
      </c>
      <c r="E88" s="23">
        <f t="shared" si="35"/>
        <v>0.07417344844833147</v>
      </c>
      <c r="F88" s="21">
        <f>+C88-107359</f>
        <v>122440</v>
      </c>
      <c r="G88" s="21">
        <f>+D88-98283</f>
        <v>115648</v>
      </c>
      <c r="H88" s="23">
        <f t="shared" si="36"/>
        <v>0.05872993912562258</v>
      </c>
      <c r="I88" s="24">
        <f t="shared" si="37"/>
        <v>58.84250370976375</v>
      </c>
      <c r="J88" s="24">
        <f t="shared" si="38"/>
        <v>110.43734490362627</v>
      </c>
      <c r="K88" s="21">
        <v>13521948.51</v>
      </c>
      <c r="L88" s="21">
        <v>12121290.84</v>
      </c>
      <c r="M88" s="25">
        <f t="shared" si="39"/>
        <v>0.1155535073358573</v>
      </c>
      <c r="N88" s="10"/>
      <c r="R88" s="2"/>
    </row>
    <row r="89" spans="1:18" ht="15.75" customHeight="1">
      <c r="A89" s="19"/>
      <c r="B89" s="20">
        <f>DATE(2022,10,1)</f>
        <v>44835</v>
      </c>
      <c r="C89" s="21">
        <v>212700</v>
      </c>
      <c r="D89" s="21">
        <v>212915</v>
      </c>
      <c r="E89" s="23">
        <f t="shared" si="35"/>
        <v>-0.001009792640255501</v>
      </c>
      <c r="F89" s="21">
        <f>+C89-99072</f>
        <v>113628</v>
      </c>
      <c r="G89" s="21">
        <f>+D89-99053</f>
        <v>113862</v>
      </c>
      <c r="H89" s="23">
        <f t="shared" si="36"/>
        <v>-0.0020551193550086945</v>
      </c>
      <c r="I89" s="24">
        <f t="shared" si="37"/>
        <v>60.88778180535966</v>
      </c>
      <c r="J89" s="24">
        <f t="shared" si="38"/>
        <v>113.97570308374696</v>
      </c>
      <c r="K89" s="21">
        <v>12950831.19</v>
      </c>
      <c r="L89" s="21">
        <v>12831260.62</v>
      </c>
      <c r="M89" s="25">
        <f t="shared" si="39"/>
        <v>0.009318692335936693</v>
      </c>
      <c r="N89" s="10"/>
      <c r="R89" s="2"/>
    </row>
    <row r="90" spans="1:18" ht="15.75" customHeight="1">
      <c r="A90" s="19"/>
      <c r="B90" s="20">
        <f>DATE(2022,11,1)</f>
        <v>44866</v>
      </c>
      <c r="C90" s="21">
        <v>191508</v>
      </c>
      <c r="D90" s="21">
        <v>184421</v>
      </c>
      <c r="E90" s="23">
        <f t="shared" si="35"/>
        <v>0.03842837854691169</v>
      </c>
      <c r="F90" s="21">
        <f>+C90-91306</f>
        <v>100202</v>
      </c>
      <c r="G90" s="21">
        <f>+D90-84660</f>
        <v>99761</v>
      </c>
      <c r="H90" s="23">
        <f t="shared" si="36"/>
        <v>0.004420565150710197</v>
      </c>
      <c r="I90" s="24">
        <f t="shared" si="37"/>
        <v>61.98403789920004</v>
      </c>
      <c r="J90" s="24">
        <f t="shared" si="38"/>
        <v>118.46509181453465</v>
      </c>
      <c r="K90" s="21">
        <v>11870439.13</v>
      </c>
      <c r="L90" s="21">
        <v>11874815.39</v>
      </c>
      <c r="M90" s="25">
        <f t="shared" si="39"/>
        <v>-0.0003685328871457745</v>
      </c>
      <c r="N90" s="10"/>
      <c r="R90" s="2"/>
    </row>
    <row r="91" spans="1:18" ht="15.75" customHeight="1">
      <c r="A91" s="19"/>
      <c r="B91" s="20">
        <f>DATE(2022,12,1)</f>
        <v>44896</v>
      </c>
      <c r="C91" s="21">
        <v>214147</v>
      </c>
      <c r="D91" s="21">
        <v>211464</v>
      </c>
      <c r="E91" s="23">
        <f t="shared" si="35"/>
        <v>0.012687738811334316</v>
      </c>
      <c r="F91" s="21">
        <f>+C91-102215</f>
        <v>111932</v>
      </c>
      <c r="G91" s="21">
        <f>+D91-97323</f>
        <v>114141</v>
      </c>
      <c r="H91" s="23">
        <f t="shared" si="36"/>
        <v>-0.01935325606048659</v>
      </c>
      <c r="I91" s="24">
        <f t="shared" si="37"/>
        <v>60.96684296301139</v>
      </c>
      <c r="J91" s="24">
        <f t="shared" si="38"/>
        <v>116.64105456884536</v>
      </c>
      <c r="K91" s="21">
        <v>13055866.52</v>
      </c>
      <c r="L91" s="21">
        <v>12543331.57</v>
      </c>
      <c r="M91" s="25">
        <f t="shared" si="39"/>
        <v>0.04086114977824821</v>
      </c>
      <c r="N91" s="10"/>
      <c r="R91" s="2"/>
    </row>
    <row r="92" spans="1:18" ht="15.75" customHeight="1">
      <c r="A92" s="19"/>
      <c r="B92" s="20">
        <f>DATE(2023,1,1)</f>
        <v>44927</v>
      </c>
      <c r="C92" s="21">
        <v>203689</v>
      </c>
      <c r="D92" s="21">
        <v>184238</v>
      </c>
      <c r="E92" s="23">
        <f t="shared" si="35"/>
        <v>0.1055753970407842</v>
      </c>
      <c r="F92" s="21">
        <f>+C92-97201</f>
        <v>106488</v>
      </c>
      <c r="G92" s="21">
        <f>+D92-86833</f>
        <v>97405</v>
      </c>
      <c r="H92" s="23">
        <f t="shared" si="36"/>
        <v>0.09324983317078178</v>
      </c>
      <c r="I92" s="24">
        <f t="shared" si="37"/>
        <v>58.669221852922846</v>
      </c>
      <c r="J92" s="24">
        <f t="shared" si="38"/>
        <v>112.22180086019083</v>
      </c>
      <c r="K92" s="21">
        <v>11950275.13</v>
      </c>
      <c r="L92" s="21">
        <v>10689277.77</v>
      </c>
      <c r="M92" s="25">
        <f t="shared" si="39"/>
        <v>0.11796843408252093</v>
      </c>
      <c r="N92" s="10"/>
      <c r="R92" s="2"/>
    </row>
    <row r="93" spans="1:18" ht="15.75" customHeight="1">
      <c r="A93" s="19"/>
      <c r="B93" s="20">
        <f>DATE(2023,2,1)</f>
        <v>44958</v>
      </c>
      <c r="C93" s="21">
        <v>207907</v>
      </c>
      <c r="D93" s="21">
        <v>186083</v>
      </c>
      <c r="E93" s="23">
        <f t="shared" si="35"/>
        <v>0.11728099826421542</v>
      </c>
      <c r="F93" s="21">
        <f>+C93-99209</f>
        <v>108698</v>
      </c>
      <c r="G93" s="21">
        <f>+D93-88690</f>
        <v>97393</v>
      </c>
      <c r="H93" s="23">
        <f t="shared" si="36"/>
        <v>0.1160761040321173</v>
      </c>
      <c r="I93" s="24">
        <f t="shared" si="37"/>
        <v>60.509029566104076</v>
      </c>
      <c r="J93" s="24">
        <f t="shared" si="38"/>
        <v>115.73580755855674</v>
      </c>
      <c r="K93" s="21">
        <v>12580250.81</v>
      </c>
      <c r="L93" s="21">
        <v>11335666.43</v>
      </c>
      <c r="M93" s="25">
        <f t="shared" si="39"/>
        <v>0.10979366653787473</v>
      </c>
      <c r="N93" s="10"/>
      <c r="R93" s="2"/>
    </row>
    <row r="94" spans="1:18" ht="15.75" customHeight="1" thickBot="1">
      <c r="A94" s="19"/>
      <c r="B94" s="45"/>
      <c r="C94" s="21"/>
      <c r="D94" s="21"/>
      <c r="E94" s="23"/>
      <c r="F94" s="21"/>
      <c r="G94" s="21"/>
      <c r="H94" s="23"/>
      <c r="I94" s="24"/>
      <c r="J94" s="24"/>
      <c r="K94" s="21"/>
      <c r="L94" s="21"/>
      <c r="M94" s="25"/>
      <c r="N94" s="10"/>
      <c r="R94" s="2"/>
    </row>
    <row r="95" spans="1:18" ht="16.5" thickBot="1" thickTop="1">
      <c r="A95" s="39" t="s">
        <v>14</v>
      </c>
      <c r="B95" s="40"/>
      <c r="C95" s="41">
        <f>SUM(C86:C94)</f>
        <v>1718635</v>
      </c>
      <c r="D95" s="41">
        <f>SUM(D86:D94)</f>
        <v>1659621</v>
      </c>
      <c r="E95" s="280">
        <f>(+C95-D95)/D95</f>
        <v>0.0355587209368886</v>
      </c>
      <c r="F95" s="41">
        <f>SUM(F86:F94)</f>
        <v>908930</v>
      </c>
      <c r="G95" s="41">
        <f>SUM(G86:G94)</f>
        <v>894725</v>
      </c>
      <c r="H95" s="42">
        <f>(+F95-G95)/G95</f>
        <v>0.0158763865992344</v>
      </c>
      <c r="I95" s="43">
        <f>K95/C95</f>
        <v>59.94625821073119</v>
      </c>
      <c r="J95" s="43">
        <f>K95/F95</f>
        <v>113.34837389017855</v>
      </c>
      <c r="K95" s="41">
        <f>SUM(K86:K94)</f>
        <v>103025737.47999999</v>
      </c>
      <c r="L95" s="41">
        <f>SUM(L86:L94)</f>
        <v>99340373.1</v>
      </c>
      <c r="M95" s="44">
        <f>(+K95-L95)/L95</f>
        <v>0.037098354525910225</v>
      </c>
      <c r="N95" s="10"/>
      <c r="R95" s="2"/>
    </row>
    <row r="96" spans="1:18" ht="15.75" customHeight="1" thickTop="1">
      <c r="A96" s="54"/>
      <c r="B96" s="55"/>
      <c r="C96" s="55"/>
      <c r="D96" s="55"/>
      <c r="E96" s="56"/>
      <c r="F96" s="55"/>
      <c r="G96" s="55"/>
      <c r="H96" s="56"/>
      <c r="I96" s="55"/>
      <c r="J96" s="55"/>
      <c r="K96" s="196"/>
      <c r="L96" s="196"/>
      <c r="M96" s="57"/>
      <c r="N96" s="10"/>
      <c r="R96" s="2"/>
    </row>
    <row r="97" spans="1:18" ht="15.75" customHeight="1">
      <c r="A97" s="19" t="s">
        <v>16</v>
      </c>
      <c r="B97" s="20">
        <f>DATE(2022,7,1)</f>
        <v>44743</v>
      </c>
      <c r="C97" s="21">
        <v>271337</v>
      </c>
      <c r="D97" s="21">
        <v>292626</v>
      </c>
      <c r="E97" s="23">
        <f aca="true" t="shared" si="40" ref="E97:E104">(+C97-D97)/D97</f>
        <v>-0.0727515668464183</v>
      </c>
      <c r="F97" s="21">
        <f>+C97-134570</f>
        <v>136767</v>
      </c>
      <c r="G97" s="21">
        <f>+D97-144119</f>
        <v>148507</v>
      </c>
      <c r="H97" s="23">
        <f aca="true" t="shared" si="41" ref="H97:H104">(+F97-G97)/G97</f>
        <v>-0.07905351262903432</v>
      </c>
      <c r="I97" s="24">
        <f aca="true" t="shared" si="42" ref="I97:I104">K97/C97</f>
        <v>67.09016455551584</v>
      </c>
      <c r="J97" s="24">
        <f aca="true" t="shared" si="43" ref="J97:J104">K97/F97</f>
        <v>133.1026050143675</v>
      </c>
      <c r="K97" s="21">
        <v>18204043.98</v>
      </c>
      <c r="L97" s="21">
        <v>18108904.36</v>
      </c>
      <c r="M97" s="25">
        <f aca="true" t="shared" si="44" ref="M97:M104">(+K97-L97)/L97</f>
        <v>0.005253747996491216</v>
      </c>
      <c r="N97" s="10"/>
      <c r="R97" s="2"/>
    </row>
    <row r="98" spans="1:18" ht="15.75" customHeight="1">
      <c r="A98" s="19"/>
      <c r="B98" s="20">
        <f>DATE(2022,8,1)</f>
        <v>44774</v>
      </c>
      <c r="C98" s="21">
        <v>244622</v>
      </c>
      <c r="D98" s="21">
        <v>252812</v>
      </c>
      <c r="E98" s="23">
        <f t="shared" si="40"/>
        <v>-0.032395614132240555</v>
      </c>
      <c r="F98" s="21">
        <f>+C98-120033</f>
        <v>124589</v>
      </c>
      <c r="G98" s="21">
        <f>+D98-122587</f>
        <v>130225</v>
      </c>
      <c r="H98" s="23">
        <f t="shared" si="41"/>
        <v>-0.04327894029564216</v>
      </c>
      <c r="I98" s="24">
        <f t="shared" si="42"/>
        <v>67.20574674395598</v>
      </c>
      <c r="J98" s="24">
        <f t="shared" si="43"/>
        <v>131.95389785615103</v>
      </c>
      <c r="K98" s="21">
        <v>16440004.18</v>
      </c>
      <c r="L98" s="21">
        <v>16282457.7</v>
      </c>
      <c r="M98" s="25">
        <f t="shared" si="44"/>
        <v>0.009675841503951855</v>
      </c>
      <c r="N98" s="10"/>
      <c r="R98" s="2"/>
    </row>
    <row r="99" spans="1:18" ht="15.75" customHeight="1">
      <c r="A99" s="19"/>
      <c r="B99" s="20">
        <f>DATE(2022,9,1)</f>
        <v>44805</v>
      </c>
      <c r="C99" s="21">
        <v>238237</v>
      </c>
      <c r="D99" s="21">
        <v>243584</v>
      </c>
      <c r="E99" s="23">
        <f t="shared" si="40"/>
        <v>-0.021951359695218078</v>
      </c>
      <c r="F99" s="21">
        <f>+C99-117564</f>
        <v>120673</v>
      </c>
      <c r="G99" s="21">
        <f>+D99-118454</f>
        <v>125130</v>
      </c>
      <c r="H99" s="23">
        <f t="shared" si="41"/>
        <v>-0.03561895628546312</v>
      </c>
      <c r="I99" s="24">
        <f t="shared" si="42"/>
        <v>71.1967485738991</v>
      </c>
      <c r="J99" s="24">
        <f t="shared" si="43"/>
        <v>140.5591954289692</v>
      </c>
      <c r="K99" s="21">
        <v>16961699.79</v>
      </c>
      <c r="L99" s="21">
        <v>14471118.95</v>
      </c>
      <c r="M99" s="25">
        <f t="shared" si="44"/>
        <v>0.17210699798718743</v>
      </c>
      <c r="N99" s="10"/>
      <c r="R99" s="2"/>
    </row>
    <row r="100" spans="1:18" ht="15.75" customHeight="1">
      <c r="A100" s="19"/>
      <c r="B100" s="20">
        <f>DATE(2022,10,1)</f>
        <v>44835</v>
      </c>
      <c r="C100" s="21">
        <v>243168</v>
      </c>
      <c r="D100" s="21">
        <v>265943</v>
      </c>
      <c r="E100" s="23">
        <f t="shared" si="40"/>
        <v>-0.08563865189157074</v>
      </c>
      <c r="F100" s="21">
        <f>+C100-122237</f>
        <v>120931</v>
      </c>
      <c r="G100" s="21">
        <f>+D100-130327</f>
        <v>135616</v>
      </c>
      <c r="H100" s="23">
        <f t="shared" si="41"/>
        <v>-0.10828368334119867</v>
      </c>
      <c r="I100" s="24">
        <f t="shared" si="42"/>
        <v>66.92405645479668</v>
      </c>
      <c r="J100" s="24">
        <f t="shared" si="43"/>
        <v>134.57086239260406</v>
      </c>
      <c r="K100" s="21">
        <v>16273788.96</v>
      </c>
      <c r="L100" s="21">
        <v>16493487.77</v>
      </c>
      <c r="M100" s="25">
        <f t="shared" si="44"/>
        <v>-0.013320336672490142</v>
      </c>
      <c r="N100" s="10"/>
      <c r="R100" s="2"/>
    </row>
    <row r="101" spans="1:18" ht="15.75" customHeight="1">
      <c r="A101" s="19"/>
      <c r="B101" s="20">
        <f>DATE(2022,11,1)</f>
        <v>44866</v>
      </c>
      <c r="C101" s="21">
        <v>218400</v>
      </c>
      <c r="D101" s="21">
        <v>251827</v>
      </c>
      <c r="E101" s="23">
        <f t="shared" si="40"/>
        <v>-0.13273795105369957</v>
      </c>
      <c r="F101" s="21">
        <f>+C101-108404</f>
        <v>109996</v>
      </c>
      <c r="G101" s="21">
        <f>+D101-125798</f>
        <v>126029</v>
      </c>
      <c r="H101" s="23">
        <f t="shared" si="41"/>
        <v>-0.12721675170000554</v>
      </c>
      <c r="I101" s="24">
        <f t="shared" si="42"/>
        <v>69.58973214285714</v>
      </c>
      <c r="J101" s="24">
        <f t="shared" si="43"/>
        <v>138.1722744463435</v>
      </c>
      <c r="K101" s="21">
        <v>15198397.5</v>
      </c>
      <c r="L101" s="21">
        <v>16061512.83</v>
      </c>
      <c r="M101" s="25">
        <f t="shared" si="44"/>
        <v>-0.05373810917660613</v>
      </c>
      <c r="N101" s="10"/>
      <c r="R101" s="2"/>
    </row>
    <row r="102" spans="1:18" ht="15.75" customHeight="1">
      <c r="A102" s="19"/>
      <c r="B102" s="20">
        <f>DATE(2022,12,1)</f>
        <v>44896</v>
      </c>
      <c r="C102" s="21">
        <v>250765</v>
      </c>
      <c r="D102" s="21">
        <v>268015</v>
      </c>
      <c r="E102" s="23">
        <f t="shared" si="40"/>
        <v>-0.06436206928716676</v>
      </c>
      <c r="F102" s="21">
        <f>+C102-124228</f>
        <v>126537</v>
      </c>
      <c r="G102" s="21">
        <f>+D102-132764</f>
        <v>135251</v>
      </c>
      <c r="H102" s="23">
        <f t="shared" si="41"/>
        <v>-0.06442835912488633</v>
      </c>
      <c r="I102" s="24">
        <f t="shared" si="42"/>
        <v>66.21905182142643</v>
      </c>
      <c r="J102" s="24">
        <f t="shared" si="43"/>
        <v>131.2297630732513</v>
      </c>
      <c r="K102" s="21">
        <v>16605420.53</v>
      </c>
      <c r="L102" s="21">
        <v>16759114.94</v>
      </c>
      <c r="M102" s="25">
        <f t="shared" si="44"/>
        <v>-0.009170795149400661</v>
      </c>
      <c r="N102" s="10"/>
      <c r="R102" s="2"/>
    </row>
    <row r="103" spans="1:18" ht="15.75" customHeight="1">
      <c r="A103" s="19"/>
      <c r="B103" s="20">
        <f>DATE(2023,1,1)</f>
        <v>44927</v>
      </c>
      <c r="C103" s="21">
        <v>242722</v>
      </c>
      <c r="D103" s="21">
        <v>234359</v>
      </c>
      <c r="E103" s="23">
        <f t="shared" si="40"/>
        <v>0.0356845693999377</v>
      </c>
      <c r="F103" s="21">
        <f>+C103-123375</f>
        <v>119347</v>
      </c>
      <c r="G103" s="21">
        <f>+D103-117571</f>
        <v>116788</v>
      </c>
      <c r="H103" s="23">
        <f t="shared" si="41"/>
        <v>0.021911497756618832</v>
      </c>
      <c r="I103" s="24">
        <f t="shared" si="42"/>
        <v>64.47232727152874</v>
      </c>
      <c r="J103" s="24">
        <f t="shared" si="43"/>
        <v>131.12061652157155</v>
      </c>
      <c r="K103" s="21">
        <v>15648852.22</v>
      </c>
      <c r="L103" s="21">
        <v>14903439.41</v>
      </c>
      <c r="M103" s="25">
        <f t="shared" si="44"/>
        <v>0.050016159994574066</v>
      </c>
      <c r="N103" s="10"/>
      <c r="R103" s="2"/>
    </row>
    <row r="104" spans="1:18" ht="15.75" customHeight="1">
      <c r="A104" s="19"/>
      <c r="B104" s="20">
        <f>DATE(2023,2,1)</f>
        <v>44958</v>
      </c>
      <c r="C104" s="21">
        <v>238918</v>
      </c>
      <c r="D104" s="21">
        <v>253600</v>
      </c>
      <c r="E104" s="23">
        <f t="shared" si="40"/>
        <v>-0.057894321766561514</v>
      </c>
      <c r="F104" s="21">
        <f>+C104-118809</f>
        <v>120109</v>
      </c>
      <c r="G104" s="21">
        <f>+D104-127165</f>
        <v>126435</v>
      </c>
      <c r="H104" s="23">
        <f t="shared" si="41"/>
        <v>-0.050033614110017006</v>
      </c>
      <c r="I104" s="24">
        <f t="shared" si="42"/>
        <v>66.36110535832378</v>
      </c>
      <c r="J104" s="24">
        <f t="shared" si="43"/>
        <v>132.00395116102874</v>
      </c>
      <c r="K104" s="21">
        <v>15854862.57</v>
      </c>
      <c r="L104" s="21">
        <v>15991789.53</v>
      </c>
      <c r="M104" s="25">
        <f t="shared" si="44"/>
        <v>-0.008562328796482043</v>
      </c>
      <c r="N104" s="10"/>
      <c r="R104" s="2"/>
    </row>
    <row r="105" spans="1:18" ht="15.75" customHeight="1" thickBot="1">
      <c r="A105" s="19"/>
      <c r="B105" s="45"/>
      <c r="C105" s="21"/>
      <c r="D105" s="21"/>
      <c r="E105" s="23"/>
      <c r="F105" s="21"/>
      <c r="G105" s="21"/>
      <c r="H105" s="23"/>
      <c r="I105" s="24"/>
      <c r="J105" s="24"/>
      <c r="K105" s="21"/>
      <c r="L105" s="21"/>
      <c r="M105" s="25"/>
      <c r="N105" s="10"/>
      <c r="R105" s="2"/>
    </row>
    <row r="106" spans="1:18" ht="16.5" thickBot="1" thickTop="1">
      <c r="A106" s="39" t="s">
        <v>14</v>
      </c>
      <c r="B106" s="40"/>
      <c r="C106" s="41">
        <f>SUM(C97:C105)</f>
        <v>1948169</v>
      </c>
      <c r="D106" s="41">
        <f>SUM(D97:D105)</f>
        <v>2062766</v>
      </c>
      <c r="E106" s="280">
        <f>(+C106-D106)/D106</f>
        <v>-0.0555550169044865</v>
      </c>
      <c r="F106" s="41">
        <f>SUM(F97:F105)</f>
        <v>978949</v>
      </c>
      <c r="G106" s="41">
        <f>SUM(G97:G105)</f>
        <v>1043981</v>
      </c>
      <c r="H106" s="42">
        <f>(+F106-G106)/G106</f>
        <v>-0.06229232141197972</v>
      </c>
      <c r="I106" s="43">
        <f>K106/C106</f>
        <v>67.33864963973865</v>
      </c>
      <c r="J106" s="43">
        <f>K106/F106</f>
        <v>134.00807368923202</v>
      </c>
      <c r="K106" s="41">
        <f>SUM(K97:K105)</f>
        <v>131187069.72999999</v>
      </c>
      <c r="L106" s="41">
        <f>SUM(L97:L105)</f>
        <v>129071825.49</v>
      </c>
      <c r="M106" s="44">
        <f>(+K106-L106)/L106</f>
        <v>0.016388117483965358</v>
      </c>
      <c r="N106" s="10"/>
      <c r="R106" s="2"/>
    </row>
    <row r="107" spans="1:18" ht="15.75" customHeight="1" thickTop="1">
      <c r="A107" s="54"/>
      <c r="B107" s="55"/>
      <c r="C107" s="55"/>
      <c r="D107" s="55"/>
      <c r="E107" s="56"/>
      <c r="F107" s="55"/>
      <c r="G107" s="55"/>
      <c r="H107" s="56"/>
      <c r="I107" s="55"/>
      <c r="J107" s="55"/>
      <c r="K107" s="196"/>
      <c r="L107" s="196"/>
      <c r="M107" s="57"/>
      <c r="N107" s="10"/>
      <c r="R107" s="2"/>
    </row>
    <row r="108" spans="1:18" ht="15.75" customHeight="1">
      <c r="A108" s="19" t="s">
        <v>53</v>
      </c>
      <c r="B108" s="20">
        <f>DATE(2022,7,1)</f>
        <v>44743</v>
      </c>
      <c r="C108" s="21">
        <v>358906</v>
      </c>
      <c r="D108" s="21">
        <v>338901</v>
      </c>
      <c r="E108" s="23">
        <f aca="true" t="shared" si="45" ref="E108:E115">(+C108-D108)/D108</f>
        <v>0.05902903797864273</v>
      </c>
      <c r="F108" s="21">
        <f>+C108-172463</f>
        <v>186443</v>
      </c>
      <c r="G108" s="21">
        <f>+D108-160819</f>
        <v>178082</v>
      </c>
      <c r="H108" s="23">
        <f aca="true" t="shared" si="46" ref="H108:H115">(+F108-G108)/G108</f>
        <v>0.0469502813310722</v>
      </c>
      <c r="I108" s="24">
        <f aca="true" t="shared" si="47" ref="I108:I115">K108/C108</f>
        <v>62.40353460237499</v>
      </c>
      <c r="J108" s="24">
        <f aca="true" t="shared" si="48" ref="J108:J115">K108/F108</f>
        <v>120.12788353545051</v>
      </c>
      <c r="K108" s="21">
        <v>22397002.99</v>
      </c>
      <c r="L108" s="21">
        <v>20138878.38</v>
      </c>
      <c r="M108" s="25">
        <f aca="true" t="shared" si="49" ref="M108:M115">(+K108-L108)/L108</f>
        <v>0.11212762535189408</v>
      </c>
      <c r="N108" s="10"/>
      <c r="R108" s="2"/>
    </row>
    <row r="109" spans="1:18" ht="15.75" customHeight="1">
      <c r="A109" s="19"/>
      <c r="B109" s="20">
        <f>DATE(2022,8,1)</f>
        <v>44774</v>
      </c>
      <c r="C109" s="21">
        <v>332390</v>
      </c>
      <c r="D109" s="21">
        <v>315503</v>
      </c>
      <c r="E109" s="23">
        <f t="shared" si="45"/>
        <v>0.05352405523877744</v>
      </c>
      <c r="F109" s="21">
        <f>+C109-159690</f>
        <v>172700</v>
      </c>
      <c r="G109" s="21">
        <f>+D109-149989</f>
        <v>165514</v>
      </c>
      <c r="H109" s="23">
        <f t="shared" si="46"/>
        <v>0.04341626690189349</v>
      </c>
      <c r="I109" s="24">
        <f t="shared" si="47"/>
        <v>62.33564412286771</v>
      </c>
      <c r="J109" s="24">
        <f t="shared" si="48"/>
        <v>119.97536045165026</v>
      </c>
      <c r="K109" s="21">
        <v>20719744.75</v>
      </c>
      <c r="L109" s="21">
        <v>19194870.57</v>
      </c>
      <c r="M109" s="25">
        <f t="shared" si="49"/>
        <v>0.07944175369347123</v>
      </c>
      <c r="N109" s="10"/>
      <c r="R109" s="2"/>
    </row>
    <row r="110" spans="1:18" ht="15.75" customHeight="1">
      <c r="A110" s="19"/>
      <c r="B110" s="20">
        <f>DATE(2022,9,1)</f>
        <v>44805</v>
      </c>
      <c r="C110" s="21">
        <v>333101</v>
      </c>
      <c r="D110" s="21">
        <v>329297</v>
      </c>
      <c r="E110" s="23">
        <f t="shared" si="45"/>
        <v>0.011551881735940503</v>
      </c>
      <c r="F110" s="21">
        <f>+C110-160339</f>
        <v>172762</v>
      </c>
      <c r="G110" s="21">
        <f>+D110-155913</f>
        <v>173384</v>
      </c>
      <c r="H110" s="23">
        <f t="shared" si="46"/>
        <v>-0.0035874129100724405</v>
      </c>
      <c r="I110" s="24">
        <f t="shared" si="47"/>
        <v>60.98825344264953</v>
      </c>
      <c r="J110" s="24">
        <f t="shared" si="48"/>
        <v>117.59095292946365</v>
      </c>
      <c r="K110" s="21">
        <v>20315248.21</v>
      </c>
      <c r="L110" s="21">
        <v>19476285.94</v>
      </c>
      <c r="M110" s="25">
        <f t="shared" si="49"/>
        <v>0.04307609123138595</v>
      </c>
      <c r="N110" s="10"/>
      <c r="R110" s="2"/>
    </row>
    <row r="111" spans="1:18" ht="15.75" customHeight="1">
      <c r="A111" s="19"/>
      <c r="B111" s="20">
        <f>DATE(2022,10,1)</f>
        <v>44835</v>
      </c>
      <c r="C111" s="21">
        <v>337264</v>
      </c>
      <c r="D111" s="21">
        <v>343168</v>
      </c>
      <c r="E111" s="23">
        <f t="shared" si="45"/>
        <v>-0.017204401342782543</v>
      </c>
      <c r="F111" s="21">
        <f>+C111-160233</f>
        <v>177031</v>
      </c>
      <c r="G111" s="21">
        <f>+D111-164416</f>
        <v>178752</v>
      </c>
      <c r="H111" s="23">
        <f t="shared" si="46"/>
        <v>-0.009627864303616184</v>
      </c>
      <c r="I111" s="24">
        <f t="shared" si="47"/>
        <v>62.27801304022961</v>
      </c>
      <c r="J111" s="24">
        <f t="shared" si="48"/>
        <v>118.64663132445729</v>
      </c>
      <c r="K111" s="21">
        <v>21004131.79</v>
      </c>
      <c r="L111" s="21">
        <v>21027601.49</v>
      </c>
      <c r="M111" s="25">
        <f t="shared" si="49"/>
        <v>-0.0011161377588005286</v>
      </c>
      <c r="N111" s="10"/>
      <c r="R111" s="2"/>
    </row>
    <row r="112" spans="1:18" ht="15.75" customHeight="1">
      <c r="A112" s="19"/>
      <c r="B112" s="20">
        <f>DATE(2022,11,1)</f>
        <v>44866</v>
      </c>
      <c r="C112" s="21">
        <v>335976</v>
      </c>
      <c r="D112" s="21">
        <v>319143</v>
      </c>
      <c r="E112" s="23">
        <f t="shared" si="45"/>
        <v>0.05274438104548745</v>
      </c>
      <c r="F112" s="21">
        <f>+C112-165580</f>
        <v>170396</v>
      </c>
      <c r="G112" s="21">
        <f>+D112-158694</f>
        <v>160449</v>
      </c>
      <c r="H112" s="23">
        <f t="shared" si="46"/>
        <v>0.06199477715660428</v>
      </c>
      <c r="I112" s="24">
        <f t="shared" si="47"/>
        <v>62.16175759578066</v>
      </c>
      <c r="J112" s="24">
        <f t="shared" si="48"/>
        <v>122.56660173947746</v>
      </c>
      <c r="K112" s="21">
        <v>20884858.67</v>
      </c>
      <c r="L112" s="21">
        <v>19834333.84</v>
      </c>
      <c r="M112" s="25">
        <f t="shared" si="49"/>
        <v>0.052964966631821195</v>
      </c>
      <c r="N112" s="10"/>
      <c r="R112" s="2"/>
    </row>
    <row r="113" spans="1:18" ht="15.75" customHeight="1">
      <c r="A113" s="19"/>
      <c r="B113" s="20">
        <f>DATE(2022,12,1)</f>
        <v>44896</v>
      </c>
      <c r="C113" s="21">
        <v>365576</v>
      </c>
      <c r="D113" s="21">
        <v>337706</v>
      </c>
      <c r="E113" s="23">
        <f t="shared" si="45"/>
        <v>0.08252740549472026</v>
      </c>
      <c r="F113" s="21">
        <f>+C113-180532</f>
        <v>185044</v>
      </c>
      <c r="G113" s="21">
        <f>+D113-167775</f>
        <v>169931</v>
      </c>
      <c r="H113" s="23">
        <f t="shared" si="46"/>
        <v>0.08893609759255228</v>
      </c>
      <c r="I113" s="24">
        <f t="shared" si="47"/>
        <v>56.937219976147226</v>
      </c>
      <c r="J113" s="24">
        <f t="shared" si="48"/>
        <v>112.48611751799571</v>
      </c>
      <c r="K113" s="21">
        <v>20814881.13</v>
      </c>
      <c r="L113" s="21">
        <v>21876573.8</v>
      </c>
      <c r="M113" s="25">
        <f t="shared" si="49"/>
        <v>-0.04853103048522167</v>
      </c>
      <c r="N113" s="10"/>
      <c r="R113" s="2"/>
    </row>
    <row r="114" spans="1:18" ht="15.75" customHeight="1">
      <c r="A114" s="19"/>
      <c r="B114" s="20">
        <f>DATE(2023,1,1)</f>
        <v>44927</v>
      </c>
      <c r="C114" s="21">
        <v>342355</v>
      </c>
      <c r="D114" s="21">
        <v>310561</v>
      </c>
      <c r="E114" s="23">
        <f t="shared" si="45"/>
        <v>0.10237602274593396</v>
      </c>
      <c r="F114" s="21">
        <f>+C114-168925</f>
        <v>173430</v>
      </c>
      <c r="G114" s="21">
        <f>+D114-154923</f>
        <v>155638</v>
      </c>
      <c r="H114" s="23">
        <f t="shared" si="46"/>
        <v>0.1143165550829489</v>
      </c>
      <c r="I114" s="24">
        <f t="shared" si="47"/>
        <v>60.37548509588</v>
      </c>
      <c r="J114" s="24">
        <f t="shared" si="48"/>
        <v>119.18266274577638</v>
      </c>
      <c r="K114" s="21">
        <v>20669849.2</v>
      </c>
      <c r="L114" s="21">
        <v>18760398.27</v>
      </c>
      <c r="M114" s="25">
        <f t="shared" si="49"/>
        <v>0.10178093783080436</v>
      </c>
      <c r="N114" s="10"/>
      <c r="R114" s="2"/>
    </row>
    <row r="115" spans="1:18" ht="15.75" customHeight="1">
      <c r="A115" s="19"/>
      <c r="B115" s="20">
        <f>DATE(2023,2,1)</f>
        <v>44958</v>
      </c>
      <c r="C115" s="21">
        <v>337138</v>
      </c>
      <c r="D115" s="21">
        <v>302200</v>
      </c>
      <c r="E115" s="23">
        <f t="shared" si="45"/>
        <v>0.1156121773659828</v>
      </c>
      <c r="F115" s="21">
        <f>+C115-165978</f>
        <v>171160</v>
      </c>
      <c r="G115" s="21">
        <f>+D115-150400</f>
        <v>151800</v>
      </c>
      <c r="H115" s="23">
        <f t="shared" si="46"/>
        <v>0.12753623188405797</v>
      </c>
      <c r="I115" s="24">
        <f t="shared" si="47"/>
        <v>61.958730786799464</v>
      </c>
      <c r="J115" s="24">
        <f t="shared" si="48"/>
        <v>122.04161357793876</v>
      </c>
      <c r="K115" s="21">
        <v>20888642.58</v>
      </c>
      <c r="L115" s="21">
        <v>19485353.88</v>
      </c>
      <c r="M115" s="25">
        <f t="shared" si="49"/>
        <v>0.07201761428825533</v>
      </c>
      <c r="N115" s="10"/>
      <c r="R115" s="2"/>
    </row>
    <row r="116" spans="1:18" ht="15.75" customHeight="1" thickBot="1">
      <c r="A116" s="19"/>
      <c r="B116" s="45"/>
      <c r="C116" s="21"/>
      <c r="D116" s="21"/>
      <c r="E116" s="23"/>
      <c r="F116" s="21"/>
      <c r="G116" s="21"/>
      <c r="H116" s="23"/>
      <c r="I116" s="24"/>
      <c r="J116" s="24"/>
      <c r="K116" s="21"/>
      <c r="L116" s="21"/>
      <c r="M116" s="25"/>
      <c r="N116" s="10"/>
      <c r="R116" s="2"/>
    </row>
    <row r="117" spans="1:18" ht="16.5" thickBot="1" thickTop="1">
      <c r="A117" s="39" t="s">
        <v>14</v>
      </c>
      <c r="B117" s="40"/>
      <c r="C117" s="41">
        <f>SUM(C108:C116)</f>
        <v>2742706</v>
      </c>
      <c r="D117" s="41">
        <f>SUM(D108:D116)</f>
        <v>2596479</v>
      </c>
      <c r="E117" s="280">
        <f>(+C117-D117)/D117</f>
        <v>0.05631742063001472</v>
      </c>
      <c r="F117" s="41">
        <f>SUM(F108:F116)</f>
        <v>1408966</v>
      </c>
      <c r="G117" s="41">
        <f>SUM(G108:G116)</f>
        <v>1333550</v>
      </c>
      <c r="H117" s="42">
        <f>(+F117-G117)/G117</f>
        <v>0.05655281016834764</v>
      </c>
      <c r="I117" s="43">
        <f>K117/C117</f>
        <v>61.14193767760744</v>
      </c>
      <c r="J117" s="43">
        <f>K117/F117</f>
        <v>119.01945066098116</v>
      </c>
      <c r="K117" s="41">
        <f>SUM(K108:K116)</f>
        <v>167694359.32</v>
      </c>
      <c r="L117" s="41">
        <f>SUM(L108:L116)</f>
        <v>159794296.17</v>
      </c>
      <c r="M117" s="44">
        <f>(+K117-L117)/L117</f>
        <v>0.049438955828532104</v>
      </c>
      <c r="N117" s="10"/>
      <c r="R117" s="2"/>
    </row>
    <row r="118" spans="1:18" ht="15.75" customHeight="1" thickTop="1">
      <c r="A118" s="58"/>
      <c r="B118" s="59"/>
      <c r="C118" s="59"/>
      <c r="D118" s="59"/>
      <c r="E118" s="60"/>
      <c r="F118" s="59"/>
      <c r="G118" s="59"/>
      <c r="H118" s="60"/>
      <c r="I118" s="59"/>
      <c r="J118" s="59"/>
      <c r="K118" s="197"/>
      <c r="L118" s="197"/>
      <c r="M118" s="61"/>
      <c r="N118" s="10"/>
      <c r="R118" s="2"/>
    </row>
    <row r="119" spans="1:18" ht="15" customHeight="1">
      <c r="A119" s="19" t="s">
        <v>54</v>
      </c>
      <c r="B119" s="20">
        <f>DATE(2022,7,1)</f>
        <v>44743</v>
      </c>
      <c r="C119" s="21">
        <v>45743</v>
      </c>
      <c r="D119" s="21">
        <v>54523</v>
      </c>
      <c r="E119" s="23">
        <f aca="true" t="shared" si="50" ref="E119:E126">(+C119-D119)/D119</f>
        <v>-0.1610329585679438</v>
      </c>
      <c r="F119" s="21">
        <f>+C119-23748</f>
        <v>21995</v>
      </c>
      <c r="G119" s="21">
        <f>+D119-27936</f>
        <v>26587</v>
      </c>
      <c r="H119" s="23">
        <f aca="true" t="shared" si="51" ref="H119:H126">(+F119-G119)/G119</f>
        <v>-0.17271598901718885</v>
      </c>
      <c r="I119" s="24">
        <f aca="true" t="shared" si="52" ref="I119:I126">K119/C119</f>
        <v>71.13247229084232</v>
      </c>
      <c r="J119" s="24">
        <f aca="true" t="shared" si="53" ref="J119:J126">K119/F119</f>
        <v>147.93419777222095</v>
      </c>
      <c r="K119" s="21">
        <v>3253812.68</v>
      </c>
      <c r="L119" s="21">
        <v>3636808.62</v>
      </c>
      <c r="M119" s="25">
        <f aca="true" t="shared" si="54" ref="M119:M126">(+K119-L119)/L119</f>
        <v>-0.1053109965406978</v>
      </c>
      <c r="N119" s="10"/>
      <c r="R119" s="2"/>
    </row>
    <row r="120" spans="1:18" ht="15" customHeight="1">
      <c r="A120" s="19"/>
      <c r="B120" s="20">
        <f>DATE(2022,8,1)</f>
        <v>44774</v>
      </c>
      <c r="C120" s="21">
        <v>40978</v>
      </c>
      <c r="D120" s="21">
        <v>47684</v>
      </c>
      <c r="E120" s="23">
        <f t="shared" si="50"/>
        <v>-0.14063417498532002</v>
      </c>
      <c r="F120" s="21">
        <f>+C120-21136</f>
        <v>19842</v>
      </c>
      <c r="G120" s="21">
        <f>+D120-24640</f>
        <v>23044</v>
      </c>
      <c r="H120" s="23">
        <f t="shared" si="51"/>
        <v>-0.1389515709078285</v>
      </c>
      <c r="I120" s="24">
        <f t="shared" si="52"/>
        <v>72.08604763531652</v>
      </c>
      <c r="J120" s="24">
        <f t="shared" si="53"/>
        <v>148.87320129019253</v>
      </c>
      <c r="K120" s="21">
        <v>2953942.06</v>
      </c>
      <c r="L120" s="21">
        <v>3224724.59</v>
      </c>
      <c r="M120" s="25">
        <f t="shared" si="54"/>
        <v>-0.0839707461653337</v>
      </c>
      <c r="N120" s="10"/>
      <c r="R120" s="2"/>
    </row>
    <row r="121" spans="1:18" ht="15" customHeight="1">
      <c r="A121" s="19"/>
      <c r="B121" s="20">
        <f>DATE(2022,9,1)</f>
        <v>44805</v>
      </c>
      <c r="C121" s="21">
        <v>41696</v>
      </c>
      <c r="D121" s="21">
        <v>47289</v>
      </c>
      <c r="E121" s="23">
        <f t="shared" si="50"/>
        <v>-0.11827274841929412</v>
      </c>
      <c r="F121" s="21">
        <f>+C121-21639</f>
        <v>20057</v>
      </c>
      <c r="G121" s="21">
        <f>+D121-24190</f>
        <v>23099</v>
      </c>
      <c r="H121" s="23">
        <f t="shared" si="51"/>
        <v>-0.13169401272782372</v>
      </c>
      <c r="I121" s="24">
        <f t="shared" si="52"/>
        <v>74.37283792210285</v>
      </c>
      <c r="J121" s="24">
        <f t="shared" si="53"/>
        <v>154.6118487311163</v>
      </c>
      <c r="K121" s="21">
        <v>3101049.85</v>
      </c>
      <c r="L121" s="21">
        <v>3144600.15</v>
      </c>
      <c r="M121" s="25">
        <f t="shared" si="54"/>
        <v>-0.013849232946198204</v>
      </c>
      <c r="N121" s="10"/>
      <c r="R121" s="2"/>
    </row>
    <row r="122" spans="1:18" ht="15" customHeight="1">
      <c r="A122" s="19"/>
      <c r="B122" s="20">
        <f>DATE(2022,10,1)</f>
        <v>44835</v>
      </c>
      <c r="C122" s="21">
        <v>40713</v>
      </c>
      <c r="D122" s="21">
        <v>51019</v>
      </c>
      <c r="E122" s="23">
        <f t="shared" si="50"/>
        <v>-0.20200317528763795</v>
      </c>
      <c r="F122" s="21">
        <f>+C122-21150</f>
        <v>19563</v>
      </c>
      <c r="G122" s="21">
        <f>+D122-26626</f>
        <v>24393</v>
      </c>
      <c r="H122" s="23">
        <f t="shared" si="51"/>
        <v>-0.19800762513835937</v>
      </c>
      <c r="I122" s="24">
        <f t="shared" si="52"/>
        <v>74.91937391005331</v>
      </c>
      <c r="J122" s="24">
        <f t="shared" si="53"/>
        <v>155.91639676941165</v>
      </c>
      <c r="K122" s="21">
        <v>3050192.47</v>
      </c>
      <c r="L122" s="21">
        <v>3495138.43</v>
      </c>
      <c r="M122" s="25">
        <f t="shared" si="54"/>
        <v>-0.1273042452856438</v>
      </c>
      <c r="N122" s="10"/>
      <c r="R122" s="2"/>
    </row>
    <row r="123" spans="1:18" ht="15" customHeight="1">
      <c r="A123" s="19"/>
      <c r="B123" s="20">
        <f>DATE(2022,11,1)</f>
        <v>44866</v>
      </c>
      <c r="C123" s="21">
        <v>37233</v>
      </c>
      <c r="D123" s="21">
        <v>42978</v>
      </c>
      <c r="E123" s="23">
        <f t="shared" si="50"/>
        <v>-0.13367304202149938</v>
      </c>
      <c r="F123" s="21">
        <f>+C123-19170</f>
        <v>18063</v>
      </c>
      <c r="G123" s="21">
        <f>+D123-22231</f>
        <v>20747</v>
      </c>
      <c r="H123" s="23">
        <f t="shared" si="51"/>
        <v>-0.12936810141225238</v>
      </c>
      <c r="I123" s="24">
        <f t="shared" si="52"/>
        <v>75.17562646039804</v>
      </c>
      <c r="J123" s="24">
        <f t="shared" si="53"/>
        <v>154.95842883241986</v>
      </c>
      <c r="K123" s="21">
        <v>2799014.1</v>
      </c>
      <c r="L123" s="21">
        <v>3192010.29</v>
      </c>
      <c r="M123" s="25">
        <f t="shared" si="54"/>
        <v>-0.12311871024701489</v>
      </c>
      <c r="N123" s="10"/>
      <c r="R123" s="2"/>
    </row>
    <row r="124" spans="1:18" ht="15" customHeight="1">
      <c r="A124" s="19"/>
      <c r="B124" s="20">
        <f>DATE(2022,12,1)</f>
        <v>44896</v>
      </c>
      <c r="C124" s="21">
        <v>38888</v>
      </c>
      <c r="D124" s="21">
        <v>46732</v>
      </c>
      <c r="E124" s="23">
        <f t="shared" si="50"/>
        <v>-0.1678507232731319</v>
      </c>
      <c r="F124" s="21">
        <f>+C124-20548</f>
        <v>18340</v>
      </c>
      <c r="G124" s="21">
        <f>+D124-24398</f>
        <v>22334</v>
      </c>
      <c r="H124" s="23">
        <f t="shared" si="51"/>
        <v>-0.17883048267215904</v>
      </c>
      <c r="I124" s="24">
        <f t="shared" si="52"/>
        <v>79.65988788315163</v>
      </c>
      <c r="J124" s="24">
        <f t="shared" si="53"/>
        <v>168.91023555070885</v>
      </c>
      <c r="K124" s="21">
        <v>3097813.72</v>
      </c>
      <c r="L124" s="21">
        <v>3172345.79</v>
      </c>
      <c r="M124" s="25">
        <f t="shared" si="54"/>
        <v>-0.02349430829228734</v>
      </c>
      <c r="N124" s="10"/>
      <c r="R124" s="2"/>
    </row>
    <row r="125" spans="1:18" ht="15" customHeight="1">
      <c r="A125" s="19"/>
      <c r="B125" s="20">
        <f>DATE(2023,1,1)</f>
        <v>44927</v>
      </c>
      <c r="C125" s="21">
        <v>39674</v>
      </c>
      <c r="D125" s="21">
        <v>38219</v>
      </c>
      <c r="E125" s="23">
        <f t="shared" si="50"/>
        <v>0.03807006986054057</v>
      </c>
      <c r="F125" s="21">
        <f>+C125-21146</f>
        <v>18528</v>
      </c>
      <c r="G125" s="21">
        <f>+D125-20352</f>
        <v>17867</v>
      </c>
      <c r="H125" s="23">
        <f t="shared" si="51"/>
        <v>0.036995578440700734</v>
      </c>
      <c r="I125" s="24">
        <f t="shared" si="52"/>
        <v>72.79951882845188</v>
      </c>
      <c r="J125" s="24">
        <f t="shared" si="53"/>
        <v>155.8855845207254</v>
      </c>
      <c r="K125" s="21">
        <v>2888248.11</v>
      </c>
      <c r="L125" s="21">
        <v>2828394.75</v>
      </c>
      <c r="M125" s="25">
        <f t="shared" si="54"/>
        <v>0.021161600586339608</v>
      </c>
      <c r="N125" s="10"/>
      <c r="R125" s="2"/>
    </row>
    <row r="126" spans="1:18" ht="15" customHeight="1">
      <c r="A126" s="19"/>
      <c r="B126" s="20">
        <f>DATE(2023,2,1)</f>
        <v>44958</v>
      </c>
      <c r="C126" s="21">
        <v>44258</v>
      </c>
      <c r="D126" s="21">
        <v>40513</v>
      </c>
      <c r="E126" s="23">
        <f t="shared" si="50"/>
        <v>0.09243946387579295</v>
      </c>
      <c r="F126" s="21">
        <f>+C126-23416</f>
        <v>20842</v>
      </c>
      <c r="G126" s="21">
        <f>+D126-21623</f>
        <v>18890</v>
      </c>
      <c r="H126" s="23">
        <f t="shared" si="51"/>
        <v>0.10333509793541557</v>
      </c>
      <c r="I126" s="24">
        <f t="shared" si="52"/>
        <v>70.32988205522166</v>
      </c>
      <c r="J126" s="24">
        <f t="shared" si="53"/>
        <v>149.34554841186068</v>
      </c>
      <c r="K126" s="21">
        <v>3112659.92</v>
      </c>
      <c r="L126" s="21">
        <v>2975555.87</v>
      </c>
      <c r="M126" s="25">
        <f t="shared" si="54"/>
        <v>0.04607678564610511</v>
      </c>
      <c r="N126" s="10"/>
      <c r="R126" s="2"/>
    </row>
    <row r="127" spans="1:18" ht="15" thickBot="1">
      <c r="A127" s="38"/>
      <c r="B127" s="20"/>
      <c r="C127" s="21"/>
      <c r="D127" s="21"/>
      <c r="E127" s="23"/>
      <c r="F127" s="21"/>
      <c r="G127" s="21"/>
      <c r="H127" s="23"/>
      <c r="I127" s="24"/>
      <c r="J127" s="24"/>
      <c r="K127" s="21"/>
      <c r="L127" s="21"/>
      <c r="M127" s="25"/>
      <c r="N127" s="10"/>
      <c r="R127" s="2"/>
    </row>
    <row r="128" spans="1:18" ht="16.5" thickBot="1" thickTop="1">
      <c r="A128" s="62" t="s">
        <v>14</v>
      </c>
      <c r="B128" s="52"/>
      <c r="C128" s="48">
        <f>SUM(C119:C127)</f>
        <v>329183</v>
      </c>
      <c r="D128" s="48">
        <f>SUM(D119:D127)</f>
        <v>368957</v>
      </c>
      <c r="E128" s="280">
        <f>(+C128-D128)/D128</f>
        <v>-0.10780118008331595</v>
      </c>
      <c r="F128" s="48">
        <f>SUM(F119:F127)</f>
        <v>157230</v>
      </c>
      <c r="G128" s="48">
        <f>SUM(G119:G127)</f>
        <v>176961</v>
      </c>
      <c r="H128" s="42">
        <f>(+F128-G128)/G128</f>
        <v>-0.11149914387915981</v>
      </c>
      <c r="I128" s="50">
        <f>K128/C128</f>
        <v>73.68768408453656</v>
      </c>
      <c r="J128" s="50">
        <f>K128/F128</f>
        <v>154.27547484576732</v>
      </c>
      <c r="K128" s="48">
        <f>SUM(K119:K127)</f>
        <v>24256732.909999996</v>
      </c>
      <c r="L128" s="48">
        <f>SUM(L119:L127)</f>
        <v>25669578.49</v>
      </c>
      <c r="M128" s="44">
        <f>(+K128-L128)/L128</f>
        <v>-0.05503968756442179</v>
      </c>
      <c r="N128" s="10"/>
      <c r="R128" s="2"/>
    </row>
    <row r="129" spans="1:18" ht="15.75" customHeight="1" thickTop="1">
      <c r="A129" s="19"/>
      <c r="B129" s="45"/>
      <c r="C129" s="21"/>
      <c r="D129" s="21"/>
      <c r="E129" s="23"/>
      <c r="F129" s="21"/>
      <c r="G129" s="21"/>
      <c r="H129" s="23"/>
      <c r="I129" s="24"/>
      <c r="J129" s="24"/>
      <c r="K129" s="21"/>
      <c r="L129" s="21"/>
      <c r="M129" s="25"/>
      <c r="N129" s="10"/>
      <c r="R129" s="2"/>
    </row>
    <row r="130" spans="1:18" ht="15">
      <c r="A130" s="19" t="s">
        <v>17</v>
      </c>
      <c r="B130" s="20">
        <f>DATE(2022,7,1)</f>
        <v>44743</v>
      </c>
      <c r="C130" s="21">
        <v>376535</v>
      </c>
      <c r="D130" s="21">
        <v>395405</v>
      </c>
      <c r="E130" s="23">
        <f aca="true" t="shared" si="55" ref="E130:E137">(+C130-D130)/D130</f>
        <v>-0.047723220495441386</v>
      </c>
      <c r="F130" s="21">
        <f>+C130-192471</f>
        <v>184064</v>
      </c>
      <c r="G130" s="21">
        <f>+D130-202613</f>
        <v>192792</v>
      </c>
      <c r="H130" s="23">
        <f aca="true" t="shared" si="56" ref="H130:H137">(+F130-G130)/G130</f>
        <v>-0.04527158803269845</v>
      </c>
      <c r="I130" s="24">
        <f aca="true" t="shared" si="57" ref="I130:I137">K130/C130</f>
        <v>70.90780094811903</v>
      </c>
      <c r="J130" s="24">
        <f aca="true" t="shared" si="58" ref="J130:J137">K130/F130</f>
        <v>145.05426824365438</v>
      </c>
      <c r="K130" s="21">
        <v>26699268.83</v>
      </c>
      <c r="L130" s="21">
        <v>26479612.13</v>
      </c>
      <c r="M130" s="25">
        <f aca="true" t="shared" si="59" ref="M130:M137">(+K130-L130)/L130</f>
        <v>0.00829531410511636</v>
      </c>
      <c r="N130" s="10"/>
      <c r="R130" s="2"/>
    </row>
    <row r="131" spans="1:18" ht="15">
      <c r="A131" s="19"/>
      <c r="B131" s="20">
        <f>DATE(2022,8,1)</f>
        <v>44774</v>
      </c>
      <c r="C131" s="21">
        <v>348725</v>
      </c>
      <c r="D131" s="21">
        <v>360122</v>
      </c>
      <c r="E131" s="23">
        <f t="shared" si="55"/>
        <v>-0.031647608310516995</v>
      </c>
      <c r="F131" s="21">
        <f>+C131-177430</f>
        <v>171295</v>
      </c>
      <c r="G131" s="21">
        <f>+D131-186327</f>
        <v>173795</v>
      </c>
      <c r="H131" s="23">
        <f t="shared" si="56"/>
        <v>-0.014384763658333093</v>
      </c>
      <c r="I131" s="24">
        <f t="shared" si="57"/>
        <v>76.33593679833679</v>
      </c>
      <c r="J131" s="24">
        <f t="shared" si="58"/>
        <v>155.40587617852242</v>
      </c>
      <c r="K131" s="21">
        <v>26620249.56</v>
      </c>
      <c r="L131" s="21">
        <v>24423693.36</v>
      </c>
      <c r="M131" s="25">
        <f t="shared" si="59"/>
        <v>0.08993546420777694</v>
      </c>
      <c r="N131" s="10"/>
      <c r="R131" s="2"/>
    </row>
    <row r="132" spans="1:18" ht="15">
      <c r="A132" s="19"/>
      <c r="B132" s="20">
        <f>DATE(2022,9,1)</f>
        <v>44805</v>
      </c>
      <c r="C132" s="21">
        <v>351773</v>
      </c>
      <c r="D132" s="21">
        <v>353289</v>
      </c>
      <c r="E132" s="23">
        <f t="shared" si="55"/>
        <v>-0.004291104449897959</v>
      </c>
      <c r="F132" s="21">
        <f>+C132-180127</f>
        <v>171646</v>
      </c>
      <c r="G132" s="21">
        <f>+D132-183914</f>
        <v>169375</v>
      </c>
      <c r="H132" s="23">
        <f t="shared" si="56"/>
        <v>0.013408118081180812</v>
      </c>
      <c r="I132" s="24">
        <f t="shared" si="57"/>
        <v>69.59239259408766</v>
      </c>
      <c r="J132" s="24">
        <f t="shared" si="58"/>
        <v>142.62333360521072</v>
      </c>
      <c r="K132" s="21">
        <v>24480724.72</v>
      </c>
      <c r="L132" s="21">
        <v>23757941.86</v>
      </c>
      <c r="M132" s="25">
        <f t="shared" si="59"/>
        <v>0.030422789324899856</v>
      </c>
      <c r="N132" s="10"/>
      <c r="R132" s="2"/>
    </row>
    <row r="133" spans="1:18" ht="15">
      <c r="A133" s="19"/>
      <c r="B133" s="20">
        <f>DATE(2022,10,1)</f>
        <v>44835</v>
      </c>
      <c r="C133" s="21">
        <v>353411</v>
      </c>
      <c r="D133" s="21">
        <v>364454</v>
      </c>
      <c r="E133" s="23">
        <f t="shared" si="55"/>
        <v>-0.030300120179775774</v>
      </c>
      <c r="F133" s="21">
        <f>+C133-182814</f>
        <v>170597</v>
      </c>
      <c r="G133" s="21">
        <f>+D133-184794</f>
        <v>179660</v>
      </c>
      <c r="H133" s="23">
        <f t="shared" si="56"/>
        <v>-0.05044528553935211</v>
      </c>
      <c r="I133" s="24">
        <f t="shared" si="57"/>
        <v>69.23915308238848</v>
      </c>
      <c r="J133" s="24">
        <f t="shared" si="58"/>
        <v>143.43674466725673</v>
      </c>
      <c r="K133" s="21">
        <v>24469878.33</v>
      </c>
      <c r="L133" s="21">
        <v>26630976.69</v>
      </c>
      <c r="M133" s="25">
        <f t="shared" si="59"/>
        <v>-0.08114979728894063</v>
      </c>
      <c r="N133" s="10"/>
      <c r="R133" s="2"/>
    </row>
    <row r="134" spans="1:18" ht="15">
      <c r="A134" s="19"/>
      <c r="B134" s="20">
        <f>DATE(2022,11,1)</f>
        <v>44866</v>
      </c>
      <c r="C134" s="21">
        <v>324947</v>
      </c>
      <c r="D134" s="21">
        <v>343235</v>
      </c>
      <c r="E134" s="23">
        <f t="shared" si="55"/>
        <v>-0.05328127958978542</v>
      </c>
      <c r="F134" s="21">
        <f>+C134-166237</f>
        <v>158710</v>
      </c>
      <c r="G134" s="21">
        <f>+D134-177609</f>
        <v>165626</v>
      </c>
      <c r="H134" s="23">
        <f t="shared" si="56"/>
        <v>-0.041756729015975755</v>
      </c>
      <c r="I134" s="24">
        <f t="shared" si="57"/>
        <v>74.35448291567548</v>
      </c>
      <c r="J134" s="24">
        <f t="shared" si="58"/>
        <v>152.23531069245794</v>
      </c>
      <c r="K134" s="21">
        <v>24161266.16</v>
      </c>
      <c r="L134" s="21">
        <v>23879448.84</v>
      </c>
      <c r="M134" s="25">
        <f t="shared" si="59"/>
        <v>0.011801667697117598</v>
      </c>
      <c r="N134" s="10"/>
      <c r="R134" s="2"/>
    </row>
    <row r="135" spans="1:18" ht="15">
      <c r="A135" s="19"/>
      <c r="B135" s="20">
        <f>DATE(2022,12,1)</f>
        <v>44896</v>
      </c>
      <c r="C135" s="21">
        <v>362717</v>
      </c>
      <c r="D135" s="21">
        <v>379724</v>
      </c>
      <c r="E135" s="23">
        <f t="shared" si="55"/>
        <v>-0.04478779323930012</v>
      </c>
      <c r="F135" s="21">
        <f>+C135-186399</f>
        <v>176318</v>
      </c>
      <c r="G135" s="21">
        <f>+D135-197551</f>
        <v>182173</v>
      </c>
      <c r="H135" s="23">
        <f t="shared" si="56"/>
        <v>-0.03213977922085051</v>
      </c>
      <c r="I135" s="24">
        <f t="shared" si="57"/>
        <v>69.68148313974807</v>
      </c>
      <c r="J135" s="24">
        <f t="shared" si="58"/>
        <v>143.34701232999467</v>
      </c>
      <c r="K135" s="21">
        <v>25274658.52</v>
      </c>
      <c r="L135" s="21">
        <v>27250161.7</v>
      </c>
      <c r="M135" s="25">
        <f t="shared" si="59"/>
        <v>-0.07249509935935536</v>
      </c>
      <c r="N135" s="10"/>
      <c r="R135" s="2"/>
    </row>
    <row r="136" spans="1:18" ht="15">
      <c r="A136" s="19"/>
      <c r="B136" s="20">
        <f>DATE(2023,1,1)</f>
        <v>44927</v>
      </c>
      <c r="C136" s="21">
        <v>343820</v>
      </c>
      <c r="D136" s="21">
        <v>335416</v>
      </c>
      <c r="E136" s="23">
        <f t="shared" si="55"/>
        <v>0.025055453526367257</v>
      </c>
      <c r="F136" s="21">
        <f>+C136-178333</f>
        <v>165487</v>
      </c>
      <c r="G136" s="21">
        <f>+D136-174643</f>
        <v>160773</v>
      </c>
      <c r="H136" s="23">
        <f t="shared" si="56"/>
        <v>0.029320843673999987</v>
      </c>
      <c r="I136" s="24">
        <f t="shared" si="57"/>
        <v>70.874840439765</v>
      </c>
      <c r="J136" s="24">
        <f t="shared" si="58"/>
        <v>147.25137104425121</v>
      </c>
      <c r="K136" s="21">
        <v>24368187.64</v>
      </c>
      <c r="L136" s="21">
        <v>24334132.34</v>
      </c>
      <c r="M136" s="25">
        <f t="shared" si="59"/>
        <v>0.0013994869233131138</v>
      </c>
      <c r="N136" s="10"/>
      <c r="R136" s="2"/>
    </row>
    <row r="137" spans="1:18" ht="15">
      <c r="A137" s="19"/>
      <c r="B137" s="20">
        <f>DATE(2023,2,1)</f>
        <v>44958</v>
      </c>
      <c r="C137" s="21">
        <v>340730</v>
      </c>
      <c r="D137" s="21">
        <v>330616</v>
      </c>
      <c r="E137" s="23">
        <f t="shared" si="55"/>
        <v>0.0305913809374017</v>
      </c>
      <c r="F137" s="21">
        <f>+C137-178797</f>
        <v>161933</v>
      </c>
      <c r="G137" s="21">
        <f>+D137-173794</f>
        <v>156822</v>
      </c>
      <c r="H137" s="23">
        <f t="shared" si="56"/>
        <v>0.03259109053576666</v>
      </c>
      <c r="I137" s="24">
        <f t="shared" si="57"/>
        <v>74.57522478208553</v>
      </c>
      <c r="J137" s="24">
        <f t="shared" si="58"/>
        <v>156.91685042579337</v>
      </c>
      <c r="K137" s="21">
        <v>25410016.34</v>
      </c>
      <c r="L137" s="21">
        <v>23208177.54</v>
      </c>
      <c r="M137" s="25">
        <f t="shared" si="59"/>
        <v>0.0948734038338454</v>
      </c>
      <c r="N137" s="10"/>
      <c r="R137" s="2"/>
    </row>
    <row r="138" spans="1:18" ht="15" thickBot="1">
      <c r="A138" s="38"/>
      <c r="B138" s="45"/>
      <c r="C138" s="21"/>
      <c r="D138" s="21"/>
      <c r="E138" s="23"/>
      <c r="F138" s="21"/>
      <c r="G138" s="21"/>
      <c r="H138" s="23"/>
      <c r="I138" s="24"/>
      <c r="J138" s="24"/>
      <c r="K138" s="21"/>
      <c r="L138" s="21"/>
      <c r="M138" s="25"/>
      <c r="N138" s="10"/>
      <c r="R138" s="2"/>
    </row>
    <row r="139" spans="1:18" ht="16.5" thickBot="1" thickTop="1">
      <c r="A139" s="39" t="s">
        <v>14</v>
      </c>
      <c r="B139" s="40"/>
      <c r="C139" s="41">
        <f>SUM(C130:C138)</f>
        <v>2802658</v>
      </c>
      <c r="D139" s="41">
        <f>SUM(D130:D138)</f>
        <v>2862261</v>
      </c>
      <c r="E139" s="280">
        <f>(+C139-D139)/D139</f>
        <v>-0.020823747380130604</v>
      </c>
      <c r="F139" s="41">
        <f>SUM(F130:F138)</f>
        <v>1360050</v>
      </c>
      <c r="G139" s="41">
        <f>SUM(G130:G138)</f>
        <v>1381016</v>
      </c>
      <c r="H139" s="42">
        <f>(+F139-G139)/G139</f>
        <v>-0.015181576462546415</v>
      </c>
      <c r="I139" s="43">
        <f>K139/C139</f>
        <v>71.89041620490264</v>
      </c>
      <c r="J139" s="43">
        <f>K139/F139</f>
        <v>148.1447373993603</v>
      </c>
      <c r="K139" s="41">
        <f>SUM(K130:K138)</f>
        <v>201484250.1</v>
      </c>
      <c r="L139" s="41">
        <f>SUM(L130:L138)</f>
        <v>199964144.45999998</v>
      </c>
      <c r="M139" s="44">
        <f>(+K139-L139)/L139</f>
        <v>0.007601891049543091</v>
      </c>
      <c r="N139" s="10"/>
      <c r="R139" s="2"/>
    </row>
    <row r="140" spans="1:18" ht="15.75" customHeight="1" thickTop="1">
      <c r="A140" s="19"/>
      <c r="B140" s="45"/>
      <c r="C140" s="21"/>
      <c r="D140" s="21"/>
      <c r="E140" s="23"/>
      <c r="F140" s="21"/>
      <c r="G140" s="21"/>
      <c r="H140" s="23"/>
      <c r="I140" s="24"/>
      <c r="J140" s="24"/>
      <c r="K140" s="21"/>
      <c r="L140" s="21"/>
      <c r="M140" s="25"/>
      <c r="N140" s="10"/>
      <c r="R140" s="2"/>
    </row>
    <row r="141" spans="1:18" ht="15">
      <c r="A141" s="19" t="s">
        <v>56</v>
      </c>
      <c r="B141" s="20">
        <f>DATE(2022,7,1)</f>
        <v>44743</v>
      </c>
      <c r="C141" s="21">
        <v>68778</v>
      </c>
      <c r="D141" s="21">
        <v>70527</v>
      </c>
      <c r="E141" s="23">
        <f aca="true" t="shared" si="60" ref="E141:E148">(+C141-D141)/D141</f>
        <v>-0.024799013143902336</v>
      </c>
      <c r="F141" s="21">
        <f>+C141-29763</f>
        <v>39015</v>
      </c>
      <c r="G141" s="21">
        <f>+D141-30135</f>
        <v>40392</v>
      </c>
      <c r="H141" s="23">
        <f aca="true" t="shared" si="61" ref="H141:H148">(+F141-G141)/G141</f>
        <v>-0.03409090909090909</v>
      </c>
      <c r="I141" s="24">
        <f aca="true" t="shared" si="62" ref="I141:I148">K141/C141</f>
        <v>60.16359446334584</v>
      </c>
      <c r="J141" s="24">
        <f aca="true" t="shared" si="63" ref="J141:J148">K141/F141</f>
        <v>106.060020504934</v>
      </c>
      <c r="K141" s="21">
        <v>4137931.7</v>
      </c>
      <c r="L141" s="21">
        <v>4091344.57</v>
      </c>
      <c r="M141" s="25">
        <f aca="true" t="shared" si="64" ref="M141:M148">(+K141-L141)/L141</f>
        <v>0.011386752986195039</v>
      </c>
      <c r="N141" s="10"/>
      <c r="R141" s="2"/>
    </row>
    <row r="142" spans="1:18" ht="15">
      <c r="A142" s="19"/>
      <c r="B142" s="20">
        <f>DATE(2022,8,1)</f>
        <v>44774</v>
      </c>
      <c r="C142" s="21">
        <v>61732</v>
      </c>
      <c r="D142" s="21">
        <v>69916</v>
      </c>
      <c r="E142" s="23">
        <f t="shared" si="60"/>
        <v>-0.1170547514159849</v>
      </c>
      <c r="F142" s="21">
        <f>+C142-26815</f>
        <v>34917</v>
      </c>
      <c r="G142" s="21">
        <f>+D142-30124</f>
        <v>39792</v>
      </c>
      <c r="H142" s="23">
        <f t="shared" si="61"/>
        <v>-0.12251206272617611</v>
      </c>
      <c r="I142" s="24">
        <f t="shared" si="62"/>
        <v>59.28251133933779</v>
      </c>
      <c r="J142" s="24">
        <f t="shared" si="63"/>
        <v>104.80934759572702</v>
      </c>
      <c r="K142" s="21">
        <v>3659627.99</v>
      </c>
      <c r="L142" s="21">
        <v>3930320.16</v>
      </c>
      <c r="M142" s="25">
        <f t="shared" si="64"/>
        <v>-0.06887280399060414</v>
      </c>
      <c r="N142" s="10"/>
      <c r="R142" s="2"/>
    </row>
    <row r="143" spans="1:18" ht="15">
      <c r="A143" s="19"/>
      <c r="B143" s="20">
        <f>DATE(2022,9,1)</f>
        <v>44805</v>
      </c>
      <c r="C143" s="21">
        <v>62788</v>
      </c>
      <c r="D143" s="21">
        <v>66900</v>
      </c>
      <c r="E143" s="23">
        <f t="shared" si="60"/>
        <v>-0.06146487294469357</v>
      </c>
      <c r="F143" s="21">
        <f>+C143-27365</f>
        <v>35423</v>
      </c>
      <c r="G143" s="21">
        <f>+D143-28690</f>
        <v>38210</v>
      </c>
      <c r="H143" s="23">
        <f t="shared" si="61"/>
        <v>-0.0729390211986391</v>
      </c>
      <c r="I143" s="24">
        <f t="shared" si="62"/>
        <v>63.07989759189654</v>
      </c>
      <c r="J143" s="24">
        <f t="shared" si="63"/>
        <v>111.81042288908336</v>
      </c>
      <c r="K143" s="21">
        <v>3960660.61</v>
      </c>
      <c r="L143" s="21">
        <v>3635691.87</v>
      </c>
      <c r="M143" s="25">
        <f t="shared" si="64"/>
        <v>0.08938291571997264</v>
      </c>
      <c r="N143" s="10"/>
      <c r="R143" s="2"/>
    </row>
    <row r="144" spans="1:18" ht="15">
      <c r="A144" s="19"/>
      <c r="B144" s="20">
        <f>DATE(2022,10,1)</f>
        <v>44835</v>
      </c>
      <c r="C144" s="21">
        <v>62422</v>
      </c>
      <c r="D144" s="21">
        <v>71041</v>
      </c>
      <c r="E144" s="23">
        <f t="shared" si="60"/>
        <v>-0.12132430568263397</v>
      </c>
      <c r="F144" s="21">
        <f>+C144-27630</f>
        <v>34792</v>
      </c>
      <c r="G144" s="21">
        <f>+D144-30775</f>
        <v>40266</v>
      </c>
      <c r="H144" s="23">
        <f t="shared" si="61"/>
        <v>-0.13594595937018825</v>
      </c>
      <c r="I144" s="24">
        <f t="shared" si="62"/>
        <v>61.52534154624972</v>
      </c>
      <c r="J144" s="24">
        <f t="shared" si="63"/>
        <v>110.38557340767993</v>
      </c>
      <c r="K144" s="21">
        <v>3840534.87</v>
      </c>
      <c r="L144" s="21">
        <v>4122858.46</v>
      </c>
      <c r="M144" s="25">
        <f t="shared" si="64"/>
        <v>-0.06847763335537836</v>
      </c>
      <c r="N144" s="10"/>
      <c r="R144" s="2"/>
    </row>
    <row r="145" spans="1:18" ht="15">
      <c r="A145" s="19"/>
      <c r="B145" s="20">
        <f>DATE(2022,11,1)</f>
        <v>44866</v>
      </c>
      <c r="C145" s="21">
        <v>58006</v>
      </c>
      <c r="D145" s="21">
        <v>63538</v>
      </c>
      <c r="E145" s="23">
        <f t="shared" si="60"/>
        <v>-0.08706600774339765</v>
      </c>
      <c r="F145" s="21">
        <f>+C145-26107</f>
        <v>31899</v>
      </c>
      <c r="G145" s="21">
        <f>+D145-27532</f>
        <v>36006</v>
      </c>
      <c r="H145" s="23">
        <f t="shared" si="61"/>
        <v>-0.11406432261289785</v>
      </c>
      <c r="I145" s="24">
        <f t="shared" si="62"/>
        <v>61.60523807881943</v>
      </c>
      <c r="J145" s="24">
        <f t="shared" si="63"/>
        <v>112.02462271544562</v>
      </c>
      <c r="K145" s="21">
        <v>3573473.44</v>
      </c>
      <c r="L145" s="21">
        <v>3745220.41</v>
      </c>
      <c r="M145" s="25">
        <f t="shared" si="64"/>
        <v>-0.04585764019159561</v>
      </c>
      <c r="N145" s="10"/>
      <c r="R145" s="2"/>
    </row>
    <row r="146" spans="1:18" ht="15">
      <c r="A146" s="19"/>
      <c r="B146" s="20">
        <f>DATE(2022,12,1)</f>
        <v>44896</v>
      </c>
      <c r="C146" s="21">
        <v>64256</v>
      </c>
      <c r="D146" s="21">
        <v>69761</v>
      </c>
      <c r="E146" s="23">
        <f t="shared" si="60"/>
        <v>-0.07891228623442897</v>
      </c>
      <c r="F146" s="21">
        <f>+C146-29013</f>
        <v>35243</v>
      </c>
      <c r="G146" s="21">
        <f>+D146-31055</f>
        <v>38706</v>
      </c>
      <c r="H146" s="23">
        <f t="shared" si="61"/>
        <v>-0.08946933291996073</v>
      </c>
      <c r="I146" s="24">
        <f t="shared" si="62"/>
        <v>61.2319984125996</v>
      </c>
      <c r="J146" s="24">
        <f t="shared" si="63"/>
        <v>111.63985160173651</v>
      </c>
      <c r="K146" s="21">
        <v>3934523.29</v>
      </c>
      <c r="L146" s="21">
        <v>4118536.58</v>
      </c>
      <c r="M146" s="25">
        <f t="shared" si="64"/>
        <v>-0.04467928994332255</v>
      </c>
      <c r="N146" s="10"/>
      <c r="R146" s="2"/>
    </row>
    <row r="147" spans="1:18" ht="15">
      <c r="A147" s="19"/>
      <c r="B147" s="20">
        <f>DATE(2023,1,1)</f>
        <v>44927</v>
      </c>
      <c r="C147" s="21">
        <v>59434</v>
      </c>
      <c r="D147" s="21">
        <v>58380</v>
      </c>
      <c r="E147" s="23">
        <f t="shared" si="60"/>
        <v>0.018054128126070573</v>
      </c>
      <c r="F147" s="21">
        <f>+C147-26887</f>
        <v>32547</v>
      </c>
      <c r="G147" s="21">
        <f>+D147-26040</f>
        <v>32340</v>
      </c>
      <c r="H147" s="23">
        <f t="shared" si="61"/>
        <v>0.006400742115027829</v>
      </c>
      <c r="I147" s="24">
        <f t="shared" si="62"/>
        <v>61.41874634047851</v>
      </c>
      <c r="J147" s="24">
        <f t="shared" si="63"/>
        <v>112.15662795342121</v>
      </c>
      <c r="K147" s="21">
        <v>3650361.77</v>
      </c>
      <c r="L147" s="21">
        <v>3541693.83</v>
      </c>
      <c r="M147" s="25">
        <f t="shared" si="64"/>
        <v>0.030682477146817613</v>
      </c>
      <c r="N147" s="10"/>
      <c r="R147" s="2"/>
    </row>
    <row r="148" spans="1:18" ht="15">
      <c r="A148" s="19"/>
      <c r="B148" s="20">
        <f>DATE(2023,2,1)</f>
        <v>44958</v>
      </c>
      <c r="C148" s="21">
        <v>65887</v>
      </c>
      <c r="D148" s="21">
        <v>66748</v>
      </c>
      <c r="E148" s="23">
        <f t="shared" si="60"/>
        <v>-0.012899262899262898</v>
      </c>
      <c r="F148" s="21">
        <f>+C148-30047</f>
        <v>35840</v>
      </c>
      <c r="G148" s="21">
        <f>+D148-30082</f>
        <v>36666</v>
      </c>
      <c r="H148" s="23">
        <f t="shared" si="61"/>
        <v>-0.022527682321496753</v>
      </c>
      <c r="I148" s="24">
        <f t="shared" si="62"/>
        <v>62.82992593379574</v>
      </c>
      <c r="J148" s="24">
        <f t="shared" si="63"/>
        <v>115.50433398437501</v>
      </c>
      <c r="K148" s="21">
        <v>4139675.33</v>
      </c>
      <c r="L148" s="21">
        <v>4039571.72</v>
      </c>
      <c r="M148" s="25">
        <f t="shared" si="64"/>
        <v>0.024780748291801553</v>
      </c>
      <c r="N148" s="10"/>
      <c r="R148" s="2"/>
    </row>
    <row r="149" spans="1:18" ht="15" thickBot="1">
      <c r="A149" s="38"/>
      <c r="B149" s="45"/>
      <c r="C149" s="21"/>
      <c r="D149" s="21"/>
      <c r="E149" s="23"/>
      <c r="F149" s="21"/>
      <c r="G149" s="21"/>
      <c r="H149" s="23"/>
      <c r="I149" s="24"/>
      <c r="J149" s="24"/>
      <c r="K149" s="21"/>
      <c r="L149" s="21"/>
      <c r="M149" s="25"/>
      <c r="N149" s="10"/>
      <c r="R149" s="2"/>
    </row>
    <row r="150" spans="1:18" ht="16.5" thickBot="1" thickTop="1">
      <c r="A150" s="26" t="s">
        <v>14</v>
      </c>
      <c r="B150" s="27"/>
      <c r="C150" s="28">
        <f>SUM(C141:C149)</f>
        <v>503303</v>
      </c>
      <c r="D150" s="28">
        <f>SUM(D141:D149)</f>
        <v>536811</v>
      </c>
      <c r="E150" s="280">
        <f>(+C150-D150)/D150</f>
        <v>-0.06242047946111388</v>
      </c>
      <c r="F150" s="28">
        <f>SUM(F141:F149)</f>
        <v>279676</v>
      </c>
      <c r="G150" s="28">
        <f>SUM(G141:G149)</f>
        <v>302378</v>
      </c>
      <c r="H150" s="42">
        <f>(+F150-G150)/G150</f>
        <v>-0.07507821336208322</v>
      </c>
      <c r="I150" s="43">
        <f>K150/C150</f>
        <v>61.38804855127031</v>
      </c>
      <c r="J150" s="43">
        <f>K150/F150</f>
        <v>110.47350863141635</v>
      </c>
      <c r="K150" s="28">
        <f>SUM(K141:K149)</f>
        <v>30896789</v>
      </c>
      <c r="L150" s="28">
        <f>SUM(L141:L149)</f>
        <v>31225237.6</v>
      </c>
      <c r="M150" s="44">
        <f>(+K150-L150)/L150</f>
        <v>-0.010518690176436047</v>
      </c>
      <c r="N150" s="10"/>
      <c r="R150" s="2"/>
    </row>
    <row r="151" spans="1:18" ht="15.75" thickBot="1" thickTop="1">
      <c r="A151" s="63"/>
      <c r="B151" s="34"/>
      <c r="C151" s="35"/>
      <c r="D151" s="35"/>
      <c r="E151" s="29"/>
      <c r="F151" s="35"/>
      <c r="G151" s="35"/>
      <c r="H151" s="29"/>
      <c r="I151" s="36"/>
      <c r="J151" s="36"/>
      <c r="K151" s="35"/>
      <c r="L151" s="35"/>
      <c r="M151" s="37"/>
      <c r="N151" s="10"/>
      <c r="R151" s="2"/>
    </row>
    <row r="152" spans="1:18" ht="16.5" thickBot="1" thickTop="1">
      <c r="A152" s="64" t="s">
        <v>18</v>
      </c>
      <c r="B152" s="65"/>
      <c r="C152" s="28">
        <f>C150+C139+C62+C84+C95+C40+C18+C106+C117+C51+C128+C29+C73</f>
        <v>19170902</v>
      </c>
      <c r="D152" s="28">
        <f>D150+D139+D62+D84+D95+D40+D18+D106+D117+D51+D128+D29+D73</f>
        <v>19755818</v>
      </c>
      <c r="E152" s="279">
        <f>(+C152-D152)/D152</f>
        <v>-0.029607278220522178</v>
      </c>
      <c r="F152" s="28">
        <f>F150+F139+F62+F84+F95+F40+F18+F106+F117+F51+F128+F29+F73</f>
        <v>9747140</v>
      </c>
      <c r="G152" s="28">
        <f>G150+G139+G62+G84+G95+G40+G18+G106+G117+G51+G128+G29+G73</f>
        <v>9981222</v>
      </c>
      <c r="H152" s="30">
        <f>(+F152-G152)/G152</f>
        <v>-0.023452238613668748</v>
      </c>
      <c r="I152" s="31">
        <f>K152/C152</f>
        <v>65.7601630236282</v>
      </c>
      <c r="J152" s="31">
        <f>K152/F152</f>
        <v>129.33862043943145</v>
      </c>
      <c r="K152" s="28">
        <f>K150+K139+K62+K84+K95+K40+K18+K106+K117+K51+K128+K29+K73</f>
        <v>1260681640.83</v>
      </c>
      <c r="L152" s="28">
        <f>L150+L139+L62+L84+L95+L40+L18+L106+L117+L51+L128+L29+L73</f>
        <v>1240543229.4499998</v>
      </c>
      <c r="M152" s="32">
        <f>(+K152-L152)/L152</f>
        <v>0.016233542614172796</v>
      </c>
      <c r="N152" s="10"/>
      <c r="R152" s="2"/>
    </row>
    <row r="153" spans="1:18" ht="16.5" thickBot="1" thickTop="1">
      <c r="A153" s="64"/>
      <c r="B153" s="65"/>
      <c r="C153" s="28"/>
      <c r="D153" s="28"/>
      <c r="E153" s="29"/>
      <c r="F153" s="28"/>
      <c r="G153" s="28"/>
      <c r="H153" s="30"/>
      <c r="I153" s="31"/>
      <c r="J153" s="31"/>
      <c r="K153" s="28"/>
      <c r="L153" s="28"/>
      <c r="M153" s="32"/>
      <c r="N153" s="10"/>
      <c r="R153" s="2"/>
    </row>
    <row r="154" spans="1:18" ht="16.5" thickBot="1" thickTop="1">
      <c r="A154" s="64" t="s">
        <v>19</v>
      </c>
      <c r="B154" s="65"/>
      <c r="C154" s="28">
        <f>+C16+C27+C38+C49+C60+C71+C82+C93+C104+C115+C126+C137+C148</f>
        <v>2371224</v>
      </c>
      <c r="D154" s="28">
        <f>+D16+D27+D38+D49+D60+D71+D82+D93+D104+D115+D126+D137+D148</f>
        <v>2272825</v>
      </c>
      <c r="E154" s="279">
        <f>(+C154-D154)/D154</f>
        <v>0.043293698370970045</v>
      </c>
      <c r="F154" s="28">
        <f>+F16+F27+F38+F49+F60+F71+F82+F93+F104+F115+F126+F137+F148</f>
        <v>1190335</v>
      </c>
      <c r="G154" s="28">
        <f>+G16+G27+G38+G49+G60+G71+G82+G93+G104+G115+G126+G137+G148</f>
        <v>1126074</v>
      </c>
      <c r="H154" s="30">
        <f>(+F154-G154)/G154</f>
        <v>0.05706640948996247</v>
      </c>
      <c r="I154" s="31">
        <f>K154/C154</f>
        <v>66.17538100575905</v>
      </c>
      <c r="J154" s="31">
        <f>K154/F154</f>
        <v>131.8256219047579</v>
      </c>
      <c r="K154" s="28">
        <f>+K16+K27+K38+K49+K60+K71+K82+K93+K104+K115+K126+K137+K148</f>
        <v>156916651.65</v>
      </c>
      <c r="L154" s="28">
        <f>+L16+L27+L38+L49+L60+L71+L82+L93+L104+L115+L126+L137+L148</f>
        <v>145776716.8</v>
      </c>
      <c r="M154" s="32">
        <f>(+K154-L154)/L154</f>
        <v>0.07641779218613869</v>
      </c>
      <c r="N154" s="10"/>
      <c r="R154" s="2"/>
    </row>
    <row r="155" spans="1:18" ht="15" thickTop="1">
      <c r="A155" s="66"/>
      <c r="B155" s="67"/>
      <c r="C155" s="68"/>
      <c r="D155" s="67"/>
      <c r="E155" s="67"/>
      <c r="F155" s="67"/>
      <c r="G155" s="67"/>
      <c r="H155" s="67"/>
      <c r="I155" s="67"/>
      <c r="J155" s="67"/>
      <c r="K155" s="68"/>
      <c r="L155" s="68"/>
      <c r="M155" s="67"/>
      <c r="R155" s="2"/>
    </row>
    <row r="156" spans="1:18" ht="17.25">
      <c r="A156" s="264" t="s">
        <v>20</v>
      </c>
      <c r="B156" s="70"/>
      <c r="C156" s="71"/>
      <c r="D156" s="71"/>
      <c r="E156" s="71"/>
      <c r="F156" s="71"/>
      <c r="G156" s="71"/>
      <c r="H156" s="71"/>
      <c r="I156" s="71"/>
      <c r="J156" s="71"/>
      <c r="K156" s="198"/>
      <c r="L156" s="198"/>
      <c r="M156" s="71"/>
      <c r="N156" s="2"/>
      <c r="O156" s="2"/>
      <c r="P156" s="2"/>
      <c r="Q156" s="2"/>
      <c r="R156" s="2"/>
    </row>
    <row r="157" spans="1:18" ht="17.25">
      <c r="A157" s="69"/>
      <c r="B157" s="70"/>
      <c r="C157" s="71"/>
      <c r="D157" s="71"/>
      <c r="E157" s="71"/>
      <c r="F157" s="71"/>
      <c r="G157" s="71"/>
      <c r="H157" s="71"/>
      <c r="I157" s="71"/>
      <c r="J157" s="71"/>
      <c r="K157" s="198"/>
      <c r="L157" s="198"/>
      <c r="M157" s="71"/>
      <c r="N157" s="2"/>
      <c r="O157" s="2"/>
      <c r="P157" s="2"/>
      <c r="Q157" s="2"/>
      <c r="R157" s="2"/>
    </row>
    <row r="158" spans="1:18" ht="15">
      <c r="A158" s="72"/>
      <c r="B158" s="73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ht="15">
      <c r="A159" s="2"/>
      <c r="B159" s="73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ht="15">
      <c r="A160" s="2"/>
      <c r="B160" s="73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ht="15">
      <c r="A161" s="2"/>
      <c r="B161" s="73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ht="15">
      <c r="A162" s="2"/>
      <c r="B162" s="73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ht="15">
      <c r="A163" s="2"/>
      <c r="B163" s="73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ht="15">
      <c r="A164" s="2"/>
      <c r="B164" s="73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ht="15">
      <c r="A165" s="2"/>
      <c r="B165" s="73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ht="15">
      <c r="A166" s="2"/>
      <c r="B166" s="73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ht="15">
      <c r="A167" s="2"/>
      <c r="B167" s="73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4"/>
      <c r="N167" s="2"/>
      <c r="O167" s="2"/>
      <c r="P167" s="2"/>
      <c r="Q167" s="2"/>
      <c r="R167" s="2"/>
    </row>
    <row r="168" spans="1:18" ht="15">
      <c r="A168" s="2"/>
      <c r="B168" s="73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4"/>
      <c r="N168" s="2"/>
      <c r="O168" s="2"/>
      <c r="P168" s="2"/>
      <c r="Q168" s="2"/>
      <c r="R168" s="2"/>
    </row>
    <row r="169" spans="1:18" ht="15">
      <c r="A169" s="2"/>
      <c r="B169" s="70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4"/>
      <c r="N169" s="2"/>
      <c r="O169" s="2"/>
      <c r="P169" s="2"/>
      <c r="Q169" s="2"/>
      <c r="R169" s="2"/>
    </row>
    <row r="170" spans="1:18" ht="15">
      <c r="A170" s="76"/>
      <c r="B170" s="70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ht="15">
      <c r="A171" s="76"/>
      <c r="B171" s="70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ht="15">
      <c r="A172" s="76"/>
      <c r="B172" s="70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ht="15">
      <c r="A173" s="2"/>
      <c r="B173" s="70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ht="15">
      <c r="A174" s="76"/>
      <c r="B174" s="73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ht="15">
      <c r="A175" s="2"/>
      <c r="B175" s="73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ht="15">
      <c r="A176" s="2"/>
      <c r="B176" s="73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ht="15">
      <c r="A177" s="2"/>
      <c r="B177" s="77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ht="15">
      <c r="A178" s="2"/>
      <c r="B178" s="77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ht="15">
      <c r="A179" s="2"/>
      <c r="B179" s="77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ht="15">
      <c r="A180" s="2"/>
      <c r="B180" s="77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ht="15">
      <c r="A181" s="2"/>
      <c r="B181" s="77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ht="15">
      <c r="A182" s="2"/>
      <c r="B182" s="77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ht="15">
      <c r="A183" s="2"/>
      <c r="B183" s="77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ht="15">
      <c r="A184" s="2"/>
      <c r="B184" s="77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ht="15">
      <c r="A185" s="2"/>
      <c r="B185" s="77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ht="15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ht="15">
      <c r="A187" s="76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ht="15">
      <c r="A188" s="2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ht="15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ht="15">
      <c r="A190" s="76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ht="15">
      <c r="A191" s="76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ht="15">
      <c r="A192" s="76"/>
      <c r="B192" s="77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ht="15">
      <c r="A193" s="2"/>
      <c r="B193" s="77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ht="15">
      <c r="A194" s="2"/>
      <c r="B194" s="77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ht="15">
      <c r="A195" s="2"/>
      <c r="B195" s="77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ht="15">
      <c r="A196" s="2"/>
      <c r="B196" s="77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ht="15">
      <c r="A197" s="2"/>
      <c r="B197" s="77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ht="15">
      <c r="A198" s="2"/>
      <c r="B198" s="77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ht="15">
      <c r="A199" s="2"/>
      <c r="B199" s="77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ht="15">
      <c r="A200" s="2"/>
      <c r="B200" s="77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ht="15">
      <c r="A201" s="2"/>
      <c r="B201" s="77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ht="15">
      <c r="A202" s="2"/>
      <c r="B202" s="77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ht="15">
      <c r="A203" s="2"/>
      <c r="B203" s="77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">
      <c r="A205" s="76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ht="15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ht="15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ht="15">
      <c r="A208" s="76"/>
      <c r="B208" s="77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ht="15">
      <c r="A209" s="2"/>
      <c r="B209" s="77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ht="15">
      <c r="A210" s="2"/>
      <c r="B210" s="77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ht="15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ht="15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">
      <c r="A214" s="76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ht="15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ht="15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">
      <c r="A217" s="76"/>
      <c r="B217" s="76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ht="15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ht="15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ht="15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ht="15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ht="15">
      <c r="A223" s="2"/>
      <c r="B223" s="2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ht="15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ht="15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ht="15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ht="15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ht="15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ht="15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ht="15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ht="15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ht="15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ht="15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ht="15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ht="15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ht="15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ht="15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ht="15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ht="15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ht="15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ht="15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ht="15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ht="15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ht="15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ht="15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ht="15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ht="15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ht="15">
      <c r="A249" s="2"/>
      <c r="B249" s="2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ht="15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ht="15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ht="15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ht="15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ht="15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ht="15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ht="15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ht="15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ht="15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ht="15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ht="15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ht="15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ht="15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ht="15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ht="15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ht="15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ht="15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ht="15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ht="15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ht="15">
      <c r="A269" s="2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ht="15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ht="15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ht="15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ht="15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ht="15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ht="15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ht="15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ht="15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ht="15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ht="15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ht="15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ht="15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ht="15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ht="15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ht="15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ht="15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ht="15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ht="15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ht="15">
      <c r="A288" s="2"/>
      <c r="B288" s="2"/>
      <c r="C288" s="74"/>
      <c r="D288" s="74"/>
      <c r="E288" s="74"/>
      <c r="F288" s="74"/>
      <c r="G288" s="74"/>
      <c r="H288" s="74"/>
      <c r="I288" s="74"/>
      <c r="J288" s="74"/>
      <c r="K288" s="192"/>
      <c r="L288" s="192"/>
      <c r="M288" s="75"/>
      <c r="N288" s="2"/>
      <c r="O288" s="2"/>
      <c r="P288" s="2"/>
      <c r="Q288" s="2"/>
      <c r="R288" s="2"/>
    </row>
    <row r="289" spans="1:18" ht="15">
      <c r="A289" s="2"/>
      <c r="B289" s="2"/>
      <c r="C289" s="74"/>
      <c r="D289" s="74"/>
      <c r="E289" s="74"/>
      <c r="F289" s="74"/>
      <c r="G289" s="74"/>
      <c r="H289" s="74"/>
      <c r="I289" s="74"/>
      <c r="J289" s="74"/>
      <c r="K289" s="192"/>
      <c r="L289" s="192"/>
      <c r="M289" s="75"/>
      <c r="N289" s="2"/>
      <c r="O289" s="2"/>
      <c r="P289" s="2"/>
      <c r="Q289" s="2"/>
      <c r="R289" s="2"/>
    </row>
    <row r="290" spans="1:18" ht="15">
      <c r="A290" s="2"/>
      <c r="B290" s="2"/>
      <c r="C290" s="74"/>
      <c r="D290" s="74"/>
      <c r="E290" s="74"/>
      <c r="F290" s="74"/>
      <c r="G290" s="74"/>
      <c r="H290" s="74"/>
      <c r="I290" s="74"/>
      <c r="J290" s="74"/>
      <c r="K290" s="192"/>
      <c r="L290" s="192"/>
      <c r="M290" s="75"/>
      <c r="N290" s="2"/>
      <c r="O290" s="2"/>
      <c r="P290" s="2"/>
      <c r="Q290" s="2"/>
      <c r="R290" s="2"/>
    </row>
    <row r="291" spans="1:18" ht="15">
      <c r="A291" s="2"/>
      <c r="B291" s="2"/>
      <c r="C291" s="74"/>
      <c r="D291" s="74"/>
      <c r="E291" s="74"/>
      <c r="F291" s="74"/>
      <c r="G291" s="74"/>
      <c r="H291" s="74"/>
      <c r="I291" s="74"/>
      <c r="J291" s="74"/>
      <c r="K291" s="192"/>
      <c r="L291" s="192"/>
      <c r="M291" s="75"/>
      <c r="N291" s="2"/>
      <c r="O291" s="2"/>
      <c r="P291" s="2"/>
      <c r="Q291" s="2"/>
      <c r="R291" s="2"/>
    </row>
    <row r="292" spans="1:18" ht="15">
      <c r="A292" s="2"/>
      <c r="B292" s="2"/>
      <c r="C292" s="74"/>
      <c r="D292" s="74"/>
      <c r="E292" s="74"/>
      <c r="F292" s="74"/>
      <c r="G292" s="74"/>
      <c r="H292" s="74"/>
      <c r="I292" s="74"/>
      <c r="J292" s="74"/>
      <c r="K292" s="192"/>
      <c r="L292" s="192"/>
      <c r="M292" s="75"/>
      <c r="N292" s="2"/>
      <c r="O292" s="2"/>
      <c r="P292" s="2"/>
      <c r="Q292" s="2"/>
      <c r="R292" s="2"/>
    </row>
    <row r="293" spans="1:18" ht="15">
      <c r="A293" s="2"/>
      <c r="B293" s="2"/>
      <c r="C293" s="74"/>
      <c r="D293" s="74"/>
      <c r="E293" s="74"/>
      <c r="F293" s="74"/>
      <c r="G293" s="74"/>
      <c r="H293" s="74"/>
      <c r="I293" s="74"/>
      <c r="J293" s="74"/>
      <c r="K293" s="192"/>
      <c r="L293" s="192"/>
      <c r="M293" s="75"/>
      <c r="N293" s="2"/>
      <c r="O293" s="2"/>
      <c r="P293" s="2"/>
      <c r="Q293" s="2"/>
      <c r="R293" s="2"/>
    </row>
    <row r="294" spans="1:18" ht="15">
      <c r="A294" s="2"/>
      <c r="B294" s="2"/>
      <c r="C294" s="74"/>
      <c r="D294" s="74"/>
      <c r="E294" s="74"/>
      <c r="F294" s="74"/>
      <c r="G294" s="74"/>
      <c r="H294" s="74"/>
      <c r="I294" s="74"/>
      <c r="J294" s="74"/>
      <c r="K294" s="192"/>
      <c r="L294" s="192"/>
      <c r="M294" s="75"/>
      <c r="N294" s="2"/>
      <c r="O294" s="2"/>
      <c r="P294" s="2"/>
      <c r="Q294" s="2"/>
      <c r="R294" s="2"/>
    </row>
    <row r="295" spans="1:18" ht="15">
      <c r="A295" s="2"/>
      <c r="B295" s="2"/>
      <c r="C295" s="74"/>
      <c r="D295" s="74"/>
      <c r="E295" s="74"/>
      <c r="F295" s="74"/>
      <c r="G295" s="74"/>
      <c r="H295" s="74"/>
      <c r="I295" s="74"/>
      <c r="J295" s="74"/>
      <c r="K295" s="192"/>
      <c r="L295" s="192"/>
      <c r="M295" s="75"/>
      <c r="N295" s="2"/>
      <c r="O295" s="2"/>
      <c r="P295" s="2"/>
      <c r="Q295" s="2"/>
      <c r="R295" s="2"/>
    </row>
    <row r="296" spans="1:18" ht="15">
      <c r="A296" s="2"/>
      <c r="B296" s="2"/>
      <c r="C296" s="74"/>
      <c r="D296" s="74"/>
      <c r="E296" s="74"/>
      <c r="F296" s="74"/>
      <c r="G296" s="74"/>
      <c r="H296" s="74"/>
      <c r="I296" s="74"/>
      <c r="J296" s="74"/>
      <c r="K296" s="192"/>
      <c r="L296" s="192"/>
      <c r="M296" s="75"/>
      <c r="N296" s="2"/>
      <c r="O296" s="2"/>
      <c r="P296" s="2"/>
      <c r="Q296" s="2"/>
      <c r="R296" s="2"/>
    </row>
    <row r="297" spans="1:18" ht="15">
      <c r="A297" s="2"/>
      <c r="B297" s="2"/>
      <c r="C297" s="74"/>
      <c r="D297" s="74"/>
      <c r="E297" s="74"/>
      <c r="F297" s="74"/>
      <c r="G297" s="74"/>
      <c r="H297" s="74"/>
      <c r="I297" s="74"/>
      <c r="J297" s="74"/>
      <c r="K297" s="192"/>
      <c r="L297" s="192"/>
      <c r="M297" s="75"/>
      <c r="N297" s="2"/>
      <c r="O297" s="2"/>
      <c r="P297" s="2"/>
      <c r="Q297" s="2"/>
      <c r="R297" s="2"/>
    </row>
    <row r="298" spans="1:18" ht="15">
      <c r="A298" s="2"/>
      <c r="B298" s="2"/>
      <c r="C298" s="74"/>
      <c r="D298" s="74"/>
      <c r="E298" s="74"/>
      <c r="F298" s="74"/>
      <c r="G298" s="74"/>
      <c r="H298" s="74"/>
      <c r="I298" s="74"/>
      <c r="J298" s="74"/>
      <c r="K298" s="192"/>
      <c r="L298" s="192"/>
      <c r="M298" s="75"/>
      <c r="N298" s="2"/>
      <c r="O298" s="2"/>
      <c r="P298" s="2"/>
      <c r="Q298" s="2"/>
      <c r="R298" s="2"/>
    </row>
    <row r="299" spans="1:18" ht="15">
      <c r="A299" s="2"/>
      <c r="B299" s="2"/>
      <c r="C299" s="74"/>
      <c r="D299" s="74"/>
      <c r="E299" s="74"/>
      <c r="F299" s="74"/>
      <c r="G299" s="74"/>
      <c r="H299" s="74"/>
      <c r="I299" s="74"/>
      <c r="J299" s="74"/>
      <c r="K299" s="192"/>
      <c r="L299" s="192"/>
      <c r="M299" s="75"/>
      <c r="N299" s="2"/>
      <c r="O299" s="2"/>
      <c r="P299" s="2"/>
      <c r="Q299" s="2"/>
      <c r="R299" s="2"/>
    </row>
    <row r="300" spans="1:18" ht="15">
      <c r="A300" s="2"/>
      <c r="B300" s="2"/>
      <c r="C300" s="74"/>
      <c r="D300" s="74"/>
      <c r="E300" s="74"/>
      <c r="F300" s="74"/>
      <c r="G300" s="74"/>
      <c r="H300" s="74"/>
      <c r="I300" s="74"/>
      <c r="J300" s="74"/>
      <c r="K300" s="192"/>
      <c r="L300" s="192"/>
      <c r="M300" s="75"/>
      <c r="N300" s="2"/>
      <c r="O300" s="2"/>
      <c r="P300" s="2"/>
      <c r="Q300" s="2"/>
      <c r="R300" s="2"/>
    </row>
    <row r="301" spans="1:18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  <row r="414" spans="1:18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92"/>
      <c r="L414" s="192"/>
      <c r="M414" s="75"/>
      <c r="N414" s="2"/>
      <c r="O414" s="2"/>
      <c r="P414" s="2"/>
      <c r="Q414" s="2"/>
      <c r="R414" s="2"/>
    </row>
    <row r="415" spans="1:18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92"/>
      <c r="L415" s="192"/>
      <c r="M415" s="75"/>
      <c r="N415" s="2"/>
      <c r="O415" s="2"/>
      <c r="P415" s="2"/>
      <c r="Q415" s="2"/>
      <c r="R415" s="2"/>
    </row>
    <row r="416" spans="1:18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92"/>
      <c r="L416" s="192"/>
      <c r="M416" s="75"/>
      <c r="N416" s="2"/>
      <c r="O416" s="2"/>
      <c r="P416" s="2"/>
      <c r="Q416" s="2"/>
      <c r="R416" s="2"/>
    </row>
    <row r="417" spans="1:18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92"/>
      <c r="L417" s="192"/>
      <c r="M417" s="75"/>
      <c r="N417" s="2"/>
      <c r="O417" s="2"/>
      <c r="P417" s="2"/>
      <c r="Q417" s="2"/>
      <c r="R417" s="2"/>
    </row>
    <row r="418" spans="1:18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92"/>
      <c r="L418" s="192"/>
      <c r="M418" s="75"/>
      <c r="N418" s="2"/>
      <c r="O418" s="2"/>
      <c r="P418" s="2"/>
      <c r="Q418" s="2"/>
      <c r="R418" s="2"/>
    </row>
    <row r="419" spans="1:18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92"/>
      <c r="L419" s="192"/>
      <c r="M419" s="75"/>
      <c r="N419" s="2"/>
      <c r="O419" s="2"/>
      <c r="P419" s="2"/>
      <c r="Q419" s="2"/>
      <c r="R419" s="2"/>
    </row>
    <row r="420" spans="1:18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92"/>
      <c r="L420" s="192"/>
      <c r="M420" s="75"/>
      <c r="N420" s="2"/>
      <c r="O420" s="2"/>
      <c r="P420" s="2"/>
      <c r="Q420" s="2"/>
      <c r="R420" s="2"/>
    </row>
    <row r="421" spans="1:18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92"/>
      <c r="L421" s="192"/>
      <c r="M421" s="75"/>
      <c r="N421" s="2"/>
      <c r="O421" s="2"/>
      <c r="P421" s="2"/>
      <c r="Q421" s="2"/>
      <c r="R421" s="2"/>
    </row>
    <row r="422" spans="1:18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92"/>
      <c r="L422" s="192"/>
      <c r="M422" s="75"/>
      <c r="N422" s="2"/>
      <c r="O422" s="2"/>
      <c r="P422" s="2"/>
      <c r="Q422" s="2"/>
      <c r="R422" s="2"/>
    </row>
    <row r="423" spans="1:18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92"/>
      <c r="L423" s="192"/>
      <c r="M423" s="75"/>
      <c r="N423" s="2"/>
      <c r="O423" s="2"/>
      <c r="P423" s="2"/>
      <c r="Q423" s="2"/>
      <c r="R423" s="2"/>
    </row>
    <row r="424" spans="1:18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92"/>
      <c r="L424" s="192"/>
      <c r="M424" s="75"/>
      <c r="N424" s="2"/>
      <c r="O424" s="2"/>
      <c r="P424" s="2"/>
      <c r="Q424" s="2"/>
      <c r="R424" s="2"/>
    </row>
    <row r="425" spans="1:18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92"/>
      <c r="L425" s="192"/>
      <c r="M425" s="75"/>
      <c r="N425" s="2"/>
      <c r="O425" s="2"/>
      <c r="P425" s="2"/>
      <c r="Q425" s="2"/>
      <c r="R425" s="2"/>
    </row>
    <row r="426" spans="1:18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92"/>
      <c r="L426" s="192"/>
      <c r="M426" s="75"/>
      <c r="N426" s="2"/>
      <c r="O426" s="2"/>
      <c r="P426" s="2"/>
      <c r="Q426" s="2"/>
      <c r="R426" s="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4" r:id="rId1"/>
  <rowBreaks count="3" manualBreakCount="3">
    <brk id="51" max="12" man="1"/>
    <brk id="95" max="12" man="1"/>
    <brk id="13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showOutlineSymbols="0" zoomScalePageLayoutView="0" workbookViewId="0" topLeftCell="A1">
      <selection activeCell="A4" sqref="A4"/>
    </sheetView>
  </sheetViews>
  <sheetFormatPr defaultColWidth="9.6640625" defaultRowHeight="15"/>
  <cols>
    <col min="1" max="1" width="10.21484375" style="80" customWidth="1"/>
    <col min="2" max="2" width="9.77734375" style="80" customWidth="1"/>
    <col min="3" max="3" width="16.10546875" style="80" customWidth="1"/>
    <col min="4" max="4" width="26.21484375" style="80" customWidth="1"/>
    <col min="5" max="6" width="13.6640625" style="80" customWidth="1"/>
    <col min="7" max="7" width="15.99609375" style="80" customWidth="1"/>
    <col min="8" max="8" width="12.4453125" style="80" customWidth="1"/>
    <col min="9" max="9" width="15.8867187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10.10546875" style="80" customWidth="1"/>
    <col min="15" max="15" width="13.4453125" style="80" customWidth="1"/>
    <col min="16" max="16" width="3.77734375" style="80" customWidth="1"/>
    <col min="17" max="16384" width="9.6640625" style="80" customWidth="1"/>
  </cols>
  <sheetData>
    <row r="1" spans="1:15" ht="22.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2.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2.5">
      <c r="A3" s="282" t="s">
        <v>74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2.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3.25" thickBot="1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5.7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">
      <c r="A7" s="105" t="s">
        <v>24</v>
      </c>
      <c r="B7" s="84" t="s">
        <v>13</v>
      </c>
      <c r="C7" s="84" t="s">
        <v>15</v>
      </c>
      <c r="D7" s="84" t="s">
        <v>62</v>
      </c>
      <c r="E7" s="275" t="s">
        <v>55</v>
      </c>
      <c r="F7" s="84" t="s">
        <v>60</v>
      </c>
      <c r="G7" s="84" t="s">
        <v>63</v>
      </c>
      <c r="H7" s="84" t="s">
        <v>68</v>
      </c>
      <c r="I7" s="84" t="s">
        <v>70</v>
      </c>
      <c r="J7" s="84" t="s">
        <v>25</v>
      </c>
      <c r="K7" s="84" t="s">
        <v>52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5.75" thickBot="1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" thickTop="1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">
      <c r="A10" s="88">
        <f>DATE(2022,7,1)</f>
        <v>44743</v>
      </c>
      <c r="B10" s="89">
        <f>'MONTHLY STATS'!$C$9*2</f>
        <v>435886</v>
      </c>
      <c r="C10" s="89">
        <f>'MONTHLY STATS'!$C$20*2</f>
        <v>229430</v>
      </c>
      <c r="D10" s="89">
        <f>'MONTHLY STATS'!$C$31*2</f>
        <v>113088</v>
      </c>
      <c r="E10" s="89">
        <f>'MONTHLY STATS'!$C$42*2</f>
        <v>655394</v>
      </c>
      <c r="F10" s="89">
        <f>'MONTHLY STATS'!$C$53*2</f>
        <v>438260</v>
      </c>
      <c r="G10" s="89">
        <f>'MONTHLY STATS'!$C$64*2</f>
        <v>190536</v>
      </c>
      <c r="H10" s="89">
        <f>'MONTHLY STATS'!$C$75*2</f>
        <v>441192</v>
      </c>
      <c r="I10" s="89">
        <f>'MONTHLY STATS'!$C$86*2</f>
        <v>452600</v>
      </c>
      <c r="J10" s="89">
        <f>'MONTHLY STATS'!$C$97*2</f>
        <v>542674</v>
      </c>
      <c r="K10" s="89">
        <f>'MONTHLY STATS'!$C$108*2</f>
        <v>717812</v>
      </c>
      <c r="L10" s="89">
        <f>'MONTHLY STATS'!$C$119*2</f>
        <v>91486</v>
      </c>
      <c r="M10" s="89">
        <f>'MONTHLY STATS'!$C$130*2</f>
        <v>753070</v>
      </c>
      <c r="N10" s="89">
        <f>'MONTHLY STATS'!$C$141*2</f>
        <v>137556</v>
      </c>
      <c r="O10" s="90">
        <f aca="true" t="shared" si="0" ref="O10:O15">SUM(B10:N10)</f>
        <v>5198984</v>
      </c>
      <c r="P10" s="83"/>
    </row>
    <row r="11" spans="1:16" ht="15">
      <c r="A11" s="88">
        <f>DATE(2022,8,1)</f>
        <v>44774</v>
      </c>
      <c r="B11" s="89">
        <f>'MONTHLY STATS'!$C$10*2</f>
        <v>398888</v>
      </c>
      <c r="C11" s="89">
        <f>'MONTHLY STATS'!$C$21*2</f>
        <v>207568</v>
      </c>
      <c r="D11" s="89">
        <f>'MONTHLY STATS'!$C$32*2</f>
        <v>99338</v>
      </c>
      <c r="E11" s="89">
        <f>'MONTHLY STATS'!$C$43*2</f>
        <v>605550</v>
      </c>
      <c r="F11" s="89">
        <f>'MONTHLY STATS'!$C$54*2</f>
        <v>408762</v>
      </c>
      <c r="G11" s="89">
        <f>'MONTHLY STATS'!$C$65*2</f>
        <v>170412</v>
      </c>
      <c r="H11" s="89">
        <f>'MONTHLY STATS'!$C$76*2</f>
        <v>408416</v>
      </c>
      <c r="I11" s="89">
        <f>'MONTHLY STATS'!$C$87*2</f>
        <v>465170</v>
      </c>
      <c r="J11" s="89">
        <f>'MONTHLY STATS'!$C$98*2</f>
        <v>489244</v>
      </c>
      <c r="K11" s="89">
        <f>'MONTHLY STATS'!$C$109*2</f>
        <v>664780</v>
      </c>
      <c r="L11" s="89">
        <f>'MONTHLY STATS'!$C$120*2</f>
        <v>81956</v>
      </c>
      <c r="M11" s="89">
        <f>'MONTHLY STATS'!$C$131*2</f>
        <v>697450</v>
      </c>
      <c r="N11" s="89">
        <f>'MONTHLY STATS'!$C$142*2</f>
        <v>123464</v>
      </c>
      <c r="O11" s="90">
        <f t="shared" si="0"/>
        <v>4820998</v>
      </c>
      <c r="P11" s="83"/>
    </row>
    <row r="12" spans="1:16" ht="15">
      <c r="A12" s="88">
        <f>DATE(2022,9,1)</f>
        <v>44805</v>
      </c>
      <c r="B12" s="89">
        <f>'MONTHLY STATS'!$C$11*2</f>
        <v>381706</v>
      </c>
      <c r="C12" s="89">
        <f>'MONTHLY STATS'!$C$22*2</f>
        <v>215022</v>
      </c>
      <c r="D12" s="89">
        <f>'MONTHLY STATS'!$C$33*2</f>
        <v>101046</v>
      </c>
      <c r="E12" s="89">
        <f>'MONTHLY STATS'!$C$44*2</f>
        <v>599172</v>
      </c>
      <c r="F12" s="89">
        <f>'MONTHLY STATS'!$C$55*2</f>
        <v>391758</v>
      </c>
      <c r="G12" s="89">
        <f>'MONTHLY STATS'!$C$66*2</f>
        <v>168642</v>
      </c>
      <c r="H12" s="89">
        <f>'MONTHLY STATS'!$C$77*2</f>
        <v>405278</v>
      </c>
      <c r="I12" s="89">
        <f>'MONTHLY STATS'!$C$88*2</f>
        <v>459598</v>
      </c>
      <c r="J12" s="89">
        <f>'MONTHLY STATS'!$C$99*2</f>
        <v>476474</v>
      </c>
      <c r="K12" s="89">
        <f>'MONTHLY STATS'!$C$110*2</f>
        <v>666202</v>
      </c>
      <c r="L12" s="89">
        <f>'MONTHLY STATS'!$C$121*2</f>
        <v>83392</v>
      </c>
      <c r="M12" s="89">
        <f>'MONTHLY STATS'!$C$132*2</f>
        <v>703546</v>
      </c>
      <c r="N12" s="89">
        <f>'MONTHLY STATS'!$C$143*2</f>
        <v>125576</v>
      </c>
      <c r="O12" s="90">
        <f t="shared" si="0"/>
        <v>4777412</v>
      </c>
      <c r="P12" s="83"/>
    </row>
    <row r="13" spans="1:16" ht="15">
      <c r="A13" s="88">
        <f>DATE(2022,10,1)</f>
        <v>44835</v>
      </c>
      <c r="B13" s="89">
        <f>'MONTHLY STATS'!$C$12*2</f>
        <v>383996</v>
      </c>
      <c r="C13" s="89">
        <f>'MONTHLY STATS'!$C$23*2</f>
        <v>208980</v>
      </c>
      <c r="D13" s="89">
        <f>'MONTHLY STATS'!$C$34*2</f>
        <v>94946</v>
      </c>
      <c r="E13" s="89">
        <f>'MONTHLY STATS'!$C$45*2</f>
        <v>561802</v>
      </c>
      <c r="F13" s="89">
        <f>'MONTHLY STATS'!$C$56*2</f>
        <v>395358</v>
      </c>
      <c r="G13" s="89">
        <f>'MONTHLY STATS'!$C$67*2</f>
        <v>170454</v>
      </c>
      <c r="H13" s="89">
        <f>'MONTHLY STATS'!$C$78*2</f>
        <v>395610</v>
      </c>
      <c r="I13" s="89">
        <f>'MONTHLY STATS'!$C$89*2</f>
        <v>425400</v>
      </c>
      <c r="J13" s="89">
        <f>'MONTHLY STATS'!$C$100*2</f>
        <v>486336</v>
      </c>
      <c r="K13" s="89">
        <f>'MONTHLY STATS'!$C$111*2</f>
        <v>674528</v>
      </c>
      <c r="L13" s="89">
        <f>'MONTHLY STATS'!$C$122*2</f>
        <v>81426</v>
      </c>
      <c r="M13" s="89">
        <f>'MONTHLY STATS'!$C$133*2</f>
        <v>706822</v>
      </c>
      <c r="N13" s="89">
        <f>'MONTHLY STATS'!$C$144*2</f>
        <v>124844</v>
      </c>
      <c r="O13" s="90">
        <f t="shared" si="0"/>
        <v>4710502</v>
      </c>
      <c r="P13" s="83"/>
    </row>
    <row r="14" spans="1:16" ht="15">
      <c r="A14" s="88">
        <f>DATE(2022,11,1)</f>
        <v>44866</v>
      </c>
      <c r="B14" s="89">
        <f>'MONTHLY STATS'!$C$13*2</f>
        <v>362658</v>
      </c>
      <c r="C14" s="89">
        <f>'MONTHLY STATS'!$C$24*2</f>
        <v>187356</v>
      </c>
      <c r="D14" s="89">
        <f>'MONTHLY STATS'!$C$35*2</f>
        <v>78850</v>
      </c>
      <c r="E14" s="89">
        <f>'MONTHLY STATS'!$C$46*2</f>
        <v>555404</v>
      </c>
      <c r="F14" s="89">
        <f>'MONTHLY STATS'!$C$57*2</f>
        <v>383954</v>
      </c>
      <c r="G14" s="89">
        <f>'MONTHLY STATS'!$C$68*2</f>
        <v>153436</v>
      </c>
      <c r="H14" s="89">
        <f>'MONTHLY STATS'!$C$79*2</f>
        <v>404640</v>
      </c>
      <c r="I14" s="89">
        <f>'MONTHLY STATS'!$C$90*2</f>
        <v>383016</v>
      </c>
      <c r="J14" s="89">
        <f>'MONTHLY STATS'!$C$101*2</f>
        <v>436800</v>
      </c>
      <c r="K14" s="89">
        <f>'MONTHLY STATS'!$C$112*2</f>
        <v>671952</v>
      </c>
      <c r="L14" s="89">
        <f>'MONTHLY STATS'!$C$123*2</f>
        <v>74466</v>
      </c>
      <c r="M14" s="89">
        <f>'MONTHLY STATS'!$C$134*2</f>
        <v>649894</v>
      </c>
      <c r="N14" s="89">
        <f>'MONTHLY STATS'!$C$145*2</f>
        <v>116012</v>
      </c>
      <c r="O14" s="90">
        <f t="shared" si="0"/>
        <v>4458438</v>
      </c>
      <c r="P14" s="83"/>
    </row>
    <row r="15" spans="1:16" ht="15">
      <c r="A15" s="88">
        <f>DATE(2022,12,1)</f>
        <v>44896</v>
      </c>
      <c r="B15" s="89">
        <f>'MONTHLY STATS'!$C$14*2</f>
        <v>396342</v>
      </c>
      <c r="C15" s="89">
        <f>'MONTHLY STATS'!$C$25*2</f>
        <v>204072</v>
      </c>
      <c r="D15" s="89">
        <f>'MONTHLY STATS'!$C$36*2</f>
        <v>86630</v>
      </c>
      <c r="E15" s="89">
        <f>'MONTHLY STATS'!$C$47*2</f>
        <v>605020</v>
      </c>
      <c r="F15" s="89">
        <f>'MONTHLY STATS'!$C$58*2</f>
        <v>386490</v>
      </c>
      <c r="G15" s="89">
        <f>'MONTHLY STATS'!$C$69*2</f>
        <v>179306</v>
      </c>
      <c r="H15" s="89">
        <f>'MONTHLY STATS'!$C$80*2</f>
        <v>446446</v>
      </c>
      <c r="I15" s="89">
        <f>'MONTHLY STATS'!$C$91*2</f>
        <v>428294</v>
      </c>
      <c r="J15" s="89">
        <f>'MONTHLY STATS'!$C$102*2</f>
        <v>501530</v>
      </c>
      <c r="K15" s="89">
        <f>'MONTHLY STATS'!$C$113*2</f>
        <v>731152</v>
      </c>
      <c r="L15" s="89">
        <f>'MONTHLY STATS'!$C$124*2</f>
        <v>77776</v>
      </c>
      <c r="M15" s="89">
        <f>'MONTHLY STATS'!$C$135*2</f>
        <v>725434</v>
      </c>
      <c r="N15" s="89">
        <f>'MONTHLY STATS'!$C$146*2</f>
        <v>128512</v>
      </c>
      <c r="O15" s="90">
        <f t="shared" si="0"/>
        <v>4897004</v>
      </c>
      <c r="P15" s="83"/>
    </row>
    <row r="16" spans="1:16" ht="15">
      <c r="A16" s="88">
        <f>DATE(2023,1,1)</f>
        <v>44927</v>
      </c>
      <c r="B16" s="89">
        <f>'MONTHLY STATS'!$C$15*2</f>
        <v>394006</v>
      </c>
      <c r="C16" s="89">
        <f>'MONTHLY STATS'!$C$26*2</f>
        <v>196502</v>
      </c>
      <c r="D16" s="89">
        <f>'MONTHLY STATS'!$C$37*2</f>
        <v>101620</v>
      </c>
      <c r="E16" s="89">
        <f>'MONTHLY STATS'!$C$48*2</f>
        <v>607664</v>
      </c>
      <c r="F16" s="89">
        <f>'MONTHLY STATS'!$C$59*2</f>
        <v>373762</v>
      </c>
      <c r="G16" s="89">
        <f>'MONTHLY STATS'!$C$70*2</f>
        <v>168828</v>
      </c>
      <c r="H16" s="89">
        <f>'MONTHLY STATS'!$C$81*2</f>
        <v>430248</v>
      </c>
      <c r="I16" s="89">
        <f>'MONTHLY STATS'!$C$92*2</f>
        <v>407378</v>
      </c>
      <c r="J16" s="89">
        <f>'MONTHLY STATS'!$C$103*2</f>
        <v>485444</v>
      </c>
      <c r="K16" s="89">
        <f>'MONTHLY STATS'!$C$114*2</f>
        <v>684710</v>
      </c>
      <c r="L16" s="89">
        <f>'MONTHLY STATS'!$C$125*2</f>
        <v>79348</v>
      </c>
      <c r="M16" s="89">
        <f>'MONTHLY STATS'!$C$136*2</f>
        <v>687640</v>
      </c>
      <c r="N16" s="89">
        <f>'MONTHLY STATS'!$C$147*2</f>
        <v>118868</v>
      </c>
      <c r="O16" s="90">
        <f>SUM(B16:N16)</f>
        <v>4736018</v>
      </c>
      <c r="P16" s="83"/>
    </row>
    <row r="17" spans="1:16" ht="15">
      <c r="A17" s="88">
        <f>DATE(2023,2,1)</f>
        <v>44958</v>
      </c>
      <c r="B17" s="89">
        <f>'MONTHLY STATS'!$C$16*2</f>
        <v>382576</v>
      </c>
      <c r="C17" s="89">
        <f>'MONTHLY STATS'!$C$27*2</f>
        <v>208520</v>
      </c>
      <c r="D17" s="89">
        <f>'MONTHLY STATS'!$C$38*2</f>
        <v>114614</v>
      </c>
      <c r="E17" s="89">
        <f>'MONTHLY STATS'!$C$49*2</f>
        <v>621012</v>
      </c>
      <c r="F17" s="89">
        <f>'MONTHLY STATS'!$C$60*2</f>
        <v>365396</v>
      </c>
      <c r="G17" s="89">
        <f>'MONTHLY STATS'!$C$71*2</f>
        <v>179058</v>
      </c>
      <c r="H17" s="89">
        <f>'MONTHLY STATS'!$C$82*2</f>
        <v>401596</v>
      </c>
      <c r="I17" s="89">
        <f>'MONTHLY STATS'!$C$93*2</f>
        <v>415814</v>
      </c>
      <c r="J17" s="89">
        <f>'MONTHLY STATS'!$C$104*2</f>
        <v>477836</v>
      </c>
      <c r="K17" s="89">
        <f>'MONTHLY STATS'!$C$115*2</f>
        <v>674276</v>
      </c>
      <c r="L17" s="89">
        <f>'MONTHLY STATS'!$C$126*2</f>
        <v>88516</v>
      </c>
      <c r="M17" s="89">
        <f>'MONTHLY STATS'!$C$137*2</f>
        <v>681460</v>
      </c>
      <c r="N17" s="89">
        <f>'MONTHLY STATS'!$C$148*2</f>
        <v>131774</v>
      </c>
      <c r="O17" s="90">
        <f>SUM(B17:N17)</f>
        <v>4742448</v>
      </c>
      <c r="P17" s="83"/>
    </row>
    <row r="18" spans="1:16" ht="1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">
      <c r="A23" s="91" t="s">
        <v>27</v>
      </c>
      <c r="B23" s="90">
        <f aca="true" t="shared" si="1" ref="B23:O23">SUM(B10:B21)</f>
        <v>3136058</v>
      </c>
      <c r="C23" s="90">
        <f t="shared" si="1"/>
        <v>1657450</v>
      </c>
      <c r="D23" s="90">
        <f t="shared" si="1"/>
        <v>790132</v>
      </c>
      <c r="E23" s="90">
        <f t="shared" si="1"/>
        <v>4811018</v>
      </c>
      <c r="F23" s="90">
        <f t="shared" si="1"/>
        <v>3143740</v>
      </c>
      <c r="G23" s="90">
        <f>SUM(G10:G21)</f>
        <v>1380672</v>
      </c>
      <c r="H23" s="90">
        <f t="shared" si="1"/>
        <v>3333426</v>
      </c>
      <c r="I23" s="90">
        <f>SUM(I10:I21)</f>
        <v>3437270</v>
      </c>
      <c r="J23" s="90">
        <f t="shared" si="1"/>
        <v>3896338</v>
      </c>
      <c r="K23" s="90">
        <f>SUM(K10:K21)</f>
        <v>5485412</v>
      </c>
      <c r="L23" s="90">
        <f t="shared" si="1"/>
        <v>658366</v>
      </c>
      <c r="M23" s="90">
        <f t="shared" si="1"/>
        <v>5605316</v>
      </c>
      <c r="N23" s="90">
        <f t="shared" si="1"/>
        <v>1006606</v>
      </c>
      <c r="O23" s="90">
        <f t="shared" si="1"/>
        <v>38341804</v>
      </c>
      <c r="P23" s="83"/>
    </row>
    <row r="24" spans="1:16" ht="15.75" thickBot="1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5" ht="15" thickTop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5" ht="23.25" thickBot="1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5.75" thickTop="1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">
      <c r="A28" s="105" t="s">
        <v>24</v>
      </c>
      <c r="B28" s="84" t="s">
        <v>13</v>
      </c>
      <c r="C28" s="84" t="s">
        <v>15</v>
      </c>
      <c r="D28" s="84" t="s">
        <v>62</v>
      </c>
      <c r="E28" s="275" t="s">
        <v>55</v>
      </c>
      <c r="F28" s="84" t="s">
        <v>60</v>
      </c>
      <c r="G28" s="84" t="s">
        <v>63</v>
      </c>
      <c r="H28" s="84" t="s">
        <v>68</v>
      </c>
      <c r="I28" s="84" t="s">
        <v>70</v>
      </c>
      <c r="J28" s="84" t="s">
        <v>25</v>
      </c>
      <c r="K28" s="106" t="s">
        <v>52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5.75" thickBot="1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" thickTop="1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">
      <c r="A31" s="88">
        <f>DATE(2022,7,1)</f>
        <v>44743</v>
      </c>
      <c r="B31" s="89">
        <f>'MONTHLY STATS'!$K$9*0.21</f>
        <v>3359049.834</v>
      </c>
      <c r="C31" s="89">
        <f>'MONTHLY STATS'!$K$20*0.21</f>
        <v>1763108.3841000001</v>
      </c>
      <c r="D31" s="89">
        <f>'MONTHLY STATS'!$K$31*0.21</f>
        <v>795167.667</v>
      </c>
      <c r="E31" s="89">
        <f>'MONTHLY STATS'!$K$42*0.21</f>
        <v>4494852.2304</v>
      </c>
      <c r="F31" s="89">
        <f>'MONTHLY STATS'!$K$53*0.21</f>
        <v>3165394.9026</v>
      </c>
      <c r="G31" s="89">
        <f>'MONTHLY STATS'!$K$64*0.21</f>
        <v>1314631.521</v>
      </c>
      <c r="H31" s="89">
        <f>'MONTHLY STATS'!$K$75*0.21</f>
        <v>2227424.3922</v>
      </c>
      <c r="I31" s="89">
        <f>'MONTHLY STATS'!$K$86*0.21</f>
        <v>2765364.9954</v>
      </c>
      <c r="J31" s="89">
        <f>'MONTHLY STATS'!$K$97*0.21</f>
        <v>3822849.2358</v>
      </c>
      <c r="K31" s="89">
        <f>'MONTHLY STATS'!$K$108*0.21</f>
        <v>4703370.6279</v>
      </c>
      <c r="L31" s="89">
        <f>'MONTHLY STATS'!$K$119*0.21</f>
        <v>683300.6628</v>
      </c>
      <c r="M31" s="89">
        <f>'MONTHLY STATS'!$K$130*0.21</f>
        <v>5606846.454299999</v>
      </c>
      <c r="N31" s="89">
        <f>'MONTHLY STATS'!$K$141*0.21</f>
        <v>868965.657</v>
      </c>
      <c r="O31" s="90">
        <f aca="true" t="shared" si="2" ref="O31:O36">SUM(B31:N31)</f>
        <v>35570326.5645</v>
      </c>
      <c r="P31" s="83"/>
    </row>
    <row r="32" spans="1:16" ht="15">
      <c r="A32" s="88">
        <f>DATE(2022,8,1)</f>
        <v>44774</v>
      </c>
      <c r="B32" s="89">
        <f>'MONTHLY STATS'!$K$10*0.21</f>
        <v>3188690.0198999997</v>
      </c>
      <c r="C32" s="89">
        <f>'MONTHLY STATS'!$K$21*0.21</f>
        <v>1588851.9213</v>
      </c>
      <c r="D32" s="89">
        <f>'MONTHLY STATS'!$K$32*0.21</f>
        <v>734372.8370999999</v>
      </c>
      <c r="E32" s="89">
        <f>'MONTHLY STATS'!$K$43*0.21</f>
        <v>4061676.9521999997</v>
      </c>
      <c r="F32" s="89">
        <f>'MONTHLY STATS'!$K$54*0.21</f>
        <v>3214879.5693</v>
      </c>
      <c r="G32" s="89">
        <f>'MONTHLY STATS'!$K$65*0.21</f>
        <v>1147680.3639</v>
      </c>
      <c r="H32" s="89">
        <f>'MONTHLY STATS'!$K$76*0.21</f>
        <v>2163098.6937</v>
      </c>
      <c r="I32" s="89">
        <f>'MONTHLY STATS'!$K$87*0.21</f>
        <v>2924821.5045</v>
      </c>
      <c r="J32" s="89">
        <f>'MONTHLY STATS'!$K$98*0.21</f>
        <v>3452400.8778</v>
      </c>
      <c r="K32" s="89">
        <f>'MONTHLY STATS'!$K$109*0.21</f>
        <v>4351146.3975</v>
      </c>
      <c r="L32" s="89">
        <f>'MONTHLY STATS'!$K$120*0.21</f>
        <v>620327.8326</v>
      </c>
      <c r="M32" s="89">
        <f>'MONTHLY STATS'!$K$131*0.21</f>
        <v>5590252.4076</v>
      </c>
      <c r="N32" s="89">
        <f>'MONTHLY STATS'!$K$142*0.21</f>
        <v>768521.8779</v>
      </c>
      <c r="O32" s="90">
        <f t="shared" si="2"/>
        <v>33806721.2553</v>
      </c>
      <c r="P32" s="83"/>
    </row>
    <row r="33" spans="1:16" ht="15">
      <c r="A33" s="88">
        <f>DATE(2022,9,1)</f>
        <v>44805</v>
      </c>
      <c r="B33" s="89">
        <f>'MONTHLY STATS'!$K$11*0.21</f>
        <v>2913784.8915</v>
      </c>
      <c r="C33" s="89">
        <f>'MONTHLY STATS'!$K$22*0.21</f>
        <v>1636722.8934</v>
      </c>
      <c r="D33" s="89">
        <f>'MONTHLY STATS'!$K$33*0.21</f>
        <v>755328.8925</v>
      </c>
      <c r="E33" s="89">
        <f>'MONTHLY STATS'!$K$44*0.21</f>
        <v>4442412.3933</v>
      </c>
      <c r="F33" s="89">
        <f>'MONTHLY STATS'!$K$55*0.21</f>
        <v>2907957.2151</v>
      </c>
      <c r="G33" s="89">
        <f>'MONTHLY STATS'!$K$66*0.21</f>
        <v>1129976.358</v>
      </c>
      <c r="H33" s="89">
        <f>'MONTHLY STATS'!$K$77*0.21</f>
        <v>2064167.763</v>
      </c>
      <c r="I33" s="89">
        <f>'MONTHLY STATS'!$K$88*0.21</f>
        <v>2839609.1870999997</v>
      </c>
      <c r="J33" s="89">
        <f>'MONTHLY STATS'!$K$99*0.21</f>
        <v>3561956.9558999995</v>
      </c>
      <c r="K33" s="89">
        <f>'MONTHLY STATS'!$K$110*0.21</f>
        <v>4266202.1241</v>
      </c>
      <c r="L33" s="89">
        <f>'MONTHLY STATS'!$K$121*0.21</f>
        <v>651220.4685</v>
      </c>
      <c r="M33" s="89">
        <f>'MONTHLY STATS'!$K$132*0.21</f>
        <v>5140952.191199999</v>
      </c>
      <c r="N33" s="89">
        <f>'MONTHLY STATS'!$K$143*0.21</f>
        <v>831738.7281</v>
      </c>
      <c r="O33" s="90">
        <f t="shared" si="2"/>
        <v>33142030.0617</v>
      </c>
      <c r="P33" s="83"/>
    </row>
    <row r="34" spans="1:16" ht="15">
      <c r="A34" s="88">
        <f>DATE(2022,10,1)</f>
        <v>44835</v>
      </c>
      <c r="B34" s="89">
        <f>'MONTHLY STATS'!$K$12*0.21</f>
        <v>3075624.7241999996</v>
      </c>
      <c r="C34" s="89">
        <f>'MONTHLY STATS'!$K$23*0.21</f>
        <v>1608939.4314</v>
      </c>
      <c r="D34" s="89">
        <f>'MONTHLY STATS'!$K$34*0.21</f>
        <v>705512.9004</v>
      </c>
      <c r="E34" s="89">
        <f>'MONTHLY STATS'!$K$45*0.21</f>
        <v>4043854.5</v>
      </c>
      <c r="F34" s="89">
        <f>'MONTHLY STATS'!$K$56*0.21</f>
        <v>2505260.226</v>
      </c>
      <c r="G34" s="89">
        <f>'MONTHLY STATS'!$K$67*0.21</f>
        <v>1158875.3861999998</v>
      </c>
      <c r="H34" s="89">
        <f>'MONTHLY STATS'!$K$78*0.21</f>
        <v>2187891.8501999998</v>
      </c>
      <c r="I34" s="89">
        <f>'MONTHLY STATS'!$K$89*0.21</f>
        <v>2719674.5499</v>
      </c>
      <c r="J34" s="89">
        <f>'MONTHLY STATS'!$K$100*0.21</f>
        <v>3417495.6816000002</v>
      </c>
      <c r="K34" s="89">
        <f>'MONTHLY STATS'!$K$111*0.21</f>
        <v>4410867.675899999</v>
      </c>
      <c r="L34" s="89">
        <f>'MONTHLY STATS'!$K$122*0.21</f>
        <v>640540.4187</v>
      </c>
      <c r="M34" s="89">
        <f>'MONTHLY STATS'!$K$133*0.21</f>
        <v>5138674.4492999995</v>
      </c>
      <c r="N34" s="89">
        <f>'MONTHLY STATS'!$K$144*0.21</f>
        <v>806512.3227</v>
      </c>
      <c r="O34" s="90">
        <f t="shared" si="2"/>
        <v>32419724.116499994</v>
      </c>
      <c r="P34" s="83"/>
    </row>
    <row r="35" spans="1:16" ht="15">
      <c r="A35" s="88">
        <f>DATE(2022,11,1)</f>
        <v>44866</v>
      </c>
      <c r="B35" s="89">
        <f>'MONTHLY STATS'!$K$13*0.21</f>
        <v>2845026.8469000002</v>
      </c>
      <c r="C35" s="89">
        <f>'MONTHLY STATS'!$K$24*0.21</f>
        <v>1476735.9725999997</v>
      </c>
      <c r="D35" s="89">
        <f>'MONTHLY STATS'!$K$35*0.21</f>
        <v>650621.4519</v>
      </c>
      <c r="E35" s="89">
        <f>'MONTHLY STATS'!$K$46*0.21</f>
        <v>3763966.5441</v>
      </c>
      <c r="F35" s="89">
        <f>'MONTHLY STATS'!$K$57*0.21</f>
        <v>2960831.6051999996</v>
      </c>
      <c r="G35" s="89">
        <f>'MONTHLY STATS'!$K$68*0.21</f>
        <v>1067059.5663</v>
      </c>
      <c r="H35" s="89">
        <f>'MONTHLY STATS'!$K$79*0.21</f>
        <v>2212111.8285</v>
      </c>
      <c r="I35" s="89">
        <f>'MONTHLY STATS'!$K$90*0.21</f>
        <v>2492792.2173</v>
      </c>
      <c r="J35" s="89">
        <f>'MONTHLY STATS'!$K$101*0.21</f>
        <v>3191663.475</v>
      </c>
      <c r="K35" s="89">
        <f>'MONTHLY STATS'!$K$112*0.21</f>
        <v>4385820.3207</v>
      </c>
      <c r="L35" s="89">
        <f>'MONTHLY STATS'!$K$123*0.21</f>
        <v>587792.961</v>
      </c>
      <c r="M35" s="89">
        <f>'MONTHLY STATS'!$K$134*0.21</f>
        <v>5073865.8936</v>
      </c>
      <c r="N35" s="89">
        <f>'MONTHLY STATS'!$K$145*0.21</f>
        <v>750429.4223999999</v>
      </c>
      <c r="O35" s="90">
        <f t="shared" si="2"/>
        <v>31458718.1055</v>
      </c>
      <c r="P35" s="83"/>
    </row>
    <row r="36" spans="1:16" ht="15">
      <c r="A36" s="88">
        <f>DATE(2022,12,1)</f>
        <v>44896</v>
      </c>
      <c r="B36" s="89">
        <f>'MONTHLY STATS'!$K$14*0.21</f>
        <v>2776013.2512</v>
      </c>
      <c r="C36" s="89">
        <f>'MONTHLY STATS'!$K$25*0.21</f>
        <v>1553783.3891999999</v>
      </c>
      <c r="D36" s="89">
        <f>'MONTHLY STATS'!$K$36*0.21</f>
        <v>659461.6434</v>
      </c>
      <c r="E36" s="89">
        <f>'MONTHLY STATS'!$K$47*0.21</f>
        <v>4246896.2613</v>
      </c>
      <c r="F36" s="89">
        <f>'MONTHLY STATS'!$K$58*0.21</f>
        <v>3099068.8049999997</v>
      </c>
      <c r="G36" s="89">
        <f>'MONTHLY STATS'!$K$69*0.21</f>
        <v>1155106.7451</v>
      </c>
      <c r="H36" s="89">
        <f>'MONTHLY STATS'!$K$80*0.21</f>
        <v>2239133.7002999997</v>
      </c>
      <c r="I36" s="89">
        <f>'MONTHLY STATS'!$K$91*0.21</f>
        <v>2741731.9691999997</v>
      </c>
      <c r="J36" s="89">
        <f>'MONTHLY STATS'!$K$102*0.21</f>
        <v>3487138.3112999997</v>
      </c>
      <c r="K36" s="89">
        <f>'MONTHLY STATS'!$K$113*0.21</f>
        <v>4371125.0373</v>
      </c>
      <c r="L36" s="89">
        <f>'MONTHLY STATS'!$K$124*0.21</f>
        <v>650540.8812000001</v>
      </c>
      <c r="M36" s="89">
        <f>'MONTHLY STATS'!$K$135*0.21</f>
        <v>5307678.2891999995</v>
      </c>
      <c r="N36" s="89">
        <f>'MONTHLY STATS'!$K$146*0.21</f>
        <v>826249.8909</v>
      </c>
      <c r="O36" s="90">
        <f t="shared" si="2"/>
        <v>33113928.174599998</v>
      </c>
      <c r="P36" s="83"/>
    </row>
    <row r="37" spans="1:16" ht="15">
      <c r="A37" s="88">
        <f>DATE(2023,1,1)</f>
        <v>44927</v>
      </c>
      <c r="B37" s="89">
        <f>'MONTHLY STATS'!$K$15*0.21</f>
        <v>3041863.9313999997</v>
      </c>
      <c r="C37" s="89">
        <f>'MONTHLY STATS'!$K$26*0.21</f>
        <v>1512599.7641999999</v>
      </c>
      <c r="D37" s="89">
        <f>'MONTHLY STATS'!$K$37*0.21</f>
        <v>762701.037</v>
      </c>
      <c r="E37" s="89">
        <f>'MONTHLY STATS'!$K$48*0.21</f>
        <v>3971446.9913999997</v>
      </c>
      <c r="F37" s="89">
        <f>'MONTHLY STATS'!$K$59*0.21</f>
        <v>2964857.2905</v>
      </c>
      <c r="G37" s="89">
        <f>'MONTHLY STATS'!$K$70*0.21</f>
        <v>1112091.2040000001</v>
      </c>
      <c r="H37" s="89">
        <f>'MONTHLY STATS'!$K$81*0.21</f>
        <v>2286726.6765</v>
      </c>
      <c r="I37" s="89">
        <f>'MONTHLY STATS'!$K$92*0.21</f>
        <v>2509557.7773</v>
      </c>
      <c r="J37" s="89">
        <f>'MONTHLY STATS'!$K$103*0.21</f>
        <v>3286258.9662</v>
      </c>
      <c r="K37" s="89">
        <f>'MONTHLY STATS'!$K$114*0.21</f>
        <v>4340668.3319999995</v>
      </c>
      <c r="L37" s="89">
        <f>'MONTHLY STATS'!$K$125*0.21</f>
        <v>606532.1031</v>
      </c>
      <c r="M37" s="89">
        <f>'MONTHLY STATS'!$K$136*0.21</f>
        <v>5117319.4044</v>
      </c>
      <c r="N37" s="89">
        <f>'MONTHLY STATS'!$K$147*0.21</f>
        <v>766575.9717</v>
      </c>
      <c r="O37" s="90">
        <f>SUM(B37:N37)</f>
        <v>32279199.4497</v>
      </c>
      <c r="P37" s="83"/>
    </row>
    <row r="38" spans="1:16" ht="15">
      <c r="A38" s="88">
        <f>DATE(2023,2,1)</f>
        <v>44958</v>
      </c>
      <c r="B38" s="89">
        <f>'MONTHLY STATS'!$K$16*0.21</f>
        <v>2930325.3147</v>
      </c>
      <c r="C38" s="89">
        <f>'MONTHLY STATS'!$K$27*0.21</f>
        <v>1606612.3017</v>
      </c>
      <c r="D38" s="89">
        <f>'MONTHLY STATS'!$K$38*0.21</f>
        <v>814888.9371</v>
      </c>
      <c r="E38" s="89">
        <f>'MONTHLY STATS'!$K$49*0.21</f>
        <v>4062328.1264999993</v>
      </c>
      <c r="F38" s="89">
        <f>'MONTHLY STATS'!$K$60*0.21</f>
        <v>2875199.0651999996</v>
      </c>
      <c r="G38" s="89">
        <f>'MONTHLY STATS'!$K$71*0.21</f>
        <v>1275150.1056000001</v>
      </c>
      <c r="H38" s="89">
        <f>'MONTHLY STATS'!$K$82*0.21</f>
        <v>2170910.4102</v>
      </c>
      <c r="I38" s="89">
        <f>'MONTHLY STATS'!$K$93*0.21</f>
        <v>2641852.6701</v>
      </c>
      <c r="J38" s="89">
        <f>'MONTHLY STATS'!$K$104*0.21</f>
        <v>3329521.1396999997</v>
      </c>
      <c r="K38" s="89">
        <f>'MONTHLY STATS'!$K$115*0.21</f>
        <v>4386614.941799999</v>
      </c>
      <c r="L38" s="89">
        <f>'MONTHLY STATS'!$K$126*0.21</f>
        <v>653658.5832</v>
      </c>
      <c r="M38" s="89">
        <f>'MONTHLY STATS'!$K$137*0.21</f>
        <v>5336103.4314</v>
      </c>
      <c r="N38" s="89">
        <f>'MONTHLY STATS'!$K$148*0.21</f>
        <v>869331.8193</v>
      </c>
      <c r="O38" s="90">
        <f>SUM(B38:N38)</f>
        <v>32952496.846499998</v>
      </c>
      <c r="P38" s="83"/>
    </row>
    <row r="39" spans="1:16" ht="1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">
      <c r="A44" s="91" t="s">
        <v>27</v>
      </c>
      <c r="B44" s="90">
        <f aca="true" t="shared" si="3" ref="B44:O44">SUM(B31:B42)</f>
        <v>24130378.8138</v>
      </c>
      <c r="C44" s="90">
        <f t="shared" si="3"/>
        <v>12747354.057899999</v>
      </c>
      <c r="D44" s="90">
        <f t="shared" si="3"/>
        <v>5878055.366400001</v>
      </c>
      <c r="E44" s="90">
        <f t="shared" si="3"/>
        <v>33087433.9992</v>
      </c>
      <c r="F44" s="90">
        <f t="shared" si="3"/>
        <v>23693448.678900003</v>
      </c>
      <c r="G44" s="90">
        <f t="shared" si="3"/>
        <v>9360571.2501</v>
      </c>
      <c r="H44" s="90">
        <f t="shared" si="3"/>
        <v>17551465.314600002</v>
      </c>
      <c r="I44" s="90">
        <f>SUM(I31:I42)</f>
        <v>21635404.8708</v>
      </c>
      <c r="J44" s="90">
        <f t="shared" si="3"/>
        <v>27549284.6433</v>
      </c>
      <c r="K44" s="90">
        <f>SUM(K31:K42)</f>
        <v>35215815.4572</v>
      </c>
      <c r="L44" s="90">
        <f t="shared" si="3"/>
        <v>5093913.9111</v>
      </c>
      <c r="M44" s="90">
        <f t="shared" si="3"/>
        <v>42311692.521</v>
      </c>
      <c r="N44" s="90">
        <f t="shared" si="3"/>
        <v>6488325.6899999995</v>
      </c>
      <c r="O44" s="90">
        <f t="shared" si="3"/>
        <v>264743144.57430002</v>
      </c>
      <c r="P44" s="83"/>
    </row>
    <row r="45" spans="1:16" ht="15.75" thickBot="1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5" ht="15" thickTop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5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9" ht="15">
      <c r="A48" s="115" t="s">
        <v>29</v>
      </c>
      <c r="B48" s="98"/>
      <c r="C48" s="98"/>
      <c r="D48" s="98"/>
      <c r="E48" s="98"/>
      <c r="F48" s="98"/>
      <c r="G48" s="98"/>
      <c r="H48" s="98"/>
      <c r="I48" s="98"/>
    </row>
    <row r="49" spans="1:9" ht="15">
      <c r="A49" s="115"/>
      <c r="B49" s="98"/>
      <c r="C49" s="98"/>
      <c r="D49" s="98"/>
      <c r="E49" s="98"/>
      <c r="F49" s="98"/>
      <c r="G49" s="98"/>
      <c r="H49" s="98"/>
      <c r="I49" s="98"/>
    </row>
    <row r="50" ht="15">
      <c r="A50" s="72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7"/>
  <sheetViews>
    <sheetView showOutlineSymbols="0" zoomScalePageLayoutView="0" workbookViewId="0" topLeftCell="A1">
      <selection activeCell="A5" sqref="A5"/>
    </sheetView>
  </sheetViews>
  <sheetFormatPr defaultColWidth="9.6640625" defaultRowHeight="15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 customWidth="1"/>
  </cols>
  <sheetData>
    <row r="1" spans="1:7" ht="17.25">
      <c r="A1" s="116" t="s">
        <v>0</v>
      </c>
      <c r="B1" s="117"/>
      <c r="C1" s="200"/>
      <c r="D1" s="200"/>
      <c r="E1" s="200"/>
      <c r="F1" s="117"/>
      <c r="G1" s="210"/>
    </row>
    <row r="2" spans="1:7" ht="18" customHeight="1">
      <c r="A2" s="119" t="s">
        <v>30</v>
      </c>
      <c r="B2" s="117"/>
      <c r="C2" s="200"/>
      <c r="D2" s="200"/>
      <c r="E2" s="200"/>
      <c r="F2" s="117"/>
      <c r="G2" s="210"/>
    </row>
    <row r="3" spans="1:7" ht="18" customHeight="1">
      <c r="A3" s="283" t="s">
        <v>75</v>
      </c>
      <c r="B3" s="117"/>
      <c r="C3" s="200"/>
      <c r="D3" s="200"/>
      <c r="E3" s="200"/>
      <c r="F3" s="117"/>
      <c r="G3" s="210"/>
    </row>
    <row r="4" spans="1:7" ht="15">
      <c r="A4" s="284" t="s">
        <v>76</v>
      </c>
      <c r="B4" s="117"/>
      <c r="C4" s="200"/>
      <c r="D4" s="200"/>
      <c r="E4" s="200"/>
      <c r="F4" s="117"/>
      <c r="G4" s="210"/>
    </row>
    <row r="5" spans="1:7" ht="15">
      <c r="A5" s="117"/>
      <c r="B5" s="117"/>
      <c r="C5" s="200"/>
      <c r="D5" s="200"/>
      <c r="E5" s="200"/>
      <c r="F5" s="117"/>
      <c r="G5" s="211" t="s">
        <v>1</v>
      </c>
    </row>
    <row r="6" spans="1:8" ht="15.75" thickTop="1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5.75" thickBot="1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>
      <c r="A8" s="127"/>
      <c r="B8" s="128"/>
      <c r="C8" s="203"/>
      <c r="D8" s="203"/>
      <c r="E8" s="203"/>
      <c r="F8" s="129"/>
      <c r="G8" s="214"/>
      <c r="H8" s="123"/>
    </row>
    <row r="9" spans="1:8" ht="15">
      <c r="A9" s="130" t="s">
        <v>36</v>
      </c>
      <c r="B9" s="131">
        <f>DATE(2022,7,1)</f>
        <v>44743</v>
      </c>
      <c r="C9" s="204">
        <v>15602600</v>
      </c>
      <c r="D9" s="204">
        <v>3018310</v>
      </c>
      <c r="E9" s="204">
        <v>2401856.06</v>
      </c>
      <c r="F9" s="132">
        <f aca="true" t="shared" si="0" ref="F9:F16">(+D9-E9)/E9</f>
        <v>0.2566573202559024</v>
      </c>
      <c r="G9" s="215">
        <f aca="true" t="shared" si="1" ref="G9:G16">D9/C9</f>
        <v>0.19344916872828888</v>
      </c>
      <c r="H9" s="123"/>
    </row>
    <row r="10" spans="1:8" ht="15">
      <c r="A10" s="130"/>
      <c r="B10" s="131">
        <f>DATE(2022,8,1)</f>
        <v>44774</v>
      </c>
      <c r="C10" s="204">
        <v>15211017.25</v>
      </c>
      <c r="D10" s="204">
        <v>3237681.85</v>
      </c>
      <c r="E10" s="204">
        <v>2504601.5</v>
      </c>
      <c r="F10" s="132">
        <f t="shared" si="0"/>
        <v>0.2926934085122923</v>
      </c>
      <c r="G10" s="215">
        <f t="shared" si="1"/>
        <v>0.2128511063255812</v>
      </c>
      <c r="H10" s="123"/>
    </row>
    <row r="11" spans="1:8" ht="15">
      <c r="A11" s="130"/>
      <c r="B11" s="131">
        <f>DATE(2022,9,1)</f>
        <v>44805</v>
      </c>
      <c r="C11" s="204">
        <v>13401211</v>
      </c>
      <c r="D11" s="204">
        <v>2018642</v>
      </c>
      <c r="E11" s="204">
        <v>1944156.5</v>
      </c>
      <c r="F11" s="132">
        <f t="shared" si="0"/>
        <v>0.038312502105668965</v>
      </c>
      <c r="G11" s="215">
        <f t="shared" si="1"/>
        <v>0.15063131234930932</v>
      </c>
      <c r="H11" s="123"/>
    </row>
    <row r="12" spans="1:8" ht="15">
      <c r="A12" s="130"/>
      <c r="B12" s="131">
        <f>DATE(2022,10,1)</f>
        <v>44835</v>
      </c>
      <c r="C12" s="204">
        <v>14506822</v>
      </c>
      <c r="D12" s="204">
        <v>2709321</v>
      </c>
      <c r="E12" s="204">
        <v>2656668</v>
      </c>
      <c r="F12" s="132">
        <f t="shared" si="0"/>
        <v>0.01981918704181328</v>
      </c>
      <c r="G12" s="215">
        <f t="shared" si="1"/>
        <v>0.18676185590475985</v>
      </c>
      <c r="H12" s="123"/>
    </row>
    <row r="13" spans="1:8" ht="15">
      <c r="A13" s="130"/>
      <c r="B13" s="131">
        <f>DATE(2022,11,1)</f>
        <v>44866</v>
      </c>
      <c r="C13" s="204">
        <v>14257204</v>
      </c>
      <c r="D13" s="204">
        <v>2936554</v>
      </c>
      <c r="E13" s="204">
        <v>2254397</v>
      </c>
      <c r="F13" s="132">
        <f t="shared" si="0"/>
        <v>0.302589561643313</v>
      </c>
      <c r="G13" s="215">
        <f t="shared" si="1"/>
        <v>0.2059698381253435</v>
      </c>
      <c r="H13" s="123"/>
    </row>
    <row r="14" spans="1:8" ht="15">
      <c r="A14" s="130"/>
      <c r="B14" s="131">
        <f>DATE(2022,12,1)</f>
        <v>44896</v>
      </c>
      <c r="C14" s="204">
        <v>14490087</v>
      </c>
      <c r="D14" s="204">
        <v>2019034</v>
      </c>
      <c r="E14" s="204">
        <v>2277304.5</v>
      </c>
      <c r="F14" s="132">
        <f t="shared" si="0"/>
        <v>-0.11341061329304009</v>
      </c>
      <c r="G14" s="215">
        <f t="shared" si="1"/>
        <v>0.13933898395503078</v>
      </c>
      <c r="H14" s="123"/>
    </row>
    <row r="15" spans="1:8" ht="15">
      <c r="A15" s="130"/>
      <c r="B15" s="131">
        <f>DATE(2023,1,1)</f>
        <v>44927</v>
      </c>
      <c r="C15" s="204">
        <v>17039670</v>
      </c>
      <c r="D15" s="204">
        <v>3086761.5</v>
      </c>
      <c r="E15" s="204">
        <v>2164427.5</v>
      </c>
      <c r="F15" s="132">
        <f t="shared" si="0"/>
        <v>0.4261330074580923</v>
      </c>
      <c r="G15" s="215">
        <f t="shared" si="1"/>
        <v>0.18115148356746347</v>
      </c>
      <c r="H15" s="123"/>
    </row>
    <row r="16" spans="1:8" ht="15">
      <c r="A16" s="130"/>
      <c r="B16" s="131">
        <f>DATE(2023,2,1)</f>
        <v>44958</v>
      </c>
      <c r="C16" s="204">
        <v>16336123</v>
      </c>
      <c r="D16" s="204">
        <v>2473094.5</v>
      </c>
      <c r="E16" s="204">
        <v>2316245</v>
      </c>
      <c r="F16" s="132">
        <f t="shared" si="0"/>
        <v>0.06771714563873857</v>
      </c>
      <c r="G16" s="215">
        <f t="shared" si="1"/>
        <v>0.15138809251130148</v>
      </c>
      <c r="H16" s="123"/>
    </row>
    <row r="17" spans="1:8" ht="15" thickBot="1">
      <c r="A17" s="133"/>
      <c r="B17" s="134"/>
      <c r="C17" s="204"/>
      <c r="D17" s="204"/>
      <c r="E17" s="204"/>
      <c r="F17" s="132"/>
      <c r="G17" s="215"/>
      <c r="H17" s="123"/>
    </row>
    <row r="18" spans="1:8" ht="16.5" thickBot="1" thickTop="1">
      <c r="A18" s="135" t="s">
        <v>14</v>
      </c>
      <c r="B18" s="136"/>
      <c r="C18" s="201">
        <f>SUM(C9:C17)</f>
        <v>120844734.25</v>
      </c>
      <c r="D18" s="201">
        <f>SUM(D9:D17)</f>
        <v>21499398.85</v>
      </c>
      <c r="E18" s="201">
        <f>SUM(E9:E17)</f>
        <v>18519656.060000002</v>
      </c>
      <c r="F18" s="137">
        <f>(+D18-E18)/E18</f>
        <v>0.16089622724883362</v>
      </c>
      <c r="G18" s="212">
        <f>D18/C18</f>
        <v>0.17790927327890582</v>
      </c>
      <c r="H18" s="123"/>
    </row>
    <row r="19" spans="1:8" ht="15.75" customHeight="1" thickTop="1">
      <c r="A19" s="138"/>
      <c r="B19" s="139"/>
      <c r="C19" s="205"/>
      <c r="D19" s="205"/>
      <c r="E19" s="205"/>
      <c r="F19" s="140"/>
      <c r="G19" s="216"/>
      <c r="H19" s="123"/>
    </row>
    <row r="20" spans="1:8" ht="15">
      <c r="A20" s="19" t="s">
        <v>15</v>
      </c>
      <c r="B20" s="131">
        <f>DATE(2022,7,1)</f>
        <v>44743</v>
      </c>
      <c r="C20" s="204">
        <v>2670326</v>
      </c>
      <c r="D20" s="204">
        <v>637839.5</v>
      </c>
      <c r="E20" s="204">
        <v>753311.5</v>
      </c>
      <c r="F20" s="132">
        <f aca="true" t="shared" si="2" ref="F20:F27">(+D20-E20)/E20</f>
        <v>-0.15328585850607618</v>
      </c>
      <c r="G20" s="215">
        <f aca="true" t="shared" si="3" ref="G20:G27">D20/C20</f>
        <v>0.23886203407374232</v>
      </c>
      <c r="H20" s="123"/>
    </row>
    <row r="21" spans="1:8" ht="15">
      <c r="A21" s="19"/>
      <c r="B21" s="131">
        <f>DATE(2022,8,1)</f>
        <v>44774</v>
      </c>
      <c r="C21" s="204">
        <v>2364635</v>
      </c>
      <c r="D21" s="204">
        <v>695761.5</v>
      </c>
      <c r="E21" s="204">
        <v>615974.5</v>
      </c>
      <c r="F21" s="132">
        <f t="shared" si="2"/>
        <v>0.12952971267479416</v>
      </c>
      <c r="G21" s="215">
        <f t="shared" si="3"/>
        <v>0.2942363197702817</v>
      </c>
      <c r="H21" s="123"/>
    </row>
    <row r="22" spans="1:8" ht="15">
      <c r="A22" s="19"/>
      <c r="B22" s="131">
        <f>DATE(2022,9,1)</f>
        <v>44805</v>
      </c>
      <c r="C22" s="204">
        <v>2764905</v>
      </c>
      <c r="D22" s="204">
        <v>780368</v>
      </c>
      <c r="E22" s="204">
        <v>858656</v>
      </c>
      <c r="F22" s="132">
        <f t="shared" si="2"/>
        <v>-0.09117504565274102</v>
      </c>
      <c r="G22" s="215">
        <f t="shared" si="3"/>
        <v>0.28224043864074894</v>
      </c>
      <c r="H22" s="123"/>
    </row>
    <row r="23" spans="1:8" ht="15">
      <c r="A23" s="19"/>
      <c r="B23" s="131">
        <f>DATE(2022,10,1)</f>
        <v>44835</v>
      </c>
      <c r="C23" s="204">
        <v>2297950</v>
      </c>
      <c r="D23" s="204">
        <v>868243</v>
      </c>
      <c r="E23" s="204">
        <v>649914</v>
      </c>
      <c r="F23" s="132">
        <f t="shared" si="2"/>
        <v>0.3359352160439689</v>
      </c>
      <c r="G23" s="215">
        <f t="shared" si="3"/>
        <v>0.37783372136034293</v>
      </c>
      <c r="H23" s="123"/>
    </row>
    <row r="24" spans="1:8" ht="15">
      <c r="A24" s="19"/>
      <c r="B24" s="131">
        <f>DATE(2022,11,1)</f>
        <v>44866</v>
      </c>
      <c r="C24" s="204">
        <v>2194110</v>
      </c>
      <c r="D24" s="204">
        <v>714136.5</v>
      </c>
      <c r="E24" s="204">
        <v>707738</v>
      </c>
      <c r="F24" s="132">
        <f t="shared" si="2"/>
        <v>0.009040774976050459</v>
      </c>
      <c r="G24" s="215">
        <f t="shared" si="3"/>
        <v>0.3254788957709504</v>
      </c>
      <c r="H24" s="123"/>
    </row>
    <row r="25" spans="1:8" ht="15">
      <c r="A25" s="19"/>
      <c r="B25" s="131">
        <f>DATE(2022,12,1)</f>
        <v>44896</v>
      </c>
      <c r="C25" s="204">
        <v>2541586</v>
      </c>
      <c r="D25" s="204">
        <v>736054</v>
      </c>
      <c r="E25" s="204">
        <v>706014</v>
      </c>
      <c r="F25" s="132">
        <f t="shared" si="2"/>
        <v>0.04254873132827394</v>
      </c>
      <c r="G25" s="215">
        <f t="shared" si="3"/>
        <v>0.2896042077663317</v>
      </c>
      <c r="H25" s="123"/>
    </row>
    <row r="26" spans="1:8" ht="15">
      <c r="A26" s="19"/>
      <c r="B26" s="131">
        <f>DATE(2023,1,1)</f>
        <v>44927</v>
      </c>
      <c r="C26" s="204">
        <v>2252589</v>
      </c>
      <c r="D26" s="204">
        <v>620241</v>
      </c>
      <c r="E26" s="204">
        <v>684356</v>
      </c>
      <c r="F26" s="132">
        <f t="shared" si="2"/>
        <v>-0.09368661924495437</v>
      </c>
      <c r="G26" s="215">
        <f t="shared" si="3"/>
        <v>0.2753458353920755</v>
      </c>
      <c r="H26" s="123"/>
    </row>
    <row r="27" spans="1:8" ht="15">
      <c r="A27" s="19"/>
      <c r="B27" s="131">
        <f>DATE(2023,2,1)</f>
        <v>44958</v>
      </c>
      <c r="C27" s="204">
        <v>2210443</v>
      </c>
      <c r="D27" s="204">
        <v>564375.5</v>
      </c>
      <c r="E27" s="204">
        <v>495607</v>
      </c>
      <c r="F27" s="132">
        <f t="shared" si="2"/>
        <v>0.13875611119294118</v>
      </c>
      <c r="G27" s="215">
        <f t="shared" si="3"/>
        <v>0.2553223494114076</v>
      </c>
      <c r="H27" s="123"/>
    </row>
    <row r="28" spans="1:8" ht="15" thickBot="1">
      <c r="A28" s="133"/>
      <c r="B28" s="131"/>
      <c r="C28" s="204"/>
      <c r="D28" s="204"/>
      <c r="E28" s="204"/>
      <c r="F28" s="132"/>
      <c r="G28" s="215"/>
      <c r="H28" s="123"/>
    </row>
    <row r="29" spans="1:8" ht="16.5" thickBot="1" thickTop="1">
      <c r="A29" s="135" t="s">
        <v>14</v>
      </c>
      <c r="B29" s="136"/>
      <c r="C29" s="201">
        <f>SUM(C20:C28)</f>
        <v>19296544</v>
      </c>
      <c r="D29" s="201">
        <f>SUM(D20:D28)</f>
        <v>5617019</v>
      </c>
      <c r="E29" s="201">
        <f>SUM(E20:E28)</f>
        <v>5471571</v>
      </c>
      <c r="F29" s="137">
        <f>(+D29-E29)/E29</f>
        <v>0.0265824934008898</v>
      </c>
      <c r="G29" s="212">
        <f>D29/C29</f>
        <v>0.291089378491817</v>
      </c>
      <c r="H29" s="123"/>
    </row>
    <row r="30" spans="1:8" ht="15.75" customHeight="1" thickTop="1">
      <c r="A30" s="255"/>
      <c r="B30" s="139"/>
      <c r="C30" s="205"/>
      <c r="D30" s="205"/>
      <c r="E30" s="205"/>
      <c r="F30" s="140"/>
      <c r="G30" s="219"/>
      <c r="H30" s="123"/>
    </row>
    <row r="31" spans="1:8" ht="15">
      <c r="A31" s="19" t="s">
        <v>62</v>
      </c>
      <c r="B31" s="131">
        <f>DATE(2022,7,1)</f>
        <v>44743</v>
      </c>
      <c r="C31" s="204">
        <v>1113934</v>
      </c>
      <c r="D31" s="204">
        <v>249087.5</v>
      </c>
      <c r="E31" s="204">
        <v>419659</v>
      </c>
      <c r="F31" s="132">
        <f aca="true" t="shared" si="4" ref="F31:F38">(+D31-E31)/E31</f>
        <v>-0.4064526198651762</v>
      </c>
      <c r="G31" s="215">
        <f aca="true" t="shared" si="5" ref="G31:G38">D31/C31</f>
        <v>0.2236106447958317</v>
      </c>
      <c r="H31" s="123"/>
    </row>
    <row r="32" spans="1:8" ht="15">
      <c r="A32" s="19"/>
      <c r="B32" s="131">
        <f>DATE(2022,8,1)</f>
        <v>44774</v>
      </c>
      <c r="C32" s="204">
        <v>982269</v>
      </c>
      <c r="D32" s="204">
        <v>272495.5</v>
      </c>
      <c r="E32" s="204">
        <v>283741.5</v>
      </c>
      <c r="F32" s="132">
        <f t="shared" si="4"/>
        <v>-0.03963466747021497</v>
      </c>
      <c r="G32" s="215">
        <f t="shared" si="5"/>
        <v>0.2774143335481421</v>
      </c>
      <c r="H32" s="123"/>
    </row>
    <row r="33" spans="1:8" ht="15">
      <c r="A33" s="19"/>
      <c r="B33" s="131">
        <f>DATE(2022,9,1)</f>
        <v>44805</v>
      </c>
      <c r="C33" s="204">
        <v>1082836</v>
      </c>
      <c r="D33" s="204">
        <v>310850</v>
      </c>
      <c r="E33" s="204">
        <v>271461</v>
      </c>
      <c r="F33" s="132">
        <f t="shared" si="4"/>
        <v>0.14510003278555667</v>
      </c>
      <c r="G33" s="215">
        <f t="shared" si="5"/>
        <v>0.2870702488650174</v>
      </c>
      <c r="H33" s="123"/>
    </row>
    <row r="34" spans="1:8" ht="15">
      <c r="A34" s="19"/>
      <c r="B34" s="131">
        <f>DATE(2022,10,1)</f>
        <v>44835</v>
      </c>
      <c r="C34" s="204">
        <v>954912</v>
      </c>
      <c r="D34" s="204">
        <v>204149.5</v>
      </c>
      <c r="E34" s="204">
        <v>344180</v>
      </c>
      <c r="F34" s="132">
        <f t="shared" si="4"/>
        <v>-0.4068525190307397</v>
      </c>
      <c r="G34" s="215">
        <f t="shared" si="5"/>
        <v>0.21378880985891893</v>
      </c>
      <c r="H34" s="123"/>
    </row>
    <row r="35" spans="1:8" ht="15">
      <c r="A35" s="19"/>
      <c r="B35" s="131">
        <f>DATE(2022,11,1)</f>
        <v>44866</v>
      </c>
      <c r="C35" s="204">
        <v>1174084</v>
      </c>
      <c r="D35" s="204">
        <v>292609</v>
      </c>
      <c r="E35" s="204">
        <v>349298.5</v>
      </c>
      <c r="F35" s="132">
        <f t="shared" si="4"/>
        <v>-0.1622952861234732</v>
      </c>
      <c r="G35" s="215">
        <f t="shared" si="5"/>
        <v>0.24922322423267843</v>
      </c>
      <c r="H35" s="123"/>
    </row>
    <row r="36" spans="1:8" ht="15">
      <c r="A36" s="19"/>
      <c r="B36" s="131">
        <f>DATE(2022,12,1)</f>
        <v>44896</v>
      </c>
      <c r="C36" s="204">
        <v>1076281</v>
      </c>
      <c r="D36" s="204">
        <v>300188</v>
      </c>
      <c r="E36" s="204">
        <v>335226</v>
      </c>
      <c r="F36" s="132">
        <f t="shared" si="4"/>
        <v>-0.10452053241693664</v>
      </c>
      <c r="G36" s="215">
        <f t="shared" si="5"/>
        <v>0.27891229149264923</v>
      </c>
      <c r="H36" s="123"/>
    </row>
    <row r="37" spans="1:8" ht="15">
      <c r="A37" s="19"/>
      <c r="B37" s="131">
        <f>DATE(2023,1,1)</f>
        <v>44927</v>
      </c>
      <c r="C37" s="204">
        <v>1214793</v>
      </c>
      <c r="D37" s="204">
        <v>379305</v>
      </c>
      <c r="E37" s="204">
        <v>314386</v>
      </c>
      <c r="F37" s="132">
        <f t="shared" si="4"/>
        <v>0.20649456400730312</v>
      </c>
      <c r="G37" s="215">
        <f t="shared" si="5"/>
        <v>0.3122383813538603</v>
      </c>
      <c r="H37" s="123"/>
    </row>
    <row r="38" spans="1:8" ht="15">
      <c r="A38" s="19"/>
      <c r="B38" s="131">
        <f>DATE(2023,2,1)</f>
        <v>44958</v>
      </c>
      <c r="C38" s="204">
        <v>1195972</v>
      </c>
      <c r="D38" s="204">
        <v>255416</v>
      </c>
      <c r="E38" s="204">
        <v>260435</v>
      </c>
      <c r="F38" s="132">
        <f t="shared" si="4"/>
        <v>-0.01927160327912915</v>
      </c>
      <c r="G38" s="215">
        <f t="shared" si="5"/>
        <v>0.21356352824313612</v>
      </c>
      <c r="H38" s="123"/>
    </row>
    <row r="39" spans="1:8" ht="15" thickBot="1">
      <c r="A39" s="133"/>
      <c r="B39" s="131"/>
      <c r="C39" s="204"/>
      <c r="D39" s="204"/>
      <c r="E39" s="204"/>
      <c r="F39" s="132"/>
      <c r="G39" s="215"/>
      <c r="H39" s="123"/>
    </row>
    <row r="40" spans="1:8" ht="16.5" thickBot="1" thickTop="1">
      <c r="A40" s="141" t="s">
        <v>14</v>
      </c>
      <c r="B40" s="142"/>
      <c r="C40" s="206">
        <f>SUM(C31:C39)</f>
        <v>8795081</v>
      </c>
      <c r="D40" s="206">
        <f>SUM(D31:D39)</f>
        <v>2264100.5</v>
      </c>
      <c r="E40" s="206">
        <f>SUM(E31:E39)</f>
        <v>2578387</v>
      </c>
      <c r="F40" s="143">
        <f>(+D40-E40)/E40</f>
        <v>-0.12189267941546401</v>
      </c>
      <c r="G40" s="217">
        <f>D40/C40</f>
        <v>0.25742804415331705</v>
      </c>
      <c r="H40" s="123"/>
    </row>
    <row r="41" spans="1:8" ht="15" thickTop="1">
      <c r="A41" s="133"/>
      <c r="B41" s="134"/>
      <c r="C41" s="204"/>
      <c r="D41" s="204"/>
      <c r="E41" s="204"/>
      <c r="F41" s="132"/>
      <c r="G41" s="218"/>
      <c r="H41" s="123"/>
    </row>
    <row r="42" spans="1:8" ht="15">
      <c r="A42" s="177" t="s">
        <v>58</v>
      </c>
      <c r="B42" s="131">
        <f>DATE(2022,7,1)</f>
        <v>44743</v>
      </c>
      <c r="C42" s="204">
        <v>14706873</v>
      </c>
      <c r="D42" s="204">
        <v>3390213</v>
      </c>
      <c r="E42" s="204">
        <v>2503983</v>
      </c>
      <c r="F42" s="132">
        <f aca="true" t="shared" si="6" ref="F42:F49">(+D42-E42)/E42</f>
        <v>0.3539281217164813</v>
      </c>
      <c r="G42" s="215">
        <f aca="true" t="shared" si="7" ref="G42:G49">D42/C42</f>
        <v>0.23051895532109376</v>
      </c>
      <c r="H42" s="123"/>
    </row>
    <row r="43" spans="1:8" ht="15">
      <c r="A43" s="177"/>
      <c r="B43" s="131">
        <f>DATE(2022,8,1)</f>
        <v>44774</v>
      </c>
      <c r="C43" s="204">
        <v>13496707</v>
      </c>
      <c r="D43" s="204">
        <v>2096973.67</v>
      </c>
      <c r="E43" s="204">
        <v>2387806</v>
      </c>
      <c r="F43" s="132">
        <f t="shared" si="6"/>
        <v>-0.12179897780640474</v>
      </c>
      <c r="G43" s="215">
        <f t="shared" si="7"/>
        <v>0.15536928155882765</v>
      </c>
      <c r="H43" s="123"/>
    </row>
    <row r="44" spans="1:8" ht="15">
      <c r="A44" s="177"/>
      <c r="B44" s="131">
        <f>DATE(2022,9,1)</f>
        <v>44805</v>
      </c>
      <c r="C44" s="204">
        <v>14000972</v>
      </c>
      <c r="D44" s="204">
        <v>3937084.53</v>
      </c>
      <c r="E44" s="204">
        <v>2689723.5</v>
      </c>
      <c r="F44" s="132">
        <f t="shared" si="6"/>
        <v>0.463750653180522</v>
      </c>
      <c r="G44" s="215">
        <f t="shared" si="7"/>
        <v>0.281200800201586</v>
      </c>
      <c r="H44" s="123"/>
    </row>
    <row r="45" spans="1:8" ht="15">
      <c r="A45" s="177"/>
      <c r="B45" s="131">
        <f>DATE(2022,10,1)</f>
        <v>44835</v>
      </c>
      <c r="C45" s="204">
        <v>12585717</v>
      </c>
      <c r="D45" s="204">
        <v>2819327.04</v>
      </c>
      <c r="E45" s="204">
        <v>2470116.03</v>
      </c>
      <c r="F45" s="132">
        <f t="shared" si="6"/>
        <v>0.1413743345489727</v>
      </c>
      <c r="G45" s="215">
        <f t="shared" si="7"/>
        <v>0.2240100456732024</v>
      </c>
      <c r="H45" s="123"/>
    </row>
    <row r="46" spans="1:8" ht="15">
      <c r="A46" s="177"/>
      <c r="B46" s="131">
        <f>DATE(2022,11,1)</f>
        <v>44866</v>
      </c>
      <c r="C46" s="204">
        <v>13050666</v>
      </c>
      <c r="D46" s="204">
        <v>2876740.26</v>
      </c>
      <c r="E46" s="204">
        <v>3414579.43</v>
      </c>
      <c r="F46" s="132">
        <f t="shared" si="6"/>
        <v>-0.15751256663547591</v>
      </c>
      <c r="G46" s="215">
        <f t="shared" si="7"/>
        <v>0.22042861720620233</v>
      </c>
      <c r="H46" s="123"/>
    </row>
    <row r="47" spans="1:8" ht="15">
      <c r="A47" s="177"/>
      <c r="B47" s="131">
        <f>DATE(2022,12,1)</f>
        <v>44896</v>
      </c>
      <c r="C47" s="204">
        <v>13836635</v>
      </c>
      <c r="D47" s="204">
        <v>3108188.89</v>
      </c>
      <c r="E47" s="204">
        <v>3251944</v>
      </c>
      <c r="F47" s="132">
        <f t="shared" si="6"/>
        <v>-0.04420589960958733</v>
      </c>
      <c r="G47" s="215">
        <f t="shared" si="7"/>
        <v>0.2246347388653383</v>
      </c>
      <c r="H47" s="123"/>
    </row>
    <row r="48" spans="1:8" ht="15">
      <c r="A48" s="177"/>
      <c r="B48" s="131">
        <f>DATE(2023,1,1)</f>
        <v>44927</v>
      </c>
      <c r="C48" s="204">
        <v>13524974</v>
      </c>
      <c r="D48" s="204">
        <v>2951407.99</v>
      </c>
      <c r="E48" s="204">
        <v>3271232.5</v>
      </c>
      <c r="F48" s="132">
        <f t="shared" si="6"/>
        <v>-0.097768810379574</v>
      </c>
      <c r="G48" s="215">
        <f t="shared" si="7"/>
        <v>0.2182191248574674</v>
      </c>
      <c r="H48" s="123"/>
    </row>
    <row r="49" spans="1:8" ht="15">
      <c r="A49" s="177"/>
      <c r="B49" s="131">
        <f>DATE(2023,2,1)</f>
        <v>44958</v>
      </c>
      <c r="C49" s="204">
        <v>14609035</v>
      </c>
      <c r="D49" s="204">
        <v>2375670.3</v>
      </c>
      <c r="E49" s="204">
        <v>2578515.35</v>
      </c>
      <c r="F49" s="132">
        <f t="shared" si="6"/>
        <v>-0.07866738121221589</v>
      </c>
      <c r="G49" s="215">
        <f t="shared" si="7"/>
        <v>0.16261651094682159</v>
      </c>
      <c r="H49" s="123"/>
    </row>
    <row r="50" spans="1:8" ht="15.75" customHeight="1" thickBot="1">
      <c r="A50" s="133"/>
      <c r="B50" s="134"/>
      <c r="C50" s="204"/>
      <c r="D50" s="204"/>
      <c r="E50" s="204"/>
      <c r="F50" s="132"/>
      <c r="G50" s="215"/>
      <c r="H50" s="123"/>
    </row>
    <row r="51" spans="1:8" ht="17.25" customHeight="1" thickBot="1" thickTop="1">
      <c r="A51" s="141" t="s">
        <v>14</v>
      </c>
      <c r="B51" s="142"/>
      <c r="C51" s="206">
        <f>SUM(C42:C50)</f>
        <v>109811579</v>
      </c>
      <c r="D51" s="206">
        <f>SUM(D42:D50)</f>
        <v>23555605.679999996</v>
      </c>
      <c r="E51" s="206">
        <f>SUM(E42:E50)</f>
        <v>22567899.810000002</v>
      </c>
      <c r="F51" s="143">
        <f>(+D51-E51)/E51</f>
        <v>0.04376596308542339</v>
      </c>
      <c r="G51" s="217">
        <f>D51/C51</f>
        <v>0.21450930670981425</v>
      </c>
      <c r="H51" s="123"/>
    </row>
    <row r="52" spans="1:8" ht="15.75" customHeight="1" thickTop="1">
      <c r="A52" s="133"/>
      <c r="B52" s="134"/>
      <c r="C52" s="204"/>
      <c r="D52" s="204"/>
      <c r="E52" s="204"/>
      <c r="F52" s="132"/>
      <c r="G52" s="218"/>
      <c r="H52" s="123"/>
    </row>
    <row r="53" spans="1:8" ht="15" customHeight="1">
      <c r="A53" s="130" t="s">
        <v>60</v>
      </c>
      <c r="B53" s="131">
        <f>DATE(2022,7,1)</f>
        <v>44743</v>
      </c>
      <c r="C53" s="204">
        <v>14151945</v>
      </c>
      <c r="D53" s="204">
        <v>3195567.5</v>
      </c>
      <c r="E53" s="204">
        <v>3475895.5</v>
      </c>
      <c r="F53" s="132">
        <f aca="true" t="shared" si="8" ref="F53:F60">(+D53-E53)/E53</f>
        <v>-0.08064914494696403</v>
      </c>
      <c r="G53" s="215">
        <f aca="true" t="shared" si="9" ref="G53:G60">D53/C53</f>
        <v>0.22580412091765478</v>
      </c>
      <c r="H53" s="123"/>
    </row>
    <row r="54" spans="1:8" ht="15" customHeight="1">
      <c r="A54" s="130"/>
      <c r="B54" s="131">
        <f>DATE(2022,8,1)</f>
        <v>44774</v>
      </c>
      <c r="C54" s="204">
        <v>12695452</v>
      </c>
      <c r="D54" s="204">
        <v>3909171</v>
      </c>
      <c r="E54" s="204">
        <v>1742952</v>
      </c>
      <c r="F54" s="132">
        <f t="shared" si="8"/>
        <v>1.2428448976219655</v>
      </c>
      <c r="G54" s="215">
        <f t="shared" si="9"/>
        <v>0.3079190091065682</v>
      </c>
      <c r="H54" s="123"/>
    </row>
    <row r="55" spans="1:8" ht="15" customHeight="1">
      <c r="A55" s="130"/>
      <c r="B55" s="131">
        <f>DATE(2022,9,1)</f>
        <v>44805</v>
      </c>
      <c r="C55" s="204">
        <v>12298202</v>
      </c>
      <c r="D55" s="204">
        <v>3778062.5</v>
      </c>
      <c r="E55" s="204">
        <v>3305560.5</v>
      </c>
      <c r="F55" s="132">
        <f t="shared" si="8"/>
        <v>0.14294156770084832</v>
      </c>
      <c r="G55" s="215">
        <f t="shared" si="9"/>
        <v>0.3072044596437756</v>
      </c>
      <c r="H55" s="123"/>
    </row>
    <row r="56" spans="1:8" ht="15" customHeight="1">
      <c r="A56" s="130"/>
      <c r="B56" s="131">
        <f>DATE(2022,10,1)</f>
        <v>44835</v>
      </c>
      <c r="C56" s="204">
        <v>12569173</v>
      </c>
      <c r="D56" s="204">
        <v>1234436</v>
      </c>
      <c r="E56" s="204">
        <v>3513957.5</v>
      </c>
      <c r="F56" s="132">
        <f t="shared" si="8"/>
        <v>-0.6487049146155012</v>
      </c>
      <c r="G56" s="215">
        <f t="shared" si="9"/>
        <v>0.09821139386020067</v>
      </c>
      <c r="H56" s="123"/>
    </row>
    <row r="57" spans="1:8" ht="15" customHeight="1">
      <c r="A57" s="130"/>
      <c r="B57" s="131">
        <f>DATE(2022,11,1)</f>
        <v>44866</v>
      </c>
      <c r="C57" s="204">
        <v>12421811</v>
      </c>
      <c r="D57" s="204">
        <v>3487549</v>
      </c>
      <c r="E57" s="204">
        <v>3943943</v>
      </c>
      <c r="F57" s="132">
        <f t="shared" si="8"/>
        <v>-0.11572023226502005</v>
      </c>
      <c r="G57" s="215">
        <f t="shared" si="9"/>
        <v>0.28076010816780256</v>
      </c>
      <c r="H57" s="123"/>
    </row>
    <row r="58" spans="1:8" ht="15" customHeight="1">
      <c r="A58" s="130"/>
      <c r="B58" s="131">
        <f>DATE(2022,12,1)</f>
        <v>44896</v>
      </c>
      <c r="C58" s="204">
        <v>11896885</v>
      </c>
      <c r="D58" s="204">
        <v>3689598</v>
      </c>
      <c r="E58" s="204">
        <v>2827634.5</v>
      </c>
      <c r="F58" s="132">
        <f t="shared" si="8"/>
        <v>0.3048355436319652</v>
      </c>
      <c r="G58" s="215">
        <f t="shared" si="9"/>
        <v>0.31013143356433215</v>
      </c>
      <c r="H58" s="123"/>
    </row>
    <row r="59" spans="1:8" ht="15" customHeight="1">
      <c r="A59" s="130"/>
      <c r="B59" s="131">
        <f>DATE(2023,1,1)</f>
        <v>44927</v>
      </c>
      <c r="C59" s="204">
        <v>12167419.75</v>
      </c>
      <c r="D59" s="204">
        <v>3432704.75</v>
      </c>
      <c r="E59" s="204">
        <v>3537082.5</v>
      </c>
      <c r="F59" s="132">
        <f t="shared" si="8"/>
        <v>-0.029509560492298383</v>
      </c>
      <c r="G59" s="215">
        <f t="shared" si="9"/>
        <v>0.2821226538190235</v>
      </c>
      <c r="H59" s="123"/>
    </row>
    <row r="60" spans="1:8" ht="15" customHeight="1">
      <c r="A60" s="130"/>
      <c r="B60" s="131">
        <f>DATE(2023,2,1)</f>
        <v>44958</v>
      </c>
      <c r="C60" s="204">
        <v>10601608</v>
      </c>
      <c r="D60" s="204">
        <v>3123761.5</v>
      </c>
      <c r="E60" s="204">
        <v>1988046.25</v>
      </c>
      <c r="F60" s="132">
        <f t="shared" si="8"/>
        <v>0.5712720466136036</v>
      </c>
      <c r="G60" s="215">
        <f t="shared" si="9"/>
        <v>0.2946497833158894</v>
      </c>
      <c r="H60" s="123"/>
    </row>
    <row r="61" spans="1:8" ht="15" thickBot="1">
      <c r="A61" s="133"/>
      <c r="B61" s="131"/>
      <c r="C61" s="204"/>
      <c r="D61" s="204"/>
      <c r="E61" s="204"/>
      <c r="F61" s="132"/>
      <c r="G61" s="215"/>
      <c r="H61" s="123"/>
    </row>
    <row r="62" spans="1:8" ht="17.25" customHeight="1" thickBot="1" thickTop="1">
      <c r="A62" s="141" t="s">
        <v>14</v>
      </c>
      <c r="B62" s="142"/>
      <c r="C62" s="207">
        <f>SUM(C53:C61)</f>
        <v>98802495.75</v>
      </c>
      <c r="D62" s="261">
        <f>SUM(D53:D61)</f>
        <v>25850850.25</v>
      </c>
      <c r="E62" s="206">
        <f>SUM(E53:E61)</f>
        <v>24335071.75</v>
      </c>
      <c r="F62" s="268">
        <f>(+D62-E62)/E62</f>
        <v>0.06228781717070549</v>
      </c>
      <c r="G62" s="267">
        <f>D62/C62</f>
        <v>0.26164167264975186</v>
      </c>
      <c r="H62" s="123"/>
    </row>
    <row r="63" spans="1:8" ht="15.75" customHeight="1" thickTop="1">
      <c r="A63" s="130"/>
      <c r="B63" s="134"/>
      <c r="C63" s="204"/>
      <c r="D63" s="204"/>
      <c r="E63" s="204"/>
      <c r="F63" s="132"/>
      <c r="G63" s="218"/>
      <c r="H63" s="123"/>
    </row>
    <row r="64" spans="1:8" ht="15">
      <c r="A64" s="130" t="s">
        <v>64</v>
      </c>
      <c r="B64" s="131">
        <f>DATE(2022,7,1)</f>
        <v>44743</v>
      </c>
      <c r="C64" s="204">
        <v>3016522</v>
      </c>
      <c r="D64" s="204">
        <v>700930</v>
      </c>
      <c r="E64" s="204">
        <v>729030</v>
      </c>
      <c r="F64" s="132">
        <f aca="true" t="shared" si="10" ref="F64:F71">(+D64-E64)/E64</f>
        <v>-0.03854436717281868</v>
      </c>
      <c r="G64" s="215">
        <f aca="true" t="shared" si="11" ref="G64:G71">D64/C64</f>
        <v>0.2323636293718395</v>
      </c>
      <c r="H64" s="123"/>
    </row>
    <row r="65" spans="1:8" ht="15">
      <c r="A65" s="130"/>
      <c r="B65" s="131">
        <f>DATE(2022,8,1)</f>
        <v>44774</v>
      </c>
      <c r="C65" s="204">
        <v>2699781</v>
      </c>
      <c r="D65" s="204">
        <v>630145.5</v>
      </c>
      <c r="E65" s="204">
        <v>844084.5</v>
      </c>
      <c r="F65" s="132">
        <f t="shared" si="10"/>
        <v>-0.25345685177254174</v>
      </c>
      <c r="G65" s="215">
        <f t="shared" si="11"/>
        <v>0.23340615405471776</v>
      </c>
      <c r="H65" s="123"/>
    </row>
    <row r="66" spans="1:8" ht="15">
      <c r="A66" s="130"/>
      <c r="B66" s="131">
        <f>DATE(2022,9,1)</f>
        <v>44805</v>
      </c>
      <c r="C66" s="204">
        <v>2497205</v>
      </c>
      <c r="D66" s="204">
        <v>538940</v>
      </c>
      <c r="E66" s="204">
        <v>707619</v>
      </c>
      <c r="F66" s="132">
        <f t="shared" si="10"/>
        <v>-0.23837545345729835</v>
      </c>
      <c r="G66" s="215">
        <f t="shared" si="11"/>
        <v>0.21581728372320255</v>
      </c>
      <c r="H66" s="123"/>
    </row>
    <row r="67" spans="1:8" ht="15">
      <c r="A67" s="130"/>
      <c r="B67" s="131">
        <f>DATE(2022,10,1)</f>
        <v>44835</v>
      </c>
      <c r="C67" s="204">
        <v>2946833</v>
      </c>
      <c r="D67" s="204">
        <v>664586</v>
      </c>
      <c r="E67" s="204">
        <v>435392</v>
      </c>
      <c r="F67" s="132">
        <f t="shared" si="10"/>
        <v>0.5264083860061738</v>
      </c>
      <c r="G67" s="215">
        <f t="shared" si="11"/>
        <v>0.22552550483858433</v>
      </c>
      <c r="H67" s="123"/>
    </row>
    <row r="68" spans="1:8" ht="15">
      <c r="A68" s="130"/>
      <c r="B68" s="131">
        <f>DATE(2022,11,1)</f>
        <v>44866</v>
      </c>
      <c r="C68" s="204">
        <v>2417115</v>
      </c>
      <c r="D68" s="204">
        <v>644592.5</v>
      </c>
      <c r="E68" s="204">
        <v>706210</v>
      </c>
      <c r="F68" s="132">
        <f t="shared" si="10"/>
        <v>-0.08725095934637006</v>
      </c>
      <c r="G68" s="215">
        <f t="shared" si="11"/>
        <v>0.2666784575826967</v>
      </c>
      <c r="H68" s="123"/>
    </row>
    <row r="69" spans="1:8" ht="15">
      <c r="A69" s="130"/>
      <c r="B69" s="131">
        <f>DATE(2022,12,1)</f>
        <v>44896</v>
      </c>
      <c r="C69" s="204">
        <v>2832616</v>
      </c>
      <c r="D69" s="204">
        <v>621789.5</v>
      </c>
      <c r="E69" s="204">
        <v>737876.5</v>
      </c>
      <c r="F69" s="132">
        <f t="shared" si="10"/>
        <v>-0.15732578554812357</v>
      </c>
      <c r="G69" s="215">
        <f t="shared" si="11"/>
        <v>0.219510692589465</v>
      </c>
      <c r="H69" s="123"/>
    </row>
    <row r="70" spans="1:8" ht="15">
      <c r="A70" s="130"/>
      <c r="B70" s="131">
        <f>DATE(2023,1,1)</f>
        <v>44927</v>
      </c>
      <c r="C70" s="204">
        <v>2596608</v>
      </c>
      <c r="D70" s="204">
        <v>561543</v>
      </c>
      <c r="E70" s="204">
        <v>670212</v>
      </c>
      <c r="F70" s="132">
        <f t="shared" si="10"/>
        <v>-0.1621412329233138</v>
      </c>
      <c r="G70" s="215">
        <f t="shared" si="11"/>
        <v>0.21626021332446022</v>
      </c>
      <c r="H70" s="123"/>
    </row>
    <row r="71" spans="1:8" ht="15">
      <c r="A71" s="130"/>
      <c r="B71" s="131">
        <f>DATE(2023,2,1)</f>
        <v>44958</v>
      </c>
      <c r="C71" s="204">
        <v>2565563</v>
      </c>
      <c r="D71" s="204">
        <v>653096</v>
      </c>
      <c r="E71" s="204">
        <v>521651.5</v>
      </c>
      <c r="F71" s="132">
        <f t="shared" si="10"/>
        <v>0.25197761340665176</v>
      </c>
      <c r="G71" s="215">
        <f t="shared" si="11"/>
        <v>0.2545624488659994</v>
      </c>
      <c r="H71" s="123"/>
    </row>
    <row r="72" spans="1:8" ht="15.75" customHeight="1" thickBot="1">
      <c r="A72" s="130"/>
      <c r="B72" s="131"/>
      <c r="C72" s="204"/>
      <c r="D72" s="204"/>
      <c r="E72" s="204"/>
      <c r="F72" s="132"/>
      <c r="G72" s="215"/>
      <c r="H72" s="123"/>
    </row>
    <row r="73" spans="1:8" ht="16.5" thickBot="1" thickTop="1">
      <c r="A73" s="141" t="s">
        <v>14</v>
      </c>
      <c r="B73" s="142"/>
      <c r="C73" s="207">
        <f>SUM(C64:C72)</f>
        <v>21572243</v>
      </c>
      <c r="D73" s="261">
        <f>SUM(D64:D72)</f>
        <v>5015622.5</v>
      </c>
      <c r="E73" s="207">
        <f>SUM(E64:E72)</f>
        <v>5352075.5</v>
      </c>
      <c r="F73" s="268">
        <f>(+D73-E73)/E73</f>
        <v>-0.06286402349892112</v>
      </c>
      <c r="G73" s="267">
        <f>D73/C73</f>
        <v>0.23250352316168513</v>
      </c>
      <c r="H73" s="123"/>
    </row>
    <row r="74" spans="1:8" ht="15.75" customHeight="1" thickTop="1">
      <c r="A74" s="130"/>
      <c r="B74" s="134"/>
      <c r="C74" s="204"/>
      <c r="D74" s="204"/>
      <c r="E74" s="204"/>
      <c r="F74" s="132"/>
      <c r="G74" s="218"/>
      <c r="H74" s="123"/>
    </row>
    <row r="75" spans="1:8" ht="15">
      <c r="A75" s="130" t="s">
        <v>67</v>
      </c>
      <c r="B75" s="131">
        <f>DATE(2022,7,1)</f>
        <v>44743</v>
      </c>
      <c r="C75" s="204">
        <v>6177101</v>
      </c>
      <c r="D75" s="204">
        <v>951854</v>
      </c>
      <c r="E75" s="204">
        <v>1067021</v>
      </c>
      <c r="F75" s="132">
        <f aca="true" t="shared" si="12" ref="F75:F82">(+D75-E75)/E75</f>
        <v>-0.10793320843732222</v>
      </c>
      <c r="G75" s="215">
        <f aca="true" t="shared" si="13" ref="G75:G82">D75/C75</f>
        <v>0.15409396738049128</v>
      </c>
      <c r="H75" s="123"/>
    </row>
    <row r="76" spans="1:8" ht="15">
      <c r="A76" s="130"/>
      <c r="B76" s="131">
        <f>DATE(2022,8,1)</f>
        <v>44774</v>
      </c>
      <c r="C76" s="204">
        <v>6063193</v>
      </c>
      <c r="D76" s="204">
        <v>1029739</v>
      </c>
      <c r="E76" s="204">
        <v>666603.5</v>
      </c>
      <c r="F76" s="132">
        <f t="shared" si="12"/>
        <v>0.5447548655235084</v>
      </c>
      <c r="G76" s="215">
        <f t="shared" si="13"/>
        <v>0.169834442017597</v>
      </c>
      <c r="H76" s="123"/>
    </row>
    <row r="77" spans="1:8" ht="15">
      <c r="A77" s="130"/>
      <c r="B77" s="131">
        <f>DATE(2022,9,1)</f>
        <v>44805</v>
      </c>
      <c r="C77" s="204">
        <v>6587163</v>
      </c>
      <c r="D77" s="204">
        <v>389281</v>
      </c>
      <c r="E77" s="204">
        <v>1135711.5</v>
      </c>
      <c r="F77" s="132">
        <f t="shared" si="12"/>
        <v>-0.657236014604061</v>
      </c>
      <c r="G77" s="215">
        <f t="shared" si="13"/>
        <v>0.05909691319313033</v>
      </c>
      <c r="H77" s="123"/>
    </row>
    <row r="78" spans="1:8" ht="15">
      <c r="A78" s="130"/>
      <c r="B78" s="131">
        <f>DATE(2022,10,1)</f>
        <v>44835</v>
      </c>
      <c r="C78" s="204">
        <v>6082166</v>
      </c>
      <c r="D78" s="204">
        <v>1134882.5</v>
      </c>
      <c r="E78" s="204">
        <v>1168170.5</v>
      </c>
      <c r="F78" s="132">
        <f t="shared" si="12"/>
        <v>-0.028495840290437054</v>
      </c>
      <c r="G78" s="215">
        <f t="shared" si="13"/>
        <v>0.18659183258069575</v>
      </c>
      <c r="H78" s="123"/>
    </row>
    <row r="79" spans="1:8" ht="15">
      <c r="A79" s="130"/>
      <c r="B79" s="131">
        <f>DATE(2022,11,1)</f>
        <v>44866</v>
      </c>
      <c r="C79" s="204">
        <v>5974545</v>
      </c>
      <c r="D79" s="204">
        <v>1197761</v>
      </c>
      <c r="E79" s="204">
        <v>1079072</v>
      </c>
      <c r="F79" s="132">
        <f t="shared" si="12"/>
        <v>0.10999173363779248</v>
      </c>
      <c r="G79" s="215">
        <f t="shared" si="13"/>
        <v>0.20047735852688364</v>
      </c>
      <c r="H79" s="123"/>
    </row>
    <row r="80" spans="1:8" ht="15">
      <c r="A80" s="130"/>
      <c r="B80" s="131">
        <f>DATE(2022,12,1)</f>
        <v>44896</v>
      </c>
      <c r="C80" s="204">
        <v>5430834</v>
      </c>
      <c r="D80" s="204">
        <v>867923</v>
      </c>
      <c r="E80" s="204">
        <v>924398</v>
      </c>
      <c r="F80" s="132">
        <f t="shared" si="12"/>
        <v>-0.06109381456904926</v>
      </c>
      <c r="G80" s="215">
        <f t="shared" si="13"/>
        <v>0.1598139438620293</v>
      </c>
      <c r="H80" s="123"/>
    </row>
    <row r="81" spans="1:8" ht="15">
      <c r="A81" s="130"/>
      <c r="B81" s="131">
        <f>DATE(2023,1,1)</f>
        <v>44927</v>
      </c>
      <c r="C81" s="204">
        <v>6222780</v>
      </c>
      <c r="D81" s="204">
        <v>1084536.5</v>
      </c>
      <c r="E81" s="204">
        <v>1117761</v>
      </c>
      <c r="F81" s="132">
        <f t="shared" si="12"/>
        <v>-0.02972415391125652</v>
      </c>
      <c r="G81" s="215">
        <f t="shared" si="13"/>
        <v>0.1742848855334754</v>
      </c>
      <c r="H81" s="123"/>
    </row>
    <row r="82" spans="1:8" ht="15">
      <c r="A82" s="130"/>
      <c r="B82" s="131">
        <f>DATE(2023,2,1)</f>
        <v>44958</v>
      </c>
      <c r="C82" s="204">
        <v>5787383</v>
      </c>
      <c r="D82" s="204">
        <v>924380.5</v>
      </c>
      <c r="E82" s="204">
        <v>933678</v>
      </c>
      <c r="F82" s="132">
        <f t="shared" si="12"/>
        <v>-0.009957929821630155</v>
      </c>
      <c r="G82" s="215">
        <f t="shared" si="13"/>
        <v>0.15972340175170713</v>
      </c>
      <c r="H82" s="123"/>
    </row>
    <row r="83" spans="1:8" ht="15.75" customHeight="1" thickBot="1">
      <c r="A83" s="130"/>
      <c r="B83" s="131"/>
      <c r="C83" s="204"/>
      <c r="D83" s="204"/>
      <c r="E83" s="204"/>
      <c r="F83" s="132"/>
      <c r="G83" s="215"/>
      <c r="H83" s="123"/>
    </row>
    <row r="84" spans="1:8" ht="16.5" thickBot="1" thickTop="1">
      <c r="A84" s="141" t="s">
        <v>14</v>
      </c>
      <c r="B84" s="142"/>
      <c r="C84" s="207">
        <f>SUM(C75:C83)</f>
        <v>48325165</v>
      </c>
      <c r="D84" s="261">
        <f>SUM(D75:D83)</f>
        <v>7580357.5</v>
      </c>
      <c r="E84" s="207">
        <f>SUM(E75:E83)</f>
        <v>8092415.5</v>
      </c>
      <c r="F84" s="269">
        <f>(+D84-E84)/E84</f>
        <v>-0.06327628629548249</v>
      </c>
      <c r="G84" s="267">
        <f>D84/C84</f>
        <v>0.15686149235082797</v>
      </c>
      <c r="H84" s="123"/>
    </row>
    <row r="85" spans="1:8" ht="15.75" customHeight="1" thickTop="1">
      <c r="A85" s="130"/>
      <c r="B85" s="139"/>
      <c r="C85" s="205"/>
      <c r="D85" s="205"/>
      <c r="E85" s="205"/>
      <c r="F85" s="140"/>
      <c r="G85" s="216"/>
      <c r="H85" s="123"/>
    </row>
    <row r="86" spans="1:8" ht="15">
      <c r="A86" s="130" t="s">
        <v>69</v>
      </c>
      <c r="B86" s="131">
        <f>DATE(2022,7,1)</f>
        <v>44743</v>
      </c>
      <c r="C86" s="204">
        <v>5606930</v>
      </c>
      <c r="D86" s="204">
        <v>1405783</v>
      </c>
      <c r="E86" s="204">
        <v>1287648</v>
      </c>
      <c r="F86" s="132">
        <f aca="true" t="shared" si="14" ref="F86:F93">(+D86-E86)/E86</f>
        <v>0.09174479360819106</v>
      </c>
      <c r="G86" s="215">
        <f aca="true" t="shared" si="15" ref="G86:G93">D86/C86</f>
        <v>0.2507224095895615</v>
      </c>
      <c r="H86" s="123"/>
    </row>
    <row r="87" spans="1:8" ht="15">
      <c r="A87" s="130"/>
      <c r="B87" s="131">
        <f>DATE(2022,8,1)</f>
        <v>44774</v>
      </c>
      <c r="C87" s="204">
        <v>5378141</v>
      </c>
      <c r="D87" s="204">
        <v>1387184.42</v>
      </c>
      <c r="E87" s="204">
        <v>1323019.5</v>
      </c>
      <c r="F87" s="132">
        <f t="shared" si="14"/>
        <v>0.04849884676680875</v>
      </c>
      <c r="G87" s="215">
        <f t="shared" si="15"/>
        <v>0.2579300951760097</v>
      </c>
      <c r="H87" s="123"/>
    </row>
    <row r="88" spans="1:8" ht="15">
      <c r="A88" s="130"/>
      <c r="B88" s="131">
        <f>DATE(2022,9,1)</f>
        <v>44805</v>
      </c>
      <c r="C88" s="204">
        <v>5602602</v>
      </c>
      <c r="D88" s="204">
        <v>1318470</v>
      </c>
      <c r="E88" s="204">
        <v>858985.36</v>
      </c>
      <c r="F88" s="132">
        <f t="shared" si="14"/>
        <v>0.5349155659649427</v>
      </c>
      <c r="G88" s="215">
        <f t="shared" si="15"/>
        <v>0.23533172622292284</v>
      </c>
      <c r="H88" s="123"/>
    </row>
    <row r="89" spans="1:8" ht="15">
      <c r="A89" s="130"/>
      <c r="B89" s="131">
        <f>DATE(2022,10,1)</f>
        <v>44835</v>
      </c>
      <c r="C89" s="204">
        <v>5424917</v>
      </c>
      <c r="D89" s="204">
        <v>1379988.01</v>
      </c>
      <c r="E89" s="204">
        <v>980676.58</v>
      </c>
      <c r="F89" s="132">
        <f t="shared" si="14"/>
        <v>0.4071795310947469</v>
      </c>
      <c r="G89" s="215">
        <f t="shared" si="15"/>
        <v>0.25437956193615496</v>
      </c>
      <c r="H89" s="123"/>
    </row>
    <row r="90" spans="1:8" ht="15">
      <c r="A90" s="130"/>
      <c r="B90" s="131">
        <f>DATE(2022,11,1)</f>
        <v>44866</v>
      </c>
      <c r="C90" s="204">
        <v>4989462</v>
      </c>
      <c r="D90" s="204">
        <v>1234881.42</v>
      </c>
      <c r="E90" s="204">
        <v>1337612.57</v>
      </c>
      <c r="F90" s="132">
        <f t="shared" si="14"/>
        <v>-0.07680187245848036</v>
      </c>
      <c r="G90" s="215">
        <f t="shared" si="15"/>
        <v>0.2474979105963729</v>
      </c>
      <c r="H90" s="123"/>
    </row>
    <row r="91" spans="1:8" ht="15">
      <c r="A91" s="130"/>
      <c r="B91" s="131">
        <f>DATE(2022,12,1)</f>
        <v>44896</v>
      </c>
      <c r="C91" s="204">
        <v>5823111</v>
      </c>
      <c r="D91" s="204">
        <v>1290058.78</v>
      </c>
      <c r="E91" s="204">
        <v>927044</v>
      </c>
      <c r="F91" s="132">
        <f t="shared" si="14"/>
        <v>0.39158311795340894</v>
      </c>
      <c r="G91" s="215">
        <f t="shared" si="15"/>
        <v>0.22154116244735847</v>
      </c>
      <c r="H91" s="123"/>
    </row>
    <row r="92" spans="1:8" ht="15">
      <c r="A92" s="130"/>
      <c r="B92" s="131">
        <f>DATE(2023,1,1)</f>
        <v>44927</v>
      </c>
      <c r="C92" s="204">
        <v>5534309</v>
      </c>
      <c r="D92" s="204">
        <v>1422588.36</v>
      </c>
      <c r="E92" s="204">
        <v>922135.79</v>
      </c>
      <c r="F92" s="132">
        <f t="shared" si="14"/>
        <v>0.5427102769755852</v>
      </c>
      <c r="G92" s="215">
        <f t="shared" si="15"/>
        <v>0.25704895769282127</v>
      </c>
      <c r="H92" s="123"/>
    </row>
    <row r="93" spans="1:8" ht="15">
      <c r="A93" s="130"/>
      <c r="B93" s="131">
        <f>DATE(2023,2,1)</f>
        <v>44958</v>
      </c>
      <c r="C93" s="204">
        <v>5528109</v>
      </c>
      <c r="D93" s="204">
        <v>1163658.3</v>
      </c>
      <c r="E93" s="204">
        <v>1013590.48</v>
      </c>
      <c r="F93" s="132">
        <f t="shared" si="14"/>
        <v>0.14805567234609393</v>
      </c>
      <c r="G93" s="215">
        <f t="shared" si="15"/>
        <v>0.21049843626455267</v>
      </c>
      <c r="H93" s="123"/>
    </row>
    <row r="94" spans="1:8" ht="15.75" customHeight="1" thickBot="1">
      <c r="A94" s="130"/>
      <c r="B94" s="131"/>
      <c r="C94" s="204"/>
      <c r="D94" s="204"/>
      <c r="E94" s="204"/>
      <c r="F94" s="132"/>
      <c r="G94" s="215"/>
      <c r="H94" s="123"/>
    </row>
    <row r="95" spans="1:8" ht="16.5" thickBot="1" thickTop="1">
      <c r="A95" s="141" t="s">
        <v>14</v>
      </c>
      <c r="B95" s="142"/>
      <c r="C95" s="206">
        <f>SUM(C86:C94)</f>
        <v>43887581</v>
      </c>
      <c r="D95" s="206">
        <f>SUM(D86:D94)</f>
        <v>10602612.290000001</v>
      </c>
      <c r="E95" s="206">
        <f>SUM(E86:E94)</f>
        <v>8650712.28</v>
      </c>
      <c r="F95" s="143">
        <f>(+D95-E95)/E95</f>
        <v>0.22563460057649748</v>
      </c>
      <c r="G95" s="217">
        <f>D95/C95</f>
        <v>0.24158570712749014</v>
      </c>
      <c r="H95" s="123"/>
    </row>
    <row r="96" spans="1:8" ht="15.75" customHeight="1" thickTop="1">
      <c r="A96" s="138"/>
      <c r="B96" s="139"/>
      <c r="C96" s="205"/>
      <c r="D96" s="205"/>
      <c r="E96" s="205"/>
      <c r="F96" s="140"/>
      <c r="G96" s="216"/>
      <c r="H96" s="123"/>
    </row>
    <row r="97" spans="1:8" ht="15">
      <c r="A97" s="130" t="s">
        <v>16</v>
      </c>
      <c r="B97" s="131">
        <f>DATE(2022,7,1)</f>
        <v>44743</v>
      </c>
      <c r="C97" s="204">
        <v>10366880</v>
      </c>
      <c r="D97" s="204">
        <v>2289729.5</v>
      </c>
      <c r="E97" s="204">
        <v>1960105</v>
      </c>
      <c r="F97" s="132">
        <f aca="true" t="shared" si="16" ref="F97:F104">(+D97-E97)/E97</f>
        <v>0.16816675637274534</v>
      </c>
      <c r="G97" s="215">
        <f aca="true" t="shared" si="17" ref="G97:G104">D97/C97</f>
        <v>0.22086968306761534</v>
      </c>
      <c r="H97" s="123"/>
    </row>
    <row r="98" spans="1:8" ht="15">
      <c r="A98" s="130"/>
      <c r="B98" s="131">
        <f>DATE(2022,8,1)</f>
        <v>44774</v>
      </c>
      <c r="C98" s="204">
        <v>9734457</v>
      </c>
      <c r="D98" s="204">
        <v>2099615</v>
      </c>
      <c r="E98" s="204">
        <v>2275188.5</v>
      </c>
      <c r="F98" s="132">
        <f t="shared" si="16"/>
        <v>-0.0771687708512943</v>
      </c>
      <c r="G98" s="215">
        <f t="shared" si="17"/>
        <v>0.21568896960559794</v>
      </c>
      <c r="H98" s="123"/>
    </row>
    <row r="99" spans="1:8" ht="15">
      <c r="A99" s="130"/>
      <c r="B99" s="131">
        <f>DATE(2022,9,1)</f>
        <v>44805</v>
      </c>
      <c r="C99" s="204">
        <v>9237427</v>
      </c>
      <c r="D99" s="204">
        <v>1892853.5</v>
      </c>
      <c r="E99" s="204">
        <v>937001</v>
      </c>
      <c r="F99" s="132">
        <f t="shared" si="16"/>
        <v>1.0201189753266005</v>
      </c>
      <c r="G99" s="215">
        <f t="shared" si="17"/>
        <v>0.2049113351585891</v>
      </c>
      <c r="H99" s="123"/>
    </row>
    <row r="100" spans="1:8" ht="15">
      <c r="A100" s="130"/>
      <c r="B100" s="131">
        <f>DATE(2022,10,1)</f>
        <v>44835</v>
      </c>
      <c r="C100" s="204">
        <v>10140690</v>
      </c>
      <c r="D100" s="204">
        <v>1720920</v>
      </c>
      <c r="E100" s="204">
        <v>1775955</v>
      </c>
      <c r="F100" s="132">
        <f t="shared" si="16"/>
        <v>-0.030988960868940936</v>
      </c>
      <c r="G100" s="215">
        <f t="shared" si="17"/>
        <v>0.16970442839688424</v>
      </c>
      <c r="H100" s="123"/>
    </row>
    <row r="101" spans="1:8" ht="15">
      <c r="A101" s="130"/>
      <c r="B101" s="131">
        <f>DATE(2022,11,1)</f>
        <v>44866</v>
      </c>
      <c r="C101" s="204">
        <v>9461662</v>
      </c>
      <c r="D101" s="204">
        <v>1878662</v>
      </c>
      <c r="E101" s="204">
        <v>2248532.5</v>
      </c>
      <c r="F101" s="132">
        <f t="shared" si="16"/>
        <v>-0.16449417564567112</v>
      </c>
      <c r="G101" s="215">
        <f t="shared" si="17"/>
        <v>0.19855517984049736</v>
      </c>
      <c r="H101" s="123"/>
    </row>
    <row r="102" spans="1:8" ht="15">
      <c r="A102" s="130"/>
      <c r="B102" s="131">
        <f>DATE(2022,12,1)</f>
        <v>44896</v>
      </c>
      <c r="C102" s="204">
        <v>9800152.3</v>
      </c>
      <c r="D102" s="204">
        <v>2169033.8</v>
      </c>
      <c r="E102" s="204">
        <v>1877718</v>
      </c>
      <c r="F102" s="132">
        <f t="shared" si="16"/>
        <v>0.15514353060470198</v>
      </c>
      <c r="G102" s="215">
        <f t="shared" si="17"/>
        <v>0.22132653999673044</v>
      </c>
      <c r="H102" s="123"/>
    </row>
    <row r="103" spans="1:8" ht="15">
      <c r="A103" s="130"/>
      <c r="B103" s="131">
        <f>DATE(2023,1,1)</f>
        <v>44927</v>
      </c>
      <c r="C103" s="204">
        <v>9824285.04</v>
      </c>
      <c r="D103" s="204">
        <v>2093677.04</v>
      </c>
      <c r="E103" s="204">
        <v>1684861.5</v>
      </c>
      <c r="F103" s="132">
        <f t="shared" si="16"/>
        <v>0.24264044255269648</v>
      </c>
      <c r="G103" s="215">
        <f t="shared" si="17"/>
        <v>0.2131124078215874</v>
      </c>
      <c r="H103" s="123"/>
    </row>
    <row r="104" spans="1:8" ht="15">
      <c r="A104" s="130"/>
      <c r="B104" s="131">
        <f>DATE(2023,2,1)</f>
        <v>44958</v>
      </c>
      <c r="C104" s="204">
        <v>8427479</v>
      </c>
      <c r="D104" s="204">
        <v>1592170</v>
      </c>
      <c r="E104" s="204">
        <v>1881049</v>
      </c>
      <c r="F104" s="132">
        <f t="shared" si="16"/>
        <v>-0.1535733518903548</v>
      </c>
      <c r="G104" s="215">
        <f t="shared" si="17"/>
        <v>0.18892601215618574</v>
      </c>
      <c r="H104" s="123"/>
    </row>
    <row r="105" spans="1:8" ht="15.75" customHeight="1" thickBot="1">
      <c r="A105" s="130"/>
      <c r="B105" s="131"/>
      <c r="C105" s="204"/>
      <c r="D105" s="204"/>
      <c r="E105" s="204"/>
      <c r="F105" s="132"/>
      <c r="G105" s="215"/>
      <c r="H105" s="123"/>
    </row>
    <row r="106" spans="1:8" ht="16.5" thickBot="1" thickTop="1">
      <c r="A106" s="141" t="s">
        <v>14</v>
      </c>
      <c r="B106" s="142"/>
      <c r="C106" s="206">
        <f>SUM(C97:C105)</f>
        <v>76993032.34</v>
      </c>
      <c r="D106" s="206">
        <f>SUM(D97:D105)</f>
        <v>15736660.84</v>
      </c>
      <c r="E106" s="206">
        <f>SUM(E97:E105)</f>
        <v>14640410.5</v>
      </c>
      <c r="F106" s="143">
        <f>(+D106-E106)/E106</f>
        <v>0.07487838814355649</v>
      </c>
      <c r="G106" s="217">
        <f>D106/C106</f>
        <v>0.20439071383118354</v>
      </c>
      <c r="H106" s="123"/>
    </row>
    <row r="107" spans="1:8" ht="15.75" customHeight="1" thickTop="1">
      <c r="A107" s="138"/>
      <c r="B107" s="139"/>
      <c r="C107" s="205"/>
      <c r="D107" s="205"/>
      <c r="E107" s="205"/>
      <c r="F107" s="140"/>
      <c r="G107" s="216"/>
      <c r="H107" s="123"/>
    </row>
    <row r="108" spans="1:8" ht="15">
      <c r="A108" s="130" t="s">
        <v>53</v>
      </c>
      <c r="B108" s="131">
        <f>DATE(2022,7,1)</f>
        <v>44743</v>
      </c>
      <c r="C108" s="204">
        <v>14277956</v>
      </c>
      <c r="D108" s="204">
        <v>2740415.54</v>
      </c>
      <c r="E108" s="204">
        <v>2503594.66</v>
      </c>
      <c r="F108" s="132">
        <f aca="true" t="shared" si="18" ref="F108:F115">(+D108-E108)/E108</f>
        <v>0.09459234107808805</v>
      </c>
      <c r="G108" s="215">
        <f aca="true" t="shared" si="19" ref="G108:G115">D108/C108</f>
        <v>0.19193332294902715</v>
      </c>
      <c r="H108" s="123"/>
    </row>
    <row r="109" spans="1:8" ht="15">
      <c r="A109" s="130"/>
      <c r="B109" s="131">
        <f>DATE(2022,8,1)</f>
        <v>44774</v>
      </c>
      <c r="C109" s="204">
        <v>14131755</v>
      </c>
      <c r="D109" s="204">
        <v>2942976.84</v>
      </c>
      <c r="E109" s="204">
        <v>2041955.48</v>
      </c>
      <c r="F109" s="132">
        <f t="shared" si="18"/>
        <v>0.4412541648557391</v>
      </c>
      <c r="G109" s="215">
        <f t="shared" si="19"/>
        <v>0.2082527499238417</v>
      </c>
      <c r="H109" s="123"/>
    </row>
    <row r="110" spans="1:8" ht="15">
      <c r="A110" s="130"/>
      <c r="B110" s="131">
        <f>DATE(2022,9,1)</f>
        <v>44805</v>
      </c>
      <c r="C110" s="204">
        <v>13855244</v>
      </c>
      <c r="D110" s="204">
        <v>2470080.11</v>
      </c>
      <c r="E110" s="204">
        <v>2713567.27</v>
      </c>
      <c r="F110" s="132">
        <f t="shared" si="18"/>
        <v>-0.0897295463030847</v>
      </c>
      <c r="G110" s="215">
        <f t="shared" si="19"/>
        <v>0.1782776333639451</v>
      </c>
      <c r="H110" s="123"/>
    </row>
    <row r="111" spans="1:8" ht="15">
      <c r="A111" s="130"/>
      <c r="B111" s="131">
        <f>DATE(2022,10,1)</f>
        <v>44835</v>
      </c>
      <c r="C111" s="204">
        <v>14256461</v>
      </c>
      <c r="D111" s="204">
        <v>3215532.42</v>
      </c>
      <c r="E111" s="204">
        <v>2659301.47</v>
      </c>
      <c r="F111" s="132">
        <f t="shared" si="18"/>
        <v>0.20916430734722216</v>
      </c>
      <c r="G111" s="215">
        <f t="shared" si="19"/>
        <v>0.22554913312637687</v>
      </c>
      <c r="H111" s="123"/>
    </row>
    <row r="112" spans="1:8" ht="15">
      <c r="A112" s="130"/>
      <c r="B112" s="131">
        <f>DATE(2022,11,1)</f>
        <v>44866</v>
      </c>
      <c r="C112" s="204">
        <v>13386623</v>
      </c>
      <c r="D112" s="204">
        <v>3265973.52</v>
      </c>
      <c r="E112" s="204">
        <v>2735220.29</v>
      </c>
      <c r="F112" s="132">
        <f t="shared" si="18"/>
        <v>0.19404405266385324</v>
      </c>
      <c r="G112" s="215">
        <f t="shared" si="19"/>
        <v>0.24397292132601328</v>
      </c>
      <c r="H112" s="123"/>
    </row>
    <row r="113" spans="1:8" ht="15">
      <c r="A113" s="130"/>
      <c r="B113" s="131">
        <f>DATE(2022,12,1)</f>
        <v>44896</v>
      </c>
      <c r="C113" s="204">
        <v>15242874</v>
      </c>
      <c r="D113" s="204">
        <v>2403855.66</v>
      </c>
      <c r="E113" s="204">
        <v>3180649.5</v>
      </c>
      <c r="F113" s="132">
        <f t="shared" si="18"/>
        <v>-0.24422491066683075</v>
      </c>
      <c r="G113" s="215">
        <f t="shared" si="19"/>
        <v>0.15770357086203035</v>
      </c>
      <c r="H113" s="123"/>
    </row>
    <row r="114" spans="1:8" ht="15">
      <c r="A114" s="130"/>
      <c r="B114" s="131">
        <f>DATE(2023,1,1)</f>
        <v>44927</v>
      </c>
      <c r="C114" s="204">
        <v>13415382</v>
      </c>
      <c r="D114" s="204">
        <v>3153729.45</v>
      </c>
      <c r="E114" s="204">
        <v>2491683.57</v>
      </c>
      <c r="F114" s="132">
        <f t="shared" si="18"/>
        <v>0.26570222959731615</v>
      </c>
      <c r="G114" s="215">
        <f t="shared" si="19"/>
        <v>0.23508308969509778</v>
      </c>
      <c r="H114" s="123"/>
    </row>
    <row r="115" spans="1:8" ht="15">
      <c r="A115" s="130"/>
      <c r="B115" s="131">
        <f>DATE(2023,2,1)</f>
        <v>44958</v>
      </c>
      <c r="C115" s="204">
        <v>12458702</v>
      </c>
      <c r="D115" s="204">
        <v>2846898.89</v>
      </c>
      <c r="E115" s="204">
        <v>2634766.65</v>
      </c>
      <c r="F115" s="132">
        <f t="shared" si="18"/>
        <v>0.08051272396361941</v>
      </c>
      <c r="G115" s="215">
        <f t="shared" si="19"/>
        <v>0.22850686130866604</v>
      </c>
      <c r="H115" s="123"/>
    </row>
    <row r="116" spans="1:8" ht="15" thickBot="1">
      <c r="A116" s="133"/>
      <c r="B116" s="131"/>
      <c r="C116" s="204"/>
      <c r="D116" s="204"/>
      <c r="E116" s="204"/>
      <c r="F116" s="132"/>
      <c r="G116" s="215"/>
      <c r="H116" s="123"/>
    </row>
    <row r="117" spans="1:8" ht="16.5" thickBot="1" thickTop="1">
      <c r="A117" s="141" t="s">
        <v>14</v>
      </c>
      <c r="B117" s="142"/>
      <c r="C117" s="207">
        <f>SUM(C108:C116)</f>
        <v>111024997</v>
      </c>
      <c r="D117" s="207">
        <f>SUM(D108:D116)</f>
        <v>23039462.43</v>
      </c>
      <c r="E117" s="207">
        <f>SUM(E108:E116)</f>
        <v>20960738.89</v>
      </c>
      <c r="F117" s="143">
        <f>(+D117-E117)/E117</f>
        <v>0.09917224535398995</v>
      </c>
      <c r="G117" s="267">
        <f>D117/C117</f>
        <v>0.20751599236701623</v>
      </c>
      <c r="H117" s="123"/>
    </row>
    <row r="118" spans="1:8" ht="15.75" customHeight="1" thickTop="1">
      <c r="A118" s="138"/>
      <c r="B118" s="139"/>
      <c r="C118" s="205"/>
      <c r="D118" s="205"/>
      <c r="E118" s="205"/>
      <c r="F118" s="140"/>
      <c r="G118" s="219"/>
      <c r="H118" s="123"/>
    </row>
    <row r="119" spans="1:8" ht="15">
      <c r="A119" s="130" t="s">
        <v>54</v>
      </c>
      <c r="B119" s="131">
        <f>DATE(2022,7,1)</f>
        <v>44743</v>
      </c>
      <c r="C119" s="204">
        <v>138495</v>
      </c>
      <c r="D119" s="204">
        <v>33672.5</v>
      </c>
      <c r="E119" s="204">
        <v>95940.5</v>
      </c>
      <c r="F119" s="132">
        <f aca="true" t="shared" si="20" ref="F119:F126">(+D119-E119)/E119</f>
        <v>-0.6490272616882339</v>
      </c>
      <c r="G119" s="215">
        <f aca="true" t="shared" si="21" ref="G119:G126">D119/C119</f>
        <v>0.2431315209935377</v>
      </c>
      <c r="H119" s="123"/>
    </row>
    <row r="120" spans="1:8" ht="15">
      <c r="A120" s="130"/>
      <c r="B120" s="131">
        <f>DATE(2022,8,1)</f>
        <v>44774</v>
      </c>
      <c r="C120" s="204">
        <v>107572</v>
      </c>
      <c r="D120" s="204">
        <v>43554</v>
      </c>
      <c r="E120" s="204">
        <v>109429</v>
      </c>
      <c r="F120" s="132">
        <f t="shared" si="20"/>
        <v>-0.6019885039614727</v>
      </c>
      <c r="G120" s="215">
        <f t="shared" si="21"/>
        <v>0.40488231138214403</v>
      </c>
      <c r="H120" s="123"/>
    </row>
    <row r="121" spans="1:8" ht="15">
      <c r="A121" s="130"/>
      <c r="B121" s="131">
        <f>DATE(2022,9,1)</f>
        <v>44805</v>
      </c>
      <c r="C121" s="204">
        <v>96319</v>
      </c>
      <c r="D121" s="204">
        <v>21940.5</v>
      </c>
      <c r="E121" s="204">
        <v>101758.5</v>
      </c>
      <c r="F121" s="132">
        <f t="shared" si="20"/>
        <v>-0.7843865623019207</v>
      </c>
      <c r="G121" s="215">
        <f t="shared" si="21"/>
        <v>0.22778994798534039</v>
      </c>
      <c r="H121" s="123"/>
    </row>
    <row r="122" spans="1:8" ht="15">
      <c r="A122" s="130"/>
      <c r="B122" s="131">
        <f>DATE(2022,10,1)</f>
        <v>44835</v>
      </c>
      <c r="C122" s="204">
        <v>100492</v>
      </c>
      <c r="D122" s="204">
        <v>23452.5</v>
      </c>
      <c r="E122" s="204">
        <v>79721.5</v>
      </c>
      <c r="F122" s="132">
        <f t="shared" si="20"/>
        <v>-0.7058196346029616</v>
      </c>
      <c r="G122" s="215">
        <f t="shared" si="21"/>
        <v>0.23337678621183774</v>
      </c>
      <c r="H122" s="123"/>
    </row>
    <row r="123" spans="1:8" ht="15">
      <c r="A123" s="130"/>
      <c r="B123" s="131">
        <f>DATE(2022,11,1)</f>
        <v>44866</v>
      </c>
      <c r="C123" s="204">
        <v>84332</v>
      </c>
      <c r="D123" s="204">
        <v>27986</v>
      </c>
      <c r="E123" s="204">
        <v>65199</v>
      </c>
      <c r="F123" s="132">
        <f t="shared" si="20"/>
        <v>-0.5707602877344744</v>
      </c>
      <c r="G123" s="215">
        <f t="shared" si="21"/>
        <v>0.33185504909168523</v>
      </c>
      <c r="H123" s="123"/>
    </row>
    <row r="124" spans="1:8" ht="15">
      <c r="A124" s="130"/>
      <c r="B124" s="131">
        <f>DATE(2022,12,1)</f>
        <v>44896</v>
      </c>
      <c r="C124" s="204">
        <v>96692</v>
      </c>
      <c r="D124" s="204">
        <v>31936</v>
      </c>
      <c r="E124" s="204">
        <v>91444</v>
      </c>
      <c r="F124" s="132">
        <f t="shared" si="20"/>
        <v>-0.6507589344298149</v>
      </c>
      <c r="G124" s="215">
        <f t="shared" si="21"/>
        <v>0.33028585612046496</v>
      </c>
      <c r="H124" s="123"/>
    </row>
    <row r="125" spans="1:8" ht="15">
      <c r="A125" s="130"/>
      <c r="B125" s="131">
        <f>DATE(2023,1,1)</f>
        <v>44927</v>
      </c>
      <c r="C125" s="204">
        <v>84454</v>
      </c>
      <c r="D125" s="204">
        <v>19398.5</v>
      </c>
      <c r="E125" s="204">
        <v>130796.5</v>
      </c>
      <c r="F125" s="132">
        <f t="shared" si="20"/>
        <v>-0.8516894565221547</v>
      </c>
      <c r="G125" s="215">
        <f t="shared" si="21"/>
        <v>0.22969308736116703</v>
      </c>
      <c r="H125" s="123"/>
    </row>
    <row r="126" spans="1:8" ht="15">
      <c r="A126" s="130"/>
      <c r="B126" s="131">
        <f>DATE(2023,2,1)</f>
        <v>44958</v>
      </c>
      <c r="C126" s="204">
        <v>148656</v>
      </c>
      <c r="D126" s="204">
        <v>38642.5</v>
      </c>
      <c r="E126" s="204">
        <v>64197.5</v>
      </c>
      <c r="F126" s="132">
        <f t="shared" si="20"/>
        <v>-0.3980684606098368</v>
      </c>
      <c r="G126" s="215">
        <f t="shared" si="21"/>
        <v>0.25994578086320097</v>
      </c>
      <c r="H126" s="123"/>
    </row>
    <row r="127" spans="1:8" ht="15" thickBot="1">
      <c r="A127" s="133"/>
      <c r="B127" s="134"/>
      <c r="C127" s="204"/>
      <c r="D127" s="204"/>
      <c r="E127" s="204"/>
      <c r="F127" s="132"/>
      <c r="G127" s="215"/>
      <c r="H127" s="123"/>
    </row>
    <row r="128" spans="1:8" ht="16.5" thickBot="1" thickTop="1">
      <c r="A128" s="144" t="s">
        <v>14</v>
      </c>
      <c r="B128" s="145"/>
      <c r="C128" s="207">
        <f>SUM(C119:C127)</f>
        <v>857012</v>
      </c>
      <c r="D128" s="207">
        <f>SUM(D119:D127)</f>
        <v>240582.5</v>
      </c>
      <c r="E128" s="207">
        <f>SUM(E119:E127)</f>
        <v>738486.5</v>
      </c>
      <c r="F128" s="143">
        <f>(+D128-E128)/E128</f>
        <v>-0.6742222098846763</v>
      </c>
      <c r="G128" s="217">
        <f>D128/C128</f>
        <v>0.28072244029255133</v>
      </c>
      <c r="H128" s="123"/>
    </row>
    <row r="129" spans="1:8" ht="15.75" customHeight="1" thickTop="1">
      <c r="A129" s="130"/>
      <c r="B129" s="134"/>
      <c r="C129" s="204"/>
      <c r="D129" s="204"/>
      <c r="E129" s="204"/>
      <c r="F129" s="132"/>
      <c r="G129" s="218"/>
      <c r="H129" s="123"/>
    </row>
    <row r="130" spans="1:8" ht="15">
      <c r="A130" s="130" t="s">
        <v>37</v>
      </c>
      <c r="B130" s="131">
        <f>DATE(2022,7,1)</f>
        <v>44743</v>
      </c>
      <c r="C130" s="204">
        <v>23474853</v>
      </c>
      <c r="D130" s="204">
        <v>4747644.93</v>
      </c>
      <c r="E130" s="204">
        <v>4828759.44</v>
      </c>
      <c r="F130" s="132">
        <f aca="true" t="shared" si="22" ref="F130:F137">(+D130-E130)/E130</f>
        <v>-0.01679820894121839</v>
      </c>
      <c r="G130" s="215">
        <f aca="true" t="shared" si="23" ref="G130:G137">D130/C130</f>
        <v>0.20224386197434335</v>
      </c>
      <c r="H130" s="123"/>
    </row>
    <row r="131" spans="1:8" ht="15">
      <c r="A131" s="130"/>
      <c r="B131" s="131">
        <f>DATE(2022,8,1)</f>
        <v>44774</v>
      </c>
      <c r="C131" s="204">
        <v>21618581</v>
      </c>
      <c r="D131" s="204">
        <v>5944421.23</v>
      </c>
      <c r="E131" s="204">
        <v>4617763.22</v>
      </c>
      <c r="F131" s="132">
        <f t="shared" si="22"/>
        <v>0.28729450749101004</v>
      </c>
      <c r="G131" s="215">
        <f t="shared" si="23"/>
        <v>0.2749681503147686</v>
      </c>
      <c r="H131" s="123"/>
    </row>
    <row r="132" spans="1:8" ht="15">
      <c r="A132" s="130"/>
      <c r="B132" s="131">
        <f>DATE(2022,9,1)</f>
        <v>44805</v>
      </c>
      <c r="C132" s="204">
        <v>22214362</v>
      </c>
      <c r="D132" s="204">
        <v>4482002.35</v>
      </c>
      <c r="E132" s="204">
        <v>4146063.59</v>
      </c>
      <c r="F132" s="132">
        <f t="shared" si="22"/>
        <v>0.08102595454885432</v>
      </c>
      <c r="G132" s="215">
        <f t="shared" si="23"/>
        <v>0.20176147079983658</v>
      </c>
      <c r="H132" s="123"/>
    </row>
    <row r="133" spans="1:8" ht="15">
      <c r="A133" s="130"/>
      <c r="B133" s="131">
        <f>DATE(2022,10,1)</f>
        <v>44835</v>
      </c>
      <c r="C133" s="204">
        <v>22521885</v>
      </c>
      <c r="D133" s="204">
        <v>4856222.42</v>
      </c>
      <c r="E133" s="204">
        <v>5459139.57</v>
      </c>
      <c r="F133" s="132">
        <f t="shared" si="22"/>
        <v>-0.11044179073809618</v>
      </c>
      <c r="G133" s="215">
        <f t="shared" si="23"/>
        <v>0.21562237885505586</v>
      </c>
      <c r="H133" s="123"/>
    </row>
    <row r="134" spans="1:8" ht="15">
      <c r="A134" s="130"/>
      <c r="B134" s="131">
        <f>DATE(2022,11,1)</f>
        <v>44866</v>
      </c>
      <c r="C134" s="204">
        <v>19717008</v>
      </c>
      <c r="D134" s="204">
        <v>4475648.35</v>
      </c>
      <c r="E134" s="204">
        <v>4253233.65</v>
      </c>
      <c r="F134" s="132">
        <f t="shared" si="22"/>
        <v>0.05229308293467471</v>
      </c>
      <c r="G134" s="215">
        <f t="shared" si="23"/>
        <v>0.22699429599054785</v>
      </c>
      <c r="H134" s="123"/>
    </row>
    <row r="135" spans="1:8" ht="15">
      <c r="A135" s="130"/>
      <c r="B135" s="131">
        <f>DATE(2022,12,1)</f>
        <v>44896</v>
      </c>
      <c r="C135" s="204">
        <v>20731313</v>
      </c>
      <c r="D135" s="204">
        <v>4385866.74</v>
      </c>
      <c r="E135" s="204">
        <v>5369859.74</v>
      </c>
      <c r="F135" s="132">
        <f t="shared" si="22"/>
        <v>-0.18324370610097163</v>
      </c>
      <c r="G135" s="215">
        <f t="shared" si="23"/>
        <v>0.21155759599018162</v>
      </c>
      <c r="H135" s="123"/>
    </row>
    <row r="136" spans="1:8" ht="15">
      <c r="A136" s="130"/>
      <c r="B136" s="131">
        <f>DATE(2023,1,1)</f>
        <v>44927</v>
      </c>
      <c r="C136" s="204">
        <v>21378482</v>
      </c>
      <c r="D136" s="204">
        <v>4079109.4</v>
      </c>
      <c r="E136" s="204">
        <v>5388467.76</v>
      </c>
      <c r="F136" s="132">
        <f t="shared" si="22"/>
        <v>-0.24299270559243355</v>
      </c>
      <c r="G136" s="215">
        <f t="shared" si="23"/>
        <v>0.19080444532965438</v>
      </c>
      <c r="H136" s="123"/>
    </row>
    <row r="137" spans="1:8" ht="15">
      <c r="A137" s="130"/>
      <c r="B137" s="131">
        <f>DATE(2023,2,1)</f>
        <v>44958</v>
      </c>
      <c r="C137" s="204">
        <v>22040003</v>
      </c>
      <c r="D137" s="204">
        <v>5567189.93</v>
      </c>
      <c r="E137" s="204">
        <v>4784961.13</v>
      </c>
      <c r="F137" s="132">
        <f t="shared" si="22"/>
        <v>0.16347652128158455</v>
      </c>
      <c r="G137" s="215">
        <f t="shared" si="23"/>
        <v>0.2525947900279324</v>
      </c>
      <c r="H137" s="123"/>
    </row>
    <row r="138" spans="1:8" ht="15" thickBot="1">
      <c r="A138" s="133"/>
      <c r="B138" s="134"/>
      <c r="C138" s="204"/>
      <c r="D138" s="204"/>
      <c r="E138" s="204"/>
      <c r="F138" s="132"/>
      <c r="G138" s="215"/>
      <c r="H138" s="123"/>
    </row>
    <row r="139" spans="1:8" ht="16.5" thickBot="1" thickTop="1">
      <c r="A139" s="141" t="s">
        <v>14</v>
      </c>
      <c r="B139" s="142"/>
      <c r="C139" s="206">
        <f>SUM(C130:C138)</f>
        <v>173696487</v>
      </c>
      <c r="D139" s="207">
        <f>SUM(D130:D138)</f>
        <v>38538105.35</v>
      </c>
      <c r="E139" s="206">
        <f>SUM(E130:E138)</f>
        <v>38848248.1</v>
      </c>
      <c r="F139" s="143">
        <f>(+D139-E139)/E139</f>
        <v>-0.007983442373042299</v>
      </c>
      <c r="G139" s="217">
        <f>D139/C139</f>
        <v>0.22187037870259288</v>
      </c>
      <c r="H139" s="123"/>
    </row>
    <row r="140" spans="1:8" ht="15.75" customHeight="1" thickTop="1">
      <c r="A140" s="130"/>
      <c r="B140" s="134"/>
      <c r="C140" s="204"/>
      <c r="D140" s="204"/>
      <c r="E140" s="204"/>
      <c r="F140" s="132"/>
      <c r="G140" s="218"/>
      <c r="H140" s="123"/>
    </row>
    <row r="141" spans="1:8" ht="15">
      <c r="A141" s="130" t="s">
        <v>57</v>
      </c>
      <c r="B141" s="131">
        <f>DATE(2022,7,1)</f>
        <v>44743</v>
      </c>
      <c r="C141" s="204">
        <v>726679</v>
      </c>
      <c r="D141" s="204">
        <v>196833</v>
      </c>
      <c r="E141" s="204">
        <v>127439.5</v>
      </c>
      <c r="F141" s="132">
        <f aca="true" t="shared" si="24" ref="F141:F148">(+D141-E141)/E141</f>
        <v>0.5445211257106313</v>
      </c>
      <c r="G141" s="215">
        <f aca="true" t="shared" si="25" ref="G141:G148">D141/C141</f>
        <v>0.27086650364191067</v>
      </c>
      <c r="H141" s="123"/>
    </row>
    <row r="142" spans="1:8" ht="15">
      <c r="A142" s="130"/>
      <c r="B142" s="131">
        <f>DATE(2022,8,1)</f>
        <v>44774</v>
      </c>
      <c r="C142" s="204">
        <v>607303</v>
      </c>
      <c r="D142" s="204">
        <v>151280.5</v>
      </c>
      <c r="E142" s="204">
        <v>132624</v>
      </c>
      <c r="F142" s="132">
        <f t="shared" si="24"/>
        <v>0.14067212570877066</v>
      </c>
      <c r="G142" s="215">
        <f t="shared" si="25"/>
        <v>0.24910217799022893</v>
      </c>
      <c r="H142" s="123"/>
    </row>
    <row r="143" spans="1:8" ht="15">
      <c r="A143" s="130"/>
      <c r="B143" s="131">
        <f>DATE(2022,9,1)</f>
        <v>44805</v>
      </c>
      <c r="C143" s="204">
        <v>597896</v>
      </c>
      <c r="D143" s="204">
        <v>193974</v>
      </c>
      <c r="E143" s="204">
        <v>116203.5</v>
      </c>
      <c r="F143" s="132">
        <f t="shared" si="24"/>
        <v>0.6692612528882521</v>
      </c>
      <c r="G143" s="215">
        <f t="shared" si="25"/>
        <v>0.32442765965987397</v>
      </c>
      <c r="H143" s="123"/>
    </row>
    <row r="144" spans="1:8" ht="15">
      <c r="A144" s="130"/>
      <c r="B144" s="131">
        <f>DATE(2022,10,1)</f>
        <v>44835</v>
      </c>
      <c r="C144" s="204">
        <v>616111</v>
      </c>
      <c r="D144" s="204">
        <v>196489.5</v>
      </c>
      <c r="E144" s="204">
        <v>167500.5</v>
      </c>
      <c r="F144" s="132">
        <f t="shared" si="24"/>
        <v>0.17306814009510418</v>
      </c>
      <c r="G144" s="215">
        <f t="shared" si="25"/>
        <v>0.31891899349305564</v>
      </c>
      <c r="H144" s="123"/>
    </row>
    <row r="145" spans="1:8" ht="15">
      <c r="A145" s="130"/>
      <c r="B145" s="131">
        <f>DATE(2022,11,1)</f>
        <v>44866</v>
      </c>
      <c r="C145" s="204">
        <v>588129</v>
      </c>
      <c r="D145" s="204">
        <v>205853.5</v>
      </c>
      <c r="E145" s="204">
        <v>144385.5</v>
      </c>
      <c r="F145" s="132">
        <f t="shared" si="24"/>
        <v>0.4257214193946068</v>
      </c>
      <c r="G145" s="215">
        <f t="shared" si="25"/>
        <v>0.35001419756550006</v>
      </c>
      <c r="H145" s="123"/>
    </row>
    <row r="146" spans="1:8" ht="15">
      <c r="A146" s="130"/>
      <c r="B146" s="131">
        <f>DATE(2022,12,1)</f>
        <v>44896</v>
      </c>
      <c r="C146" s="204">
        <v>601617</v>
      </c>
      <c r="D146" s="204">
        <v>179648</v>
      </c>
      <c r="E146" s="204">
        <v>189046.5</v>
      </c>
      <c r="F146" s="132">
        <f t="shared" si="24"/>
        <v>-0.04971528168995459</v>
      </c>
      <c r="G146" s="215">
        <f t="shared" si="25"/>
        <v>0.298608583201605</v>
      </c>
      <c r="H146" s="123"/>
    </row>
    <row r="147" spans="1:8" ht="15">
      <c r="A147" s="130"/>
      <c r="B147" s="131">
        <f>DATE(2023,1,1)</f>
        <v>44927</v>
      </c>
      <c r="C147" s="204">
        <v>562727</v>
      </c>
      <c r="D147" s="204">
        <v>120250</v>
      </c>
      <c r="E147" s="204">
        <v>129604</v>
      </c>
      <c r="F147" s="132">
        <f t="shared" si="24"/>
        <v>-0.07217369834264374</v>
      </c>
      <c r="G147" s="215">
        <f t="shared" si="25"/>
        <v>0.21369154136908305</v>
      </c>
      <c r="H147" s="123"/>
    </row>
    <row r="148" spans="1:8" ht="15">
      <c r="A148" s="130"/>
      <c r="B148" s="131">
        <f>DATE(2023,2,1)</f>
        <v>44958</v>
      </c>
      <c r="C148" s="204">
        <v>577741</v>
      </c>
      <c r="D148" s="204">
        <v>189664</v>
      </c>
      <c r="E148" s="204">
        <v>141185</v>
      </c>
      <c r="F148" s="132">
        <f t="shared" si="24"/>
        <v>0.34337217126465275</v>
      </c>
      <c r="G148" s="215">
        <f t="shared" si="25"/>
        <v>0.32828551202009204</v>
      </c>
      <c r="H148" s="123"/>
    </row>
    <row r="149" spans="1:8" ht="15" thickBot="1">
      <c r="A149" s="133"/>
      <c r="B149" s="134"/>
      <c r="C149" s="204"/>
      <c r="D149" s="204"/>
      <c r="E149" s="204"/>
      <c r="F149" s="132"/>
      <c r="G149" s="215"/>
      <c r="H149" s="123"/>
    </row>
    <row r="150" spans="1:8" ht="16.5" thickBot="1" thickTop="1">
      <c r="A150" s="135" t="s">
        <v>14</v>
      </c>
      <c r="B150" s="136"/>
      <c r="C150" s="201">
        <f>SUM(C141:C149)</f>
        <v>4878203</v>
      </c>
      <c r="D150" s="207">
        <f>SUM(D141:D149)</f>
        <v>1433992.5</v>
      </c>
      <c r="E150" s="207">
        <f>SUM(E141:E149)</f>
        <v>1147988.5</v>
      </c>
      <c r="F150" s="143">
        <f>(+D150-E150)/E150</f>
        <v>0.24913489987051263</v>
      </c>
      <c r="G150" s="217">
        <f>D150/C150</f>
        <v>0.29395916898087265</v>
      </c>
      <c r="H150" s="123"/>
    </row>
    <row r="151" spans="1:8" ht="15.75" thickBot="1" thickTop="1">
      <c r="A151" s="146"/>
      <c r="B151" s="139"/>
      <c r="C151" s="205"/>
      <c r="D151" s="205"/>
      <c r="E151" s="205"/>
      <c r="F151" s="140"/>
      <c r="G151" s="216"/>
      <c r="H151" s="123"/>
    </row>
    <row r="152" spans="1:8" ht="16.5" thickBot="1" thickTop="1">
      <c r="A152" s="147" t="s">
        <v>38</v>
      </c>
      <c r="B152" s="121"/>
      <c r="C152" s="201">
        <f>C150+C139+C106+C84+C62+C40+C18+C51+C128+C29+C95+C117+C73</f>
        <v>838785154.34</v>
      </c>
      <c r="D152" s="201">
        <f>D150+D139+D106+D84+D62+D40+D18+D51+D128+D29+D95+D117+D73</f>
        <v>180974370.19</v>
      </c>
      <c r="E152" s="201">
        <f>E150+E139+E106+E84+E62+E40+E18+E51+E128+E29+E95+E117+E73</f>
        <v>171903661.39</v>
      </c>
      <c r="F152" s="137">
        <f>(+D152-E152)/E152</f>
        <v>0.05276623386991846</v>
      </c>
      <c r="G152" s="212">
        <f>D152/C152</f>
        <v>0.21575771728148918</v>
      </c>
      <c r="H152" s="123"/>
    </row>
    <row r="153" spans="1:8" ht="16.5" thickBot="1" thickTop="1">
      <c r="A153" s="147"/>
      <c r="B153" s="121"/>
      <c r="C153" s="201"/>
      <c r="D153" s="201"/>
      <c r="E153" s="201"/>
      <c r="F153" s="137"/>
      <c r="G153" s="212"/>
      <c r="H153" s="123"/>
    </row>
    <row r="154" spans="1:8" ht="16.5" thickBot="1" thickTop="1">
      <c r="A154" s="265" t="s">
        <v>39</v>
      </c>
      <c r="B154" s="266"/>
      <c r="C154" s="206">
        <f>+C16+C27+C38+C49+C60+C71+C82+C93+C104+C115+C126+C137+C148</f>
        <v>102486817</v>
      </c>
      <c r="D154" s="206">
        <f>+D16+D27+D38+D49+D60+D71+D82+D93+D104+D115+D126+D137+D148</f>
        <v>21768017.92</v>
      </c>
      <c r="E154" s="206">
        <f>+E16+E27+E38+E49+E60+E71+E82+E93+E104+E115+E126+E137+E148</f>
        <v>19613927.86</v>
      </c>
      <c r="F154" s="268">
        <f>(+D154-E154)/E154</f>
        <v>0.10982451222291803</v>
      </c>
      <c r="G154" s="217">
        <f>D154/C154</f>
        <v>0.21239822405646575</v>
      </c>
      <c r="H154" s="123"/>
    </row>
    <row r="155" spans="1:8" ht="15.75" thickTop="1">
      <c r="A155" s="256"/>
      <c r="B155" s="258"/>
      <c r="C155" s="259"/>
      <c r="D155" s="259"/>
      <c r="E155" s="259"/>
      <c r="F155" s="260"/>
      <c r="G155" s="257"/>
      <c r="H155" s="257"/>
    </row>
    <row r="156" spans="1:7" ht="17.25">
      <c r="A156" s="263" t="s">
        <v>40</v>
      </c>
      <c r="B156" s="117"/>
      <c r="C156" s="208"/>
      <c r="D156" s="208"/>
      <c r="E156" s="208"/>
      <c r="F156" s="148"/>
      <c r="G156" s="220"/>
    </row>
    <row r="157" ht="15">
      <c r="A157" s="7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4" r:id="rId1"/>
  <rowBreaks count="3" manualBreakCount="3">
    <brk id="51" max="7" man="1"/>
    <brk id="95" max="7" man="1"/>
    <brk id="13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58"/>
  <sheetViews>
    <sheetView zoomScalePageLayoutView="0" workbookViewId="0" topLeftCell="A1">
      <selection activeCell="A6" sqref="A6"/>
    </sheetView>
  </sheetViews>
  <sheetFormatPr defaultColWidth="8.88671875" defaultRowHeight="15"/>
  <cols>
    <col min="1" max="1" width="27.6640625" style="0" customWidth="1"/>
    <col min="2" max="2" width="9.6640625" style="0" customWidth="1"/>
    <col min="3" max="3" width="18.3359375" style="0" customWidth="1"/>
    <col min="4" max="4" width="15.77734375" style="0" customWidth="1"/>
    <col min="5" max="5" width="15.6640625" style="0" customWidth="1"/>
    <col min="6" max="6" width="8.6640625" style="0" customWidth="1"/>
    <col min="7" max="7" width="9.6640625" style="0" customWidth="1"/>
    <col min="8" max="8" width="10.6640625" style="0" customWidth="1"/>
  </cols>
  <sheetData>
    <row r="1" spans="1:8" ht="17.25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7.25">
      <c r="A2" s="153" t="s">
        <v>59</v>
      </c>
      <c r="B2" s="150"/>
      <c r="C2" s="222"/>
      <c r="D2" s="222"/>
      <c r="E2" s="222"/>
      <c r="F2" s="150"/>
      <c r="G2" s="234"/>
      <c r="H2" s="234"/>
    </row>
    <row r="3" spans="1:8" ht="17.25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7.25">
      <c r="A4" s="285" t="s">
        <v>77</v>
      </c>
      <c r="B4" s="150"/>
      <c r="C4" s="222"/>
      <c r="D4" s="222"/>
      <c r="E4" s="222"/>
      <c r="F4" s="150"/>
      <c r="G4" s="234"/>
      <c r="H4" s="234"/>
    </row>
    <row r="5" spans="1:8" ht="15">
      <c r="A5" s="286" t="s">
        <v>73</v>
      </c>
      <c r="B5" s="150"/>
      <c r="C5" s="222"/>
      <c r="D5" s="222"/>
      <c r="E5" s="222"/>
      <c r="F5" s="150"/>
      <c r="G5" s="234"/>
      <c r="H5" s="234"/>
    </row>
    <row r="6" spans="1:8" ht="15.75" thickBot="1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5.75" thickTop="1">
      <c r="A7" s="154"/>
      <c r="B7" s="155" t="s">
        <v>2</v>
      </c>
      <c r="C7" s="223" t="s">
        <v>65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5.75" thickBot="1">
      <c r="A8" s="158" t="s">
        <v>5</v>
      </c>
      <c r="B8" s="159" t="s">
        <v>6</v>
      </c>
      <c r="C8" s="224" t="s">
        <v>45</v>
      </c>
      <c r="D8" s="224" t="s">
        <v>66</v>
      </c>
      <c r="E8" s="224" t="s">
        <v>66</v>
      </c>
      <c r="F8" s="160" t="s">
        <v>8</v>
      </c>
      <c r="G8" s="238" t="s">
        <v>35</v>
      </c>
      <c r="H8" s="254" t="s">
        <v>47</v>
      </c>
    </row>
    <row r="9" spans="1:8" ht="15.75" thickTop="1">
      <c r="A9" s="161"/>
      <c r="B9" s="162"/>
      <c r="C9" s="225"/>
      <c r="D9" s="225"/>
      <c r="E9" s="225"/>
      <c r="F9" s="163"/>
      <c r="G9" s="239"/>
      <c r="H9" s="240"/>
    </row>
    <row r="10" spans="1:8" ht="15">
      <c r="A10" s="164" t="s">
        <v>36</v>
      </c>
      <c r="B10" s="165">
        <f>DATE(22,7,1)</f>
        <v>8218</v>
      </c>
      <c r="C10" s="226">
        <v>2413177.53</v>
      </c>
      <c r="D10" s="226">
        <v>120141.72</v>
      </c>
      <c r="E10" s="226">
        <v>0</v>
      </c>
      <c r="F10" s="166">
        <v>1</v>
      </c>
      <c r="G10" s="241">
        <f>+D10/C10</f>
        <v>0.04978569479718303</v>
      </c>
      <c r="H10" s="289">
        <f>1-G10</f>
        <v>0.9502143052028169</v>
      </c>
    </row>
    <row r="11" spans="1:8" ht="15">
      <c r="A11" s="164"/>
      <c r="B11" s="165">
        <f>DATE(22,8,1)</f>
        <v>8249</v>
      </c>
      <c r="C11" s="226">
        <v>2066898.51</v>
      </c>
      <c r="D11" s="226">
        <v>119034.53</v>
      </c>
      <c r="E11" s="226">
        <v>0</v>
      </c>
      <c r="F11" s="166">
        <v>1</v>
      </c>
      <c r="G11" s="241">
        <f>+D11/C11</f>
        <v>0.05759089254943631</v>
      </c>
      <c r="H11" s="289">
        <f>1-G11</f>
        <v>0.9424091074505637</v>
      </c>
    </row>
    <row r="12" spans="1:8" ht="15">
      <c r="A12" s="164"/>
      <c r="B12" s="165">
        <f>DATE(22,9,1)</f>
        <v>8280</v>
      </c>
      <c r="C12" s="226">
        <v>1851491.04</v>
      </c>
      <c r="D12" s="226">
        <v>77282.02</v>
      </c>
      <c r="E12" s="226">
        <v>0</v>
      </c>
      <c r="F12" s="166">
        <v>1</v>
      </c>
      <c r="G12" s="241">
        <f>+D12/C12</f>
        <v>0.041740423437317854</v>
      </c>
      <c r="H12" s="289">
        <f>1-G12</f>
        <v>0.9582595765626821</v>
      </c>
    </row>
    <row r="13" spans="1:8" ht="15">
      <c r="A13" s="164"/>
      <c r="B13" s="165">
        <f>DATE(22,10,1)</f>
        <v>8310</v>
      </c>
      <c r="C13" s="226">
        <v>2056131.12</v>
      </c>
      <c r="D13" s="226">
        <v>97377.75</v>
      </c>
      <c r="E13" s="226">
        <v>0</v>
      </c>
      <c r="F13" s="166">
        <v>1</v>
      </c>
      <c r="G13" s="241">
        <f>+D13/C13</f>
        <v>0.04735969853906982</v>
      </c>
      <c r="H13" s="289">
        <f>1-G13</f>
        <v>0.9526403014609302</v>
      </c>
    </row>
    <row r="14" spans="1:8" ht="15">
      <c r="A14" s="164"/>
      <c r="B14" s="165">
        <f>DATE(22,11,1)</f>
        <v>8341</v>
      </c>
      <c r="C14" s="226">
        <v>1833034.34</v>
      </c>
      <c r="D14" s="226">
        <v>92934.27</v>
      </c>
      <c r="E14" s="226">
        <v>51101.03</v>
      </c>
      <c r="F14" s="166">
        <f>+(D14-E14)/E14</f>
        <v>0.8186379022105817</v>
      </c>
      <c r="G14" s="241">
        <f>+D14/C14</f>
        <v>0.05069968847392133</v>
      </c>
      <c r="H14" s="289">
        <f>1-G14</f>
        <v>0.9493003115260786</v>
      </c>
    </row>
    <row r="15" spans="1:8" ht="15">
      <c r="A15" s="164"/>
      <c r="B15" s="165">
        <f>DATE(22,12,1)</f>
        <v>8371</v>
      </c>
      <c r="C15" s="226">
        <v>0</v>
      </c>
      <c r="D15" s="226">
        <v>0</v>
      </c>
      <c r="E15" s="226">
        <v>90195.59</v>
      </c>
      <c r="F15" s="166">
        <v>-1</v>
      </c>
      <c r="G15" s="241">
        <v>0</v>
      </c>
      <c r="H15" s="289">
        <v>0</v>
      </c>
    </row>
    <row r="16" spans="1:8" ht="15">
      <c r="A16" s="164"/>
      <c r="B16" s="165">
        <f>DATE(23,1,1)</f>
        <v>8402</v>
      </c>
      <c r="C16" s="226">
        <v>0</v>
      </c>
      <c r="D16" s="226">
        <v>0</v>
      </c>
      <c r="E16" s="226">
        <v>119559.87</v>
      </c>
      <c r="F16" s="166">
        <v>-1</v>
      </c>
      <c r="G16" s="241">
        <v>0</v>
      </c>
      <c r="H16" s="289">
        <v>0</v>
      </c>
    </row>
    <row r="17" spans="1:8" ht="15">
      <c r="A17" s="164"/>
      <c r="B17" s="165">
        <f>DATE(23,2,1)</f>
        <v>8433</v>
      </c>
      <c r="C17" s="226">
        <v>0</v>
      </c>
      <c r="D17" s="226">
        <v>0</v>
      </c>
      <c r="E17" s="226">
        <v>134655.35</v>
      </c>
      <c r="F17" s="166">
        <v>-1</v>
      </c>
      <c r="G17" s="241">
        <v>0</v>
      </c>
      <c r="H17" s="289">
        <v>0</v>
      </c>
    </row>
    <row r="18" spans="1:8" ht="15" thickBot="1">
      <c r="A18" s="167"/>
      <c r="B18" s="168"/>
      <c r="C18" s="226"/>
      <c r="D18" s="226"/>
      <c r="E18" s="226"/>
      <c r="F18" s="166"/>
      <c r="G18" s="241"/>
      <c r="H18" s="242"/>
    </row>
    <row r="19" spans="1:8" ht="16.5" thickBot="1" thickTop="1">
      <c r="A19" s="169" t="s">
        <v>14</v>
      </c>
      <c r="B19" s="155"/>
      <c r="C19" s="223">
        <f>SUM(C10:C18)</f>
        <v>10220732.540000001</v>
      </c>
      <c r="D19" s="223">
        <f>SUM(D10:D18)</f>
        <v>506770.29000000004</v>
      </c>
      <c r="E19" s="223">
        <f>SUM(E10:E18)</f>
        <v>395511.83999999997</v>
      </c>
      <c r="F19" s="176">
        <f>+(D19-E19)/E19</f>
        <v>0.2813024510214412</v>
      </c>
      <c r="G19" s="245">
        <f>+D19/C19</f>
        <v>0.0495825801151431</v>
      </c>
      <c r="H19" s="246">
        <f>1-G19</f>
        <v>0.950417419884857</v>
      </c>
    </row>
    <row r="20" spans="1:8" ht="15" thickTop="1">
      <c r="A20" s="171"/>
      <c r="B20" s="172"/>
      <c r="C20" s="227"/>
      <c r="D20" s="227"/>
      <c r="E20" s="227"/>
      <c r="F20" s="173"/>
      <c r="G20" s="243"/>
      <c r="H20" s="244"/>
    </row>
    <row r="21" spans="1:8" ht="15">
      <c r="A21" s="19" t="s">
        <v>48</v>
      </c>
      <c r="B21" s="165">
        <f>DATE(22,7,1)</f>
        <v>8218</v>
      </c>
      <c r="C21" s="226">
        <v>0</v>
      </c>
      <c r="D21" s="226">
        <v>0</v>
      </c>
      <c r="E21" s="226">
        <v>0</v>
      </c>
      <c r="F21" s="166">
        <v>0</v>
      </c>
      <c r="G21" s="241">
        <v>0</v>
      </c>
      <c r="H21" s="242">
        <v>0</v>
      </c>
    </row>
    <row r="22" spans="1:8" ht="15">
      <c r="A22" s="19"/>
      <c r="B22" s="165">
        <f>DATE(22,8,1)</f>
        <v>8249</v>
      </c>
      <c r="C22" s="226">
        <v>0</v>
      </c>
      <c r="D22" s="226">
        <v>0</v>
      </c>
      <c r="E22" s="226">
        <v>0</v>
      </c>
      <c r="F22" s="166">
        <v>0</v>
      </c>
      <c r="G22" s="241">
        <v>0</v>
      </c>
      <c r="H22" s="242">
        <v>0</v>
      </c>
    </row>
    <row r="23" spans="1:8" ht="15">
      <c r="A23" s="19"/>
      <c r="B23" s="165">
        <f>DATE(22,9,1)</f>
        <v>8280</v>
      </c>
      <c r="C23" s="226">
        <v>0</v>
      </c>
      <c r="D23" s="226">
        <v>0</v>
      </c>
      <c r="E23" s="226">
        <v>0</v>
      </c>
      <c r="F23" s="166">
        <v>0</v>
      </c>
      <c r="G23" s="241">
        <v>0</v>
      </c>
      <c r="H23" s="242">
        <v>0</v>
      </c>
    </row>
    <row r="24" spans="1:8" ht="15">
      <c r="A24" s="19"/>
      <c r="B24" s="165">
        <f>DATE(22,10,1)</f>
        <v>8310</v>
      </c>
      <c r="C24" s="226">
        <v>0</v>
      </c>
      <c r="D24" s="226">
        <v>0</v>
      </c>
      <c r="E24" s="226">
        <v>0</v>
      </c>
      <c r="F24" s="166">
        <v>0</v>
      </c>
      <c r="G24" s="241">
        <v>0</v>
      </c>
      <c r="H24" s="242">
        <v>0</v>
      </c>
    </row>
    <row r="25" spans="1:8" ht="15">
      <c r="A25" s="19"/>
      <c r="B25" s="165">
        <f>DATE(22,11,1)</f>
        <v>8341</v>
      </c>
      <c r="C25" s="226">
        <v>0</v>
      </c>
      <c r="D25" s="226">
        <v>0</v>
      </c>
      <c r="E25" s="226">
        <v>0</v>
      </c>
      <c r="F25" s="166">
        <v>0</v>
      </c>
      <c r="G25" s="241">
        <v>0</v>
      </c>
      <c r="H25" s="242">
        <v>0</v>
      </c>
    </row>
    <row r="26" spans="1:8" ht="15">
      <c r="A26" s="19"/>
      <c r="B26" s="165">
        <f>DATE(22,12,1)</f>
        <v>8371</v>
      </c>
      <c r="C26" s="226">
        <v>0</v>
      </c>
      <c r="D26" s="226">
        <v>0</v>
      </c>
      <c r="E26" s="226">
        <v>0</v>
      </c>
      <c r="F26" s="166">
        <v>0</v>
      </c>
      <c r="G26" s="241">
        <v>0</v>
      </c>
      <c r="H26" s="242">
        <v>0</v>
      </c>
    </row>
    <row r="27" spans="1:8" ht="15">
      <c r="A27" s="19"/>
      <c r="B27" s="165">
        <f>DATE(23,1,1)</f>
        <v>8402</v>
      </c>
      <c r="C27" s="226">
        <v>0</v>
      </c>
      <c r="D27" s="226">
        <v>0</v>
      </c>
      <c r="E27" s="226">
        <v>0</v>
      </c>
      <c r="F27" s="166">
        <v>0</v>
      </c>
      <c r="G27" s="241">
        <v>0</v>
      </c>
      <c r="H27" s="242">
        <v>0</v>
      </c>
    </row>
    <row r="28" spans="1:8" ht="15">
      <c r="A28" s="19"/>
      <c r="B28" s="165">
        <f>DATE(23,2,1)</f>
        <v>8433</v>
      </c>
      <c r="C28" s="226">
        <v>0</v>
      </c>
      <c r="D28" s="226">
        <v>0</v>
      </c>
      <c r="E28" s="226">
        <v>0</v>
      </c>
      <c r="F28" s="166">
        <v>0</v>
      </c>
      <c r="G28" s="241">
        <v>0</v>
      </c>
      <c r="H28" s="242">
        <v>0</v>
      </c>
    </row>
    <row r="29" spans="1:8" ht="15" thickBot="1">
      <c r="A29" s="167"/>
      <c r="B29" s="165"/>
      <c r="C29" s="226"/>
      <c r="D29" s="226"/>
      <c r="E29" s="226"/>
      <c r="F29" s="166"/>
      <c r="G29" s="241"/>
      <c r="H29" s="242"/>
    </row>
    <row r="30" spans="1:8" ht="16.5" thickBot="1" thickTop="1">
      <c r="A30" s="169" t="s">
        <v>14</v>
      </c>
      <c r="B30" s="155"/>
      <c r="C30" s="223">
        <f>SUM(C21:C29)</f>
        <v>0</v>
      </c>
      <c r="D30" s="223">
        <f>SUM(D21:D29)</f>
        <v>0</v>
      </c>
      <c r="E30" s="223">
        <f>SUM(E21:E29)</f>
        <v>0</v>
      </c>
      <c r="F30" s="170">
        <v>0</v>
      </c>
      <c r="G30" s="236">
        <v>0</v>
      </c>
      <c r="H30" s="237">
        <v>0</v>
      </c>
    </row>
    <row r="31" spans="1:8" ht="15" thickTop="1">
      <c r="A31" s="171"/>
      <c r="B31" s="172"/>
      <c r="C31" s="227"/>
      <c r="D31" s="227"/>
      <c r="E31" s="227"/>
      <c r="F31" s="173"/>
      <c r="G31" s="243"/>
      <c r="H31" s="244"/>
    </row>
    <row r="32" spans="1:8" ht="15">
      <c r="A32" s="19" t="s">
        <v>62</v>
      </c>
      <c r="B32" s="165">
        <f>DATE(22,7,1)</f>
        <v>8218</v>
      </c>
      <c r="C32" s="226">
        <v>0</v>
      </c>
      <c r="D32" s="226">
        <v>0</v>
      </c>
      <c r="E32" s="226">
        <v>0</v>
      </c>
      <c r="F32" s="166">
        <v>0</v>
      </c>
      <c r="G32" s="241">
        <v>0</v>
      </c>
      <c r="H32" s="242">
        <v>0</v>
      </c>
    </row>
    <row r="33" spans="1:8" ht="15">
      <c r="A33" s="19"/>
      <c r="B33" s="165">
        <f>DATE(22,8,1)</f>
        <v>8249</v>
      </c>
      <c r="C33" s="226">
        <v>0</v>
      </c>
      <c r="D33" s="226">
        <v>0</v>
      </c>
      <c r="E33" s="226">
        <v>0</v>
      </c>
      <c r="F33" s="166">
        <v>0</v>
      </c>
      <c r="G33" s="241">
        <v>0</v>
      </c>
      <c r="H33" s="242">
        <v>0</v>
      </c>
    </row>
    <row r="34" spans="1:8" ht="15">
      <c r="A34" s="19"/>
      <c r="B34" s="165">
        <f>DATE(22,9,1)</f>
        <v>8280</v>
      </c>
      <c r="C34" s="226">
        <v>0</v>
      </c>
      <c r="D34" s="226">
        <v>0</v>
      </c>
      <c r="E34" s="226">
        <v>0</v>
      </c>
      <c r="F34" s="166">
        <v>0</v>
      </c>
      <c r="G34" s="241">
        <v>0</v>
      </c>
      <c r="H34" s="242">
        <v>0</v>
      </c>
    </row>
    <row r="35" spans="1:8" ht="15">
      <c r="A35" s="19"/>
      <c r="B35" s="165">
        <f>DATE(22,10,1)</f>
        <v>8310</v>
      </c>
      <c r="C35" s="226">
        <v>0</v>
      </c>
      <c r="D35" s="226">
        <v>0</v>
      </c>
      <c r="E35" s="226">
        <v>0</v>
      </c>
      <c r="F35" s="166">
        <v>0</v>
      </c>
      <c r="G35" s="241">
        <v>0</v>
      </c>
      <c r="H35" s="242">
        <v>0</v>
      </c>
    </row>
    <row r="36" spans="1:8" ht="15">
      <c r="A36" s="19"/>
      <c r="B36" s="165">
        <f>DATE(22,11,1)</f>
        <v>8341</v>
      </c>
      <c r="C36" s="226">
        <v>0</v>
      </c>
      <c r="D36" s="226">
        <v>0</v>
      </c>
      <c r="E36" s="226">
        <v>0</v>
      </c>
      <c r="F36" s="166">
        <v>0</v>
      </c>
      <c r="G36" s="241">
        <v>0</v>
      </c>
      <c r="H36" s="242">
        <v>0</v>
      </c>
    </row>
    <row r="37" spans="1:8" ht="15">
      <c r="A37" s="19"/>
      <c r="B37" s="165">
        <f>DATE(22,12,1)</f>
        <v>8371</v>
      </c>
      <c r="C37" s="226">
        <v>0</v>
      </c>
      <c r="D37" s="226">
        <v>0</v>
      </c>
      <c r="E37" s="226">
        <v>0</v>
      </c>
      <c r="F37" s="166">
        <v>0</v>
      </c>
      <c r="G37" s="241">
        <v>0</v>
      </c>
      <c r="H37" s="242">
        <v>0</v>
      </c>
    </row>
    <row r="38" spans="1:8" ht="15">
      <c r="A38" s="19"/>
      <c r="B38" s="165">
        <f>DATE(23,1,1)</f>
        <v>8402</v>
      </c>
      <c r="C38" s="226">
        <v>0</v>
      </c>
      <c r="D38" s="226">
        <v>0</v>
      </c>
      <c r="E38" s="226">
        <v>0</v>
      </c>
      <c r="F38" s="166">
        <v>0</v>
      </c>
      <c r="G38" s="241">
        <v>0</v>
      </c>
      <c r="H38" s="242">
        <v>0</v>
      </c>
    </row>
    <row r="39" spans="1:8" ht="15">
      <c r="A39" s="19"/>
      <c r="B39" s="165">
        <f>DATE(23,2,1)</f>
        <v>8433</v>
      </c>
      <c r="C39" s="226">
        <v>0</v>
      </c>
      <c r="D39" s="226">
        <v>0</v>
      </c>
      <c r="E39" s="226">
        <v>0</v>
      </c>
      <c r="F39" s="166">
        <v>0</v>
      </c>
      <c r="G39" s="241">
        <v>0</v>
      </c>
      <c r="H39" s="242">
        <v>0</v>
      </c>
    </row>
    <row r="40" spans="1:8" ht="15" thickBot="1">
      <c r="A40" s="167"/>
      <c r="B40" s="165"/>
      <c r="C40" s="226"/>
      <c r="D40" s="226"/>
      <c r="E40" s="226"/>
      <c r="F40" s="166"/>
      <c r="G40" s="241"/>
      <c r="H40" s="242"/>
    </row>
    <row r="41" spans="1:8" ht="16.5" thickBot="1" thickTop="1">
      <c r="A41" s="174" t="s">
        <v>14</v>
      </c>
      <c r="B41" s="175"/>
      <c r="C41" s="228">
        <f>SUM(C32:C40)</f>
        <v>0</v>
      </c>
      <c r="D41" s="228">
        <f>SUM(D32:D40)</f>
        <v>0</v>
      </c>
      <c r="E41" s="228">
        <f>SUM(E32:E40)</f>
        <v>0</v>
      </c>
      <c r="F41" s="176">
        <v>0</v>
      </c>
      <c r="G41" s="245">
        <v>0</v>
      </c>
      <c r="H41" s="246">
        <v>0</v>
      </c>
    </row>
    <row r="42" spans="1:8" ht="15" thickTop="1">
      <c r="A42" s="167"/>
      <c r="B42" s="168"/>
      <c r="C42" s="226"/>
      <c r="D42" s="226"/>
      <c r="E42" s="226"/>
      <c r="F42" s="166"/>
      <c r="G42" s="241"/>
      <c r="H42" s="242"/>
    </row>
    <row r="43" spans="1:8" ht="15">
      <c r="A43" s="177" t="s">
        <v>58</v>
      </c>
      <c r="B43" s="165">
        <f>DATE(22,7,1)</f>
        <v>8218</v>
      </c>
      <c r="C43" s="226">
        <v>3178065.75</v>
      </c>
      <c r="D43" s="226">
        <v>133555.04</v>
      </c>
      <c r="E43" s="226">
        <v>0</v>
      </c>
      <c r="F43" s="166">
        <v>1</v>
      </c>
      <c r="G43" s="241">
        <f aca="true" t="shared" si="0" ref="G43:G50">+D43/C43</f>
        <v>0.04202400154874077</v>
      </c>
      <c r="H43" s="289">
        <f aca="true" t="shared" si="1" ref="H43:H50">1-G43</f>
        <v>0.9579759984512592</v>
      </c>
    </row>
    <row r="44" spans="1:8" ht="15">
      <c r="A44" s="177"/>
      <c r="B44" s="165">
        <f>DATE(22,8,1)</f>
        <v>8249</v>
      </c>
      <c r="C44" s="226">
        <v>3240013.32</v>
      </c>
      <c r="D44" s="226">
        <v>183477.77</v>
      </c>
      <c r="E44" s="226">
        <v>0</v>
      </c>
      <c r="F44" s="166">
        <v>1</v>
      </c>
      <c r="G44" s="241">
        <f t="shared" si="0"/>
        <v>0.05662870855111176</v>
      </c>
      <c r="H44" s="289">
        <f t="shared" si="1"/>
        <v>0.9433712914488882</v>
      </c>
    </row>
    <row r="45" spans="1:8" ht="15">
      <c r="A45" s="177"/>
      <c r="B45" s="165">
        <f>DATE(22,9,1)</f>
        <v>8280</v>
      </c>
      <c r="C45" s="226">
        <v>3318547.55</v>
      </c>
      <c r="D45" s="226">
        <v>155342.66</v>
      </c>
      <c r="E45" s="226">
        <v>0</v>
      </c>
      <c r="F45" s="166">
        <v>1</v>
      </c>
      <c r="G45" s="241">
        <f t="shared" si="0"/>
        <v>0.04681043669240177</v>
      </c>
      <c r="H45" s="289">
        <f t="shared" si="1"/>
        <v>0.9531895633075982</v>
      </c>
    </row>
    <row r="46" spans="1:8" ht="15">
      <c r="A46" s="177"/>
      <c r="B46" s="165">
        <f>DATE(22,10,1)</f>
        <v>8310</v>
      </c>
      <c r="C46" s="226">
        <v>2155526.53</v>
      </c>
      <c r="D46" s="226">
        <v>95342.11</v>
      </c>
      <c r="E46" s="226">
        <v>0</v>
      </c>
      <c r="F46" s="166">
        <v>1</v>
      </c>
      <c r="G46" s="241">
        <f t="shared" si="0"/>
        <v>0.044231471370477636</v>
      </c>
      <c r="H46" s="289">
        <f t="shared" si="1"/>
        <v>0.9557685286295223</v>
      </c>
    </row>
    <row r="47" spans="1:8" ht="15">
      <c r="A47" s="177"/>
      <c r="B47" s="165">
        <f>DATE(22,11,1)</f>
        <v>8341</v>
      </c>
      <c r="C47" s="226">
        <v>2999410.04</v>
      </c>
      <c r="D47" s="226">
        <v>123201.53</v>
      </c>
      <c r="E47" s="226">
        <v>0</v>
      </c>
      <c r="F47" s="166">
        <v>1</v>
      </c>
      <c r="G47" s="241">
        <f t="shared" si="0"/>
        <v>0.0410752542523329</v>
      </c>
      <c r="H47" s="289">
        <f t="shared" si="1"/>
        <v>0.9589247457476671</v>
      </c>
    </row>
    <row r="48" spans="1:8" ht="15">
      <c r="A48" s="177"/>
      <c r="B48" s="165">
        <f>DATE(22,12,1)</f>
        <v>8371</v>
      </c>
      <c r="C48" s="226">
        <v>3580735.96</v>
      </c>
      <c r="D48" s="226">
        <v>124084.02</v>
      </c>
      <c r="E48" s="226">
        <v>0</v>
      </c>
      <c r="F48" s="166">
        <v>1</v>
      </c>
      <c r="G48" s="241">
        <f t="shared" si="0"/>
        <v>0.034653216932532496</v>
      </c>
      <c r="H48" s="289">
        <f t="shared" si="1"/>
        <v>0.9653467830674675</v>
      </c>
    </row>
    <row r="49" spans="1:8" ht="15">
      <c r="A49" s="177"/>
      <c r="B49" s="165">
        <f>DATE(23,1,1)</f>
        <v>8402</v>
      </c>
      <c r="C49" s="226">
        <v>811007.52</v>
      </c>
      <c r="D49" s="226">
        <v>43801.09</v>
      </c>
      <c r="E49" s="226">
        <v>0</v>
      </c>
      <c r="F49" s="166">
        <v>1</v>
      </c>
      <c r="G49" s="241">
        <f t="shared" si="0"/>
        <v>0.05400824150187904</v>
      </c>
      <c r="H49" s="289">
        <f t="shared" si="1"/>
        <v>0.945991758498121</v>
      </c>
    </row>
    <row r="50" spans="1:8" ht="15">
      <c r="A50" s="177"/>
      <c r="B50" s="165">
        <f>DATE(23,2,1)</f>
        <v>8433</v>
      </c>
      <c r="C50" s="226">
        <v>0</v>
      </c>
      <c r="D50" s="226">
        <v>0</v>
      </c>
      <c r="E50" s="226">
        <v>0</v>
      </c>
      <c r="F50" s="166">
        <v>0</v>
      </c>
      <c r="G50" s="241">
        <v>0</v>
      </c>
      <c r="H50" s="289">
        <v>0</v>
      </c>
    </row>
    <row r="51" spans="1:8" ht="15" thickBot="1">
      <c r="A51" s="167"/>
      <c r="B51" s="168"/>
      <c r="C51" s="226"/>
      <c r="D51" s="226"/>
      <c r="E51" s="226"/>
      <c r="F51" s="166"/>
      <c r="G51" s="241"/>
      <c r="H51" s="242"/>
    </row>
    <row r="52" spans="1:8" ht="16.5" thickBot="1" thickTop="1">
      <c r="A52" s="174" t="s">
        <v>14</v>
      </c>
      <c r="B52" s="178"/>
      <c r="C52" s="228">
        <f>SUM(C43:C51)</f>
        <v>19283306.67</v>
      </c>
      <c r="D52" s="228">
        <f>SUM(D43:D51)</f>
        <v>858804.22</v>
      </c>
      <c r="E52" s="228">
        <f>SUM(E43:E51)</f>
        <v>0</v>
      </c>
      <c r="F52" s="176">
        <v>1</v>
      </c>
      <c r="G52" s="245">
        <f>+D52/C52</f>
        <v>0.044536149048341606</v>
      </c>
      <c r="H52" s="246">
        <f>1-G52</f>
        <v>0.9554638509516584</v>
      </c>
    </row>
    <row r="53" spans="1:8" ht="15" thickTop="1">
      <c r="A53" s="167"/>
      <c r="B53" s="168"/>
      <c r="C53" s="226"/>
      <c r="D53" s="226"/>
      <c r="E53" s="226"/>
      <c r="F53" s="166"/>
      <c r="G53" s="241"/>
      <c r="H53" s="242"/>
    </row>
    <row r="54" spans="1:8" ht="15">
      <c r="A54" s="164" t="s">
        <v>60</v>
      </c>
      <c r="B54" s="165">
        <f>DATE(22,7,1)</f>
        <v>8218</v>
      </c>
      <c r="C54" s="226">
        <v>0</v>
      </c>
      <c r="D54" s="226">
        <v>0</v>
      </c>
      <c r="E54" s="226">
        <v>0</v>
      </c>
      <c r="F54" s="166">
        <v>0</v>
      </c>
      <c r="G54" s="241">
        <v>0</v>
      </c>
      <c r="H54" s="242">
        <v>0</v>
      </c>
    </row>
    <row r="55" spans="1:8" ht="15">
      <c r="A55" s="164"/>
      <c r="B55" s="165">
        <f>DATE(22,8,1)</f>
        <v>8249</v>
      </c>
      <c r="C55" s="226">
        <v>0</v>
      </c>
      <c r="D55" s="226">
        <v>0</v>
      </c>
      <c r="E55" s="226">
        <v>0</v>
      </c>
      <c r="F55" s="166">
        <v>0</v>
      </c>
      <c r="G55" s="241">
        <v>0</v>
      </c>
      <c r="H55" s="242">
        <v>0</v>
      </c>
    </row>
    <row r="56" spans="1:8" ht="15">
      <c r="A56" s="164"/>
      <c r="B56" s="165">
        <f>DATE(22,9,1)</f>
        <v>8280</v>
      </c>
      <c r="C56" s="226">
        <v>0</v>
      </c>
      <c r="D56" s="226">
        <v>0</v>
      </c>
      <c r="E56" s="226">
        <v>0</v>
      </c>
      <c r="F56" s="166">
        <v>0</v>
      </c>
      <c r="G56" s="241">
        <v>0</v>
      </c>
      <c r="H56" s="242">
        <v>0</v>
      </c>
    </row>
    <row r="57" spans="1:8" ht="15">
      <c r="A57" s="164"/>
      <c r="B57" s="165">
        <f>DATE(22,10,1)</f>
        <v>8310</v>
      </c>
      <c r="C57" s="226">
        <v>0</v>
      </c>
      <c r="D57" s="226">
        <v>0</v>
      </c>
      <c r="E57" s="226">
        <v>0</v>
      </c>
      <c r="F57" s="166">
        <v>0</v>
      </c>
      <c r="G57" s="241">
        <v>0</v>
      </c>
      <c r="H57" s="242">
        <v>0</v>
      </c>
    </row>
    <row r="58" spans="1:8" ht="15">
      <c r="A58" s="164"/>
      <c r="B58" s="165">
        <f>DATE(22,11,1)</f>
        <v>8341</v>
      </c>
      <c r="C58" s="226">
        <v>0</v>
      </c>
      <c r="D58" s="226">
        <v>0</v>
      </c>
      <c r="E58" s="226">
        <v>0</v>
      </c>
      <c r="F58" s="166">
        <v>0</v>
      </c>
      <c r="G58" s="241">
        <v>0</v>
      </c>
      <c r="H58" s="242">
        <v>0</v>
      </c>
    </row>
    <row r="59" spans="1:8" ht="15">
      <c r="A59" s="164"/>
      <c r="B59" s="165">
        <f>DATE(22,12,1)</f>
        <v>8371</v>
      </c>
      <c r="C59" s="226">
        <v>0</v>
      </c>
      <c r="D59" s="226">
        <v>0</v>
      </c>
      <c r="E59" s="226">
        <v>0</v>
      </c>
      <c r="F59" s="166">
        <v>0</v>
      </c>
      <c r="G59" s="241">
        <v>0</v>
      </c>
      <c r="H59" s="242">
        <v>0</v>
      </c>
    </row>
    <row r="60" spans="1:8" ht="15">
      <c r="A60" s="164"/>
      <c r="B60" s="165">
        <f>DATE(23,1,1)</f>
        <v>8402</v>
      </c>
      <c r="C60" s="226">
        <v>0</v>
      </c>
      <c r="D60" s="226">
        <v>0</v>
      </c>
      <c r="E60" s="226">
        <v>0</v>
      </c>
      <c r="F60" s="166">
        <v>0</v>
      </c>
      <c r="G60" s="241">
        <v>0</v>
      </c>
      <c r="H60" s="242">
        <v>0</v>
      </c>
    </row>
    <row r="61" spans="1:8" ht="15">
      <c r="A61" s="164"/>
      <c r="B61" s="165">
        <f>DATE(23,2,1)</f>
        <v>8433</v>
      </c>
      <c r="C61" s="226">
        <v>0</v>
      </c>
      <c r="D61" s="226">
        <v>0</v>
      </c>
      <c r="E61" s="226">
        <v>0</v>
      </c>
      <c r="F61" s="166">
        <v>0</v>
      </c>
      <c r="G61" s="241">
        <v>0</v>
      </c>
      <c r="H61" s="242">
        <v>0</v>
      </c>
    </row>
    <row r="62" spans="1:8" ht="15" thickBot="1">
      <c r="A62" s="167"/>
      <c r="B62" s="165"/>
      <c r="C62" s="226"/>
      <c r="D62" s="226"/>
      <c r="E62" s="226"/>
      <c r="F62" s="166"/>
      <c r="G62" s="241"/>
      <c r="H62" s="242"/>
    </row>
    <row r="63" spans="1:8" ht="16.5" thickBot="1" thickTop="1">
      <c r="A63" s="174" t="s">
        <v>14</v>
      </c>
      <c r="B63" s="175"/>
      <c r="C63" s="228">
        <f>SUM(C54:C62)</f>
        <v>0</v>
      </c>
      <c r="D63" s="230">
        <f>SUM(D54:D62)</f>
        <v>0</v>
      </c>
      <c r="E63" s="271">
        <f>SUM(E54:E62)</f>
        <v>0</v>
      </c>
      <c r="F63" s="176">
        <v>0</v>
      </c>
      <c r="G63" s="245">
        <v>0</v>
      </c>
      <c r="H63" s="246">
        <v>0</v>
      </c>
    </row>
    <row r="64" spans="1:8" ht="15" thickTop="1">
      <c r="A64" s="167"/>
      <c r="B64" s="168"/>
      <c r="C64" s="226"/>
      <c r="D64" s="226"/>
      <c r="E64" s="226"/>
      <c r="F64" s="166"/>
      <c r="G64" s="241"/>
      <c r="H64" s="242"/>
    </row>
    <row r="65" spans="1:8" ht="15">
      <c r="A65" s="164" t="s">
        <v>64</v>
      </c>
      <c r="B65" s="165">
        <f>DATE(22,7,1)</f>
        <v>8218</v>
      </c>
      <c r="C65" s="226">
        <v>0</v>
      </c>
      <c r="D65" s="226">
        <v>0</v>
      </c>
      <c r="E65" s="226">
        <v>0</v>
      </c>
      <c r="F65" s="166">
        <v>0</v>
      </c>
      <c r="G65" s="241">
        <v>0</v>
      </c>
      <c r="H65" s="242">
        <v>0</v>
      </c>
    </row>
    <row r="66" spans="1:8" ht="15">
      <c r="A66" s="164"/>
      <c r="B66" s="165">
        <f>DATE(22,8,1)</f>
        <v>8249</v>
      </c>
      <c r="C66" s="226">
        <v>0</v>
      </c>
      <c r="D66" s="226">
        <v>0</v>
      </c>
      <c r="E66" s="226">
        <v>0</v>
      </c>
      <c r="F66" s="166">
        <v>0</v>
      </c>
      <c r="G66" s="241">
        <v>0</v>
      </c>
      <c r="H66" s="242">
        <v>0</v>
      </c>
    </row>
    <row r="67" spans="1:8" ht="15">
      <c r="A67" s="164"/>
      <c r="B67" s="165">
        <f>DATE(22,9,1)</f>
        <v>8280</v>
      </c>
      <c r="C67" s="226">
        <v>0</v>
      </c>
      <c r="D67" s="226">
        <v>0</v>
      </c>
      <c r="E67" s="226">
        <v>0</v>
      </c>
      <c r="F67" s="166">
        <v>0</v>
      </c>
      <c r="G67" s="241">
        <v>0</v>
      </c>
      <c r="H67" s="242">
        <v>0</v>
      </c>
    </row>
    <row r="68" spans="1:8" ht="15">
      <c r="A68" s="164"/>
      <c r="B68" s="165">
        <f>DATE(22,10,1)</f>
        <v>8310</v>
      </c>
      <c r="C68" s="226">
        <v>0</v>
      </c>
      <c r="D68" s="226">
        <v>0</v>
      </c>
      <c r="E68" s="226">
        <v>0</v>
      </c>
      <c r="F68" s="166">
        <v>0</v>
      </c>
      <c r="G68" s="241">
        <v>0</v>
      </c>
      <c r="H68" s="242">
        <v>0</v>
      </c>
    </row>
    <row r="69" spans="1:8" ht="15">
      <c r="A69" s="164"/>
      <c r="B69" s="165">
        <f>DATE(22,11,1)</f>
        <v>8341</v>
      </c>
      <c r="C69" s="226">
        <v>0</v>
      </c>
      <c r="D69" s="226">
        <v>0</v>
      </c>
      <c r="E69" s="226">
        <v>0</v>
      </c>
      <c r="F69" s="166">
        <v>0</v>
      </c>
      <c r="G69" s="241">
        <v>0</v>
      </c>
      <c r="H69" s="242">
        <v>0</v>
      </c>
    </row>
    <row r="70" spans="1:8" ht="15">
      <c r="A70" s="164"/>
      <c r="B70" s="165">
        <f>DATE(22,12,1)</f>
        <v>8371</v>
      </c>
      <c r="C70" s="226">
        <v>0</v>
      </c>
      <c r="D70" s="226">
        <v>0</v>
      </c>
      <c r="E70" s="226">
        <v>0</v>
      </c>
      <c r="F70" s="166">
        <v>0</v>
      </c>
      <c r="G70" s="241">
        <v>0</v>
      </c>
      <c r="H70" s="242">
        <v>0</v>
      </c>
    </row>
    <row r="71" spans="1:8" ht="15">
      <c r="A71" s="164"/>
      <c r="B71" s="165">
        <f>DATE(23,1,1)</f>
        <v>8402</v>
      </c>
      <c r="C71" s="226">
        <v>0</v>
      </c>
      <c r="D71" s="226">
        <v>0</v>
      </c>
      <c r="E71" s="226">
        <v>0</v>
      </c>
      <c r="F71" s="166">
        <v>0</v>
      </c>
      <c r="G71" s="241">
        <v>0</v>
      </c>
      <c r="H71" s="242">
        <v>0</v>
      </c>
    </row>
    <row r="72" spans="1:8" ht="15">
      <c r="A72" s="164"/>
      <c r="B72" s="165">
        <f>DATE(23,2,1)</f>
        <v>8433</v>
      </c>
      <c r="C72" s="226">
        <v>0</v>
      </c>
      <c r="D72" s="226">
        <v>0</v>
      </c>
      <c r="E72" s="226">
        <v>0</v>
      </c>
      <c r="F72" s="166">
        <v>0</v>
      </c>
      <c r="G72" s="241">
        <v>0</v>
      </c>
      <c r="H72" s="242">
        <v>0</v>
      </c>
    </row>
    <row r="73" spans="1:8" ht="15" thickBot="1">
      <c r="A73" s="167"/>
      <c r="B73" s="165"/>
      <c r="C73" s="226"/>
      <c r="D73" s="226"/>
      <c r="E73" s="226"/>
      <c r="F73" s="166"/>
      <c r="G73" s="241"/>
      <c r="H73" s="242"/>
    </row>
    <row r="74" spans="1:8" ht="16.5" thickBot="1" thickTop="1">
      <c r="A74" s="174" t="s">
        <v>14</v>
      </c>
      <c r="B74" s="175"/>
      <c r="C74" s="228">
        <f>SUM(C65:C73)</f>
        <v>0</v>
      </c>
      <c r="D74" s="230">
        <f>SUM(D65:D73)</f>
        <v>0</v>
      </c>
      <c r="E74" s="271">
        <f>SUM(E65:E73)</f>
        <v>0</v>
      </c>
      <c r="F74" s="176">
        <v>0</v>
      </c>
      <c r="G74" s="245">
        <v>0</v>
      </c>
      <c r="H74" s="246">
        <v>0</v>
      </c>
    </row>
    <row r="75" spans="1:8" ht="15" thickTop="1">
      <c r="A75" s="167"/>
      <c r="B75" s="168"/>
      <c r="C75" s="226"/>
      <c r="D75" s="226"/>
      <c r="E75" s="226"/>
      <c r="F75" s="166"/>
      <c r="G75" s="241"/>
      <c r="H75" s="242"/>
    </row>
    <row r="76" spans="1:8" ht="15">
      <c r="A76" s="164" t="s">
        <v>67</v>
      </c>
      <c r="B76" s="165">
        <f>DATE(22,7,1)</f>
        <v>8218</v>
      </c>
      <c r="C76" s="226">
        <v>0</v>
      </c>
      <c r="D76" s="226">
        <v>0</v>
      </c>
      <c r="E76" s="226">
        <v>0</v>
      </c>
      <c r="F76" s="166">
        <v>0</v>
      </c>
      <c r="G76" s="241">
        <v>0</v>
      </c>
      <c r="H76" s="242">
        <v>0</v>
      </c>
    </row>
    <row r="77" spans="1:8" ht="15">
      <c r="A77" s="164"/>
      <c r="B77" s="165">
        <f>DATE(22,8,1)</f>
        <v>8249</v>
      </c>
      <c r="C77" s="226">
        <v>0</v>
      </c>
      <c r="D77" s="226">
        <v>0</v>
      </c>
      <c r="E77" s="226">
        <v>0</v>
      </c>
      <c r="F77" s="166">
        <v>0</v>
      </c>
      <c r="G77" s="241">
        <v>0</v>
      </c>
      <c r="H77" s="242">
        <v>0</v>
      </c>
    </row>
    <row r="78" spans="1:8" ht="15">
      <c r="A78" s="164"/>
      <c r="B78" s="165">
        <f>DATE(22,9,1)</f>
        <v>8280</v>
      </c>
      <c r="C78" s="226">
        <v>0</v>
      </c>
      <c r="D78" s="226">
        <v>0</v>
      </c>
      <c r="E78" s="226">
        <v>0</v>
      </c>
      <c r="F78" s="166">
        <v>0</v>
      </c>
      <c r="G78" s="241">
        <v>0</v>
      </c>
      <c r="H78" s="242">
        <v>0</v>
      </c>
    </row>
    <row r="79" spans="1:8" ht="15">
      <c r="A79" s="164"/>
      <c r="B79" s="165">
        <f>DATE(22,10,1)</f>
        <v>8310</v>
      </c>
      <c r="C79" s="226">
        <v>0</v>
      </c>
      <c r="D79" s="226">
        <v>0</v>
      </c>
      <c r="E79" s="226">
        <v>0</v>
      </c>
      <c r="F79" s="166">
        <v>0</v>
      </c>
      <c r="G79" s="241">
        <v>0</v>
      </c>
      <c r="H79" s="242">
        <v>0</v>
      </c>
    </row>
    <row r="80" spans="1:8" ht="15">
      <c r="A80" s="164"/>
      <c r="B80" s="165">
        <f>DATE(22,11,1)</f>
        <v>8341</v>
      </c>
      <c r="C80" s="226">
        <v>0</v>
      </c>
      <c r="D80" s="226">
        <v>0</v>
      </c>
      <c r="E80" s="226">
        <v>0</v>
      </c>
      <c r="F80" s="166">
        <v>0</v>
      </c>
      <c r="G80" s="241">
        <v>0</v>
      </c>
      <c r="H80" s="242">
        <v>0</v>
      </c>
    </row>
    <row r="81" spans="1:8" ht="15">
      <c r="A81" s="164"/>
      <c r="B81" s="165">
        <f>DATE(22,12,1)</f>
        <v>8371</v>
      </c>
      <c r="C81" s="226">
        <v>0</v>
      </c>
      <c r="D81" s="226">
        <v>0</v>
      </c>
      <c r="E81" s="226">
        <v>0</v>
      </c>
      <c r="F81" s="166">
        <v>0</v>
      </c>
      <c r="G81" s="241">
        <v>0</v>
      </c>
      <c r="H81" s="242">
        <v>0</v>
      </c>
    </row>
    <row r="82" spans="1:8" ht="15">
      <c r="A82" s="164"/>
      <c r="B82" s="165">
        <f>DATE(23,1,1)</f>
        <v>8402</v>
      </c>
      <c r="C82" s="226">
        <v>0</v>
      </c>
      <c r="D82" s="226">
        <v>0</v>
      </c>
      <c r="E82" s="226">
        <v>0</v>
      </c>
      <c r="F82" s="166">
        <v>0</v>
      </c>
      <c r="G82" s="241">
        <v>0</v>
      </c>
      <c r="H82" s="242">
        <v>0</v>
      </c>
    </row>
    <row r="83" spans="1:8" ht="15">
      <c r="A83" s="164"/>
      <c r="B83" s="165">
        <f>DATE(23,2,1)</f>
        <v>8433</v>
      </c>
      <c r="C83" s="226">
        <v>0</v>
      </c>
      <c r="D83" s="226">
        <v>0</v>
      </c>
      <c r="E83" s="226">
        <v>0</v>
      </c>
      <c r="F83" s="166">
        <v>0</v>
      </c>
      <c r="G83" s="241">
        <v>0</v>
      </c>
      <c r="H83" s="242">
        <v>0</v>
      </c>
    </row>
    <row r="84" spans="1:8" ht="15" thickBot="1">
      <c r="A84" s="167"/>
      <c r="B84" s="165"/>
      <c r="C84" s="226"/>
      <c r="D84" s="226"/>
      <c r="E84" s="226"/>
      <c r="F84" s="166"/>
      <c r="G84" s="241"/>
      <c r="H84" s="242"/>
    </row>
    <row r="85" spans="1:8" ht="16.5" thickBot="1" thickTop="1">
      <c r="A85" s="174" t="s">
        <v>14</v>
      </c>
      <c r="B85" s="175"/>
      <c r="C85" s="228">
        <f>SUM(C76:C84)</f>
        <v>0</v>
      </c>
      <c r="D85" s="230">
        <f>SUM(D76:D84)</f>
        <v>0</v>
      </c>
      <c r="E85" s="271">
        <f>SUM(E76:E84)</f>
        <v>0</v>
      </c>
      <c r="F85" s="176">
        <v>0</v>
      </c>
      <c r="G85" s="245">
        <v>0</v>
      </c>
      <c r="H85" s="246">
        <v>0</v>
      </c>
    </row>
    <row r="86" spans="1:8" ht="15" thickTop="1">
      <c r="A86" s="167"/>
      <c r="B86" s="168"/>
      <c r="C86" s="226"/>
      <c r="D86" s="226"/>
      <c r="E86" s="226"/>
      <c r="F86" s="166"/>
      <c r="G86" s="241"/>
      <c r="H86" s="242"/>
    </row>
    <row r="87" spans="1:8" ht="15">
      <c r="A87" s="164" t="s">
        <v>69</v>
      </c>
      <c r="B87" s="165">
        <f>DATE(22,7,1)</f>
        <v>8218</v>
      </c>
      <c r="C87" s="226">
        <v>0</v>
      </c>
      <c r="D87" s="226">
        <v>0</v>
      </c>
      <c r="E87" s="226">
        <v>0</v>
      </c>
      <c r="F87" s="166">
        <v>0</v>
      </c>
      <c r="G87" s="241">
        <v>0</v>
      </c>
      <c r="H87" s="242">
        <v>0</v>
      </c>
    </row>
    <row r="88" spans="1:8" ht="15">
      <c r="A88" s="164"/>
      <c r="B88" s="165">
        <f>DATE(22,8,1)</f>
        <v>8249</v>
      </c>
      <c r="C88" s="226">
        <v>0</v>
      </c>
      <c r="D88" s="226">
        <v>0</v>
      </c>
      <c r="E88" s="226">
        <v>0</v>
      </c>
      <c r="F88" s="166">
        <v>0</v>
      </c>
      <c r="G88" s="241">
        <v>0</v>
      </c>
      <c r="H88" s="242">
        <v>0</v>
      </c>
    </row>
    <row r="89" spans="1:8" ht="15">
      <c r="A89" s="164"/>
      <c r="B89" s="165">
        <f>DATE(22,9,1)</f>
        <v>8280</v>
      </c>
      <c r="C89" s="226">
        <v>0</v>
      </c>
      <c r="D89" s="226">
        <v>0</v>
      </c>
      <c r="E89" s="226">
        <v>0</v>
      </c>
      <c r="F89" s="166">
        <v>0</v>
      </c>
      <c r="G89" s="241">
        <v>0</v>
      </c>
      <c r="H89" s="242">
        <v>0</v>
      </c>
    </row>
    <row r="90" spans="1:8" ht="15">
      <c r="A90" s="164"/>
      <c r="B90" s="165">
        <f>DATE(22,10,1)</f>
        <v>8310</v>
      </c>
      <c r="C90" s="226">
        <v>0</v>
      </c>
      <c r="D90" s="226">
        <v>0</v>
      </c>
      <c r="E90" s="226">
        <v>0</v>
      </c>
      <c r="F90" s="166">
        <v>0</v>
      </c>
      <c r="G90" s="241">
        <v>0</v>
      </c>
      <c r="H90" s="242">
        <v>0</v>
      </c>
    </row>
    <row r="91" spans="1:8" ht="15">
      <c r="A91" s="164"/>
      <c r="B91" s="165">
        <f>DATE(22,11,1)</f>
        <v>8341</v>
      </c>
      <c r="C91" s="226">
        <v>0</v>
      </c>
      <c r="D91" s="226">
        <v>0</v>
      </c>
      <c r="E91" s="226">
        <v>0</v>
      </c>
      <c r="F91" s="166">
        <v>0</v>
      </c>
      <c r="G91" s="241">
        <v>0</v>
      </c>
      <c r="H91" s="242">
        <v>0</v>
      </c>
    </row>
    <row r="92" spans="1:8" ht="15">
      <c r="A92" s="164"/>
      <c r="B92" s="165">
        <f>DATE(22,12,1)</f>
        <v>8371</v>
      </c>
      <c r="C92" s="226">
        <v>0</v>
      </c>
      <c r="D92" s="226">
        <v>0</v>
      </c>
      <c r="E92" s="226">
        <v>0</v>
      </c>
      <c r="F92" s="166">
        <v>0</v>
      </c>
      <c r="G92" s="241">
        <v>0</v>
      </c>
      <c r="H92" s="242">
        <v>0</v>
      </c>
    </row>
    <row r="93" spans="1:8" ht="15">
      <c r="A93" s="164"/>
      <c r="B93" s="165">
        <f>DATE(23,1,1)</f>
        <v>8402</v>
      </c>
      <c r="C93" s="226">
        <v>0</v>
      </c>
      <c r="D93" s="226">
        <v>0</v>
      </c>
      <c r="E93" s="226">
        <v>0</v>
      </c>
      <c r="F93" s="166">
        <v>0</v>
      </c>
      <c r="G93" s="241">
        <v>0</v>
      </c>
      <c r="H93" s="242">
        <v>0</v>
      </c>
    </row>
    <row r="94" spans="1:8" ht="15">
      <c r="A94" s="164"/>
      <c r="B94" s="165">
        <f>DATE(23,2,1)</f>
        <v>8433</v>
      </c>
      <c r="C94" s="226">
        <v>0</v>
      </c>
      <c r="D94" s="226">
        <v>0</v>
      </c>
      <c r="E94" s="226">
        <v>0</v>
      </c>
      <c r="F94" s="166">
        <v>0</v>
      </c>
      <c r="G94" s="241">
        <v>0</v>
      </c>
      <c r="H94" s="242">
        <v>0</v>
      </c>
    </row>
    <row r="95" spans="1:8" ht="15" thickBot="1">
      <c r="A95" s="167"/>
      <c r="B95" s="165"/>
      <c r="C95" s="226"/>
      <c r="D95" s="226"/>
      <c r="E95" s="226"/>
      <c r="F95" s="166"/>
      <c r="G95" s="241"/>
      <c r="H95" s="242"/>
    </row>
    <row r="96" spans="1:8" ht="16.5" thickBot="1" thickTop="1">
      <c r="A96" s="174" t="s">
        <v>14</v>
      </c>
      <c r="B96" s="175"/>
      <c r="C96" s="228">
        <f>SUM(C87:C95)</f>
        <v>0</v>
      </c>
      <c r="D96" s="230">
        <f>SUM(D87:D95)</f>
        <v>0</v>
      </c>
      <c r="E96" s="271">
        <f>SUM(E87:E95)</f>
        <v>0</v>
      </c>
      <c r="F96" s="176">
        <v>0</v>
      </c>
      <c r="G96" s="249">
        <v>0</v>
      </c>
      <c r="H96" s="270">
        <v>0</v>
      </c>
    </row>
    <row r="97" spans="1:8" ht="15" thickTop="1">
      <c r="A97" s="167"/>
      <c r="B97" s="179"/>
      <c r="C97" s="229"/>
      <c r="D97" s="229"/>
      <c r="E97" s="229"/>
      <c r="F97" s="180"/>
      <c r="G97" s="247"/>
      <c r="H97" s="248"/>
    </row>
    <row r="98" spans="1:8" ht="15">
      <c r="A98" s="164" t="s">
        <v>16</v>
      </c>
      <c r="B98" s="165">
        <f>DATE(22,7,1)</f>
        <v>8218</v>
      </c>
      <c r="C98" s="226">
        <v>0</v>
      </c>
      <c r="D98" s="226">
        <v>0</v>
      </c>
      <c r="E98" s="226">
        <v>0</v>
      </c>
      <c r="F98" s="166">
        <v>0</v>
      </c>
      <c r="G98" s="241">
        <v>0</v>
      </c>
      <c r="H98" s="242">
        <v>0</v>
      </c>
    </row>
    <row r="99" spans="1:8" ht="15">
      <c r="A99" s="164"/>
      <c r="B99" s="165">
        <f>DATE(22,8,1)</f>
        <v>8249</v>
      </c>
      <c r="C99" s="226">
        <v>0</v>
      </c>
      <c r="D99" s="226">
        <v>0</v>
      </c>
      <c r="E99" s="226">
        <v>0</v>
      </c>
      <c r="F99" s="166">
        <v>0</v>
      </c>
      <c r="G99" s="241">
        <v>0</v>
      </c>
      <c r="H99" s="242">
        <v>0</v>
      </c>
    </row>
    <row r="100" spans="1:8" ht="15">
      <c r="A100" s="164"/>
      <c r="B100" s="165">
        <f>DATE(22,9,1)</f>
        <v>8280</v>
      </c>
      <c r="C100" s="226">
        <v>0</v>
      </c>
      <c r="D100" s="226">
        <v>0</v>
      </c>
      <c r="E100" s="226">
        <v>0</v>
      </c>
      <c r="F100" s="166">
        <v>0</v>
      </c>
      <c r="G100" s="241">
        <v>0</v>
      </c>
      <c r="H100" s="242">
        <v>0</v>
      </c>
    </row>
    <row r="101" spans="1:8" ht="15">
      <c r="A101" s="164"/>
      <c r="B101" s="165">
        <f>DATE(22,10,1)</f>
        <v>8310</v>
      </c>
      <c r="C101" s="226">
        <v>0</v>
      </c>
      <c r="D101" s="226">
        <v>0</v>
      </c>
      <c r="E101" s="226">
        <v>0</v>
      </c>
      <c r="F101" s="166">
        <v>0</v>
      </c>
      <c r="G101" s="241">
        <v>0</v>
      </c>
      <c r="H101" s="242">
        <v>0</v>
      </c>
    </row>
    <row r="102" spans="1:8" ht="15">
      <c r="A102" s="164"/>
      <c r="B102" s="165">
        <f>DATE(22,11,1)</f>
        <v>8341</v>
      </c>
      <c r="C102" s="226">
        <v>0</v>
      </c>
      <c r="D102" s="226">
        <v>0</v>
      </c>
      <c r="E102" s="226">
        <v>0</v>
      </c>
      <c r="F102" s="166">
        <v>0</v>
      </c>
      <c r="G102" s="241">
        <v>0</v>
      </c>
      <c r="H102" s="242">
        <v>0</v>
      </c>
    </row>
    <row r="103" spans="1:8" ht="15">
      <c r="A103" s="164"/>
      <c r="B103" s="165">
        <f>DATE(22,12,1)</f>
        <v>8371</v>
      </c>
      <c r="C103" s="226">
        <v>0</v>
      </c>
      <c r="D103" s="226">
        <v>0</v>
      </c>
      <c r="E103" s="226">
        <v>0</v>
      </c>
      <c r="F103" s="166">
        <v>0</v>
      </c>
      <c r="G103" s="241">
        <v>0</v>
      </c>
      <c r="H103" s="242">
        <v>0</v>
      </c>
    </row>
    <row r="104" spans="1:8" ht="15">
      <c r="A104" s="164"/>
      <c r="B104" s="165">
        <f>DATE(23,1,1)</f>
        <v>8402</v>
      </c>
      <c r="C104" s="226">
        <v>0</v>
      </c>
      <c r="D104" s="226">
        <v>0</v>
      </c>
      <c r="E104" s="226">
        <v>0</v>
      </c>
      <c r="F104" s="166">
        <v>0</v>
      </c>
      <c r="G104" s="241">
        <v>0</v>
      </c>
      <c r="H104" s="242">
        <v>0</v>
      </c>
    </row>
    <row r="105" spans="1:8" ht="15">
      <c r="A105" s="164"/>
      <c r="B105" s="165">
        <f>DATE(23,2,1)</f>
        <v>8433</v>
      </c>
      <c r="C105" s="226">
        <v>0</v>
      </c>
      <c r="D105" s="226">
        <v>0</v>
      </c>
      <c r="E105" s="226">
        <v>0</v>
      </c>
      <c r="F105" s="166">
        <v>0</v>
      </c>
      <c r="G105" s="241">
        <v>0</v>
      </c>
      <c r="H105" s="242">
        <v>0</v>
      </c>
    </row>
    <row r="106" spans="1:8" ht="15.75" thickBot="1">
      <c r="A106" s="164"/>
      <c r="B106" s="165"/>
      <c r="C106" s="226"/>
      <c r="D106" s="226"/>
      <c r="E106" s="226"/>
      <c r="F106" s="166"/>
      <c r="G106" s="241"/>
      <c r="H106" s="242"/>
    </row>
    <row r="107" spans="1:8" ht="16.5" thickBot="1" thickTop="1">
      <c r="A107" s="174" t="s">
        <v>14</v>
      </c>
      <c r="B107" s="181"/>
      <c r="C107" s="228">
        <f>SUM(C98:C106)</f>
        <v>0</v>
      </c>
      <c r="D107" s="228">
        <f>SUM(D98:D106)</f>
        <v>0</v>
      </c>
      <c r="E107" s="228">
        <f>SUM(E98:E106)</f>
        <v>0</v>
      </c>
      <c r="F107" s="176">
        <v>0</v>
      </c>
      <c r="G107" s="245">
        <v>0</v>
      </c>
      <c r="H107" s="246">
        <v>0</v>
      </c>
    </row>
    <row r="108" spans="1:8" ht="15" thickTop="1">
      <c r="A108" s="171"/>
      <c r="B108" s="172"/>
      <c r="C108" s="227"/>
      <c r="D108" s="227"/>
      <c r="E108" s="227"/>
      <c r="F108" s="173"/>
      <c r="G108" s="243"/>
      <c r="H108" s="244"/>
    </row>
    <row r="109" spans="1:8" ht="15">
      <c r="A109" s="164" t="s">
        <v>53</v>
      </c>
      <c r="B109" s="165">
        <f>DATE(22,7,1)</f>
        <v>8218</v>
      </c>
      <c r="C109" s="226">
        <v>0</v>
      </c>
      <c r="D109" s="226">
        <v>0</v>
      </c>
      <c r="E109" s="226">
        <v>0</v>
      </c>
      <c r="F109" s="166">
        <v>0</v>
      </c>
      <c r="G109" s="241">
        <v>0</v>
      </c>
      <c r="H109" s="242">
        <v>0</v>
      </c>
    </row>
    <row r="110" spans="1:8" ht="15">
      <c r="A110" s="164"/>
      <c r="B110" s="165">
        <f>DATE(22,8,1)</f>
        <v>8249</v>
      </c>
      <c r="C110" s="226">
        <v>0</v>
      </c>
      <c r="D110" s="226">
        <v>0</v>
      </c>
      <c r="E110" s="226">
        <v>0</v>
      </c>
      <c r="F110" s="166">
        <v>0</v>
      </c>
      <c r="G110" s="241">
        <v>0</v>
      </c>
      <c r="H110" s="242">
        <v>0</v>
      </c>
    </row>
    <row r="111" spans="1:8" ht="15">
      <c r="A111" s="164"/>
      <c r="B111" s="165">
        <f>DATE(22,9,1)</f>
        <v>8280</v>
      </c>
      <c r="C111" s="226">
        <v>0</v>
      </c>
      <c r="D111" s="226">
        <v>0</v>
      </c>
      <c r="E111" s="226">
        <v>0</v>
      </c>
      <c r="F111" s="166">
        <v>0</v>
      </c>
      <c r="G111" s="241">
        <v>0</v>
      </c>
      <c r="H111" s="242">
        <v>0</v>
      </c>
    </row>
    <row r="112" spans="1:8" ht="15">
      <c r="A112" s="164"/>
      <c r="B112" s="165">
        <f>DATE(22,10,1)</f>
        <v>8310</v>
      </c>
      <c r="C112" s="226">
        <v>0</v>
      </c>
      <c r="D112" s="226">
        <v>0</v>
      </c>
      <c r="E112" s="226">
        <v>0</v>
      </c>
      <c r="F112" s="166">
        <v>0</v>
      </c>
      <c r="G112" s="241">
        <v>0</v>
      </c>
      <c r="H112" s="242">
        <v>0</v>
      </c>
    </row>
    <row r="113" spans="1:8" ht="15">
      <c r="A113" s="164"/>
      <c r="B113" s="165">
        <f>DATE(22,11,1)</f>
        <v>8341</v>
      </c>
      <c r="C113" s="226">
        <v>0</v>
      </c>
      <c r="D113" s="226">
        <v>0</v>
      </c>
      <c r="E113" s="226">
        <v>0</v>
      </c>
      <c r="F113" s="166">
        <v>0</v>
      </c>
      <c r="G113" s="241">
        <v>0</v>
      </c>
      <c r="H113" s="242">
        <v>0</v>
      </c>
    </row>
    <row r="114" spans="1:8" ht="15">
      <c r="A114" s="164"/>
      <c r="B114" s="165">
        <f>DATE(22,12,1)</f>
        <v>8371</v>
      </c>
      <c r="C114" s="226">
        <v>0</v>
      </c>
      <c r="D114" s="226">
        <v>0</v>
      </c>
      <c r="E114" s="226">
        <v>0</v>
      </c>
      <c r="F114" s="166">
        <v>0</v>
      </c>
      <c r="G114" s="241">
        <v>0</v>
      </c>
      <c r="H114" s="242">
        <v>0</v>
      </c>
    </row>
    <row r="115" spans="1:8" ht="15">
      <c r="A115" s="164"/>
      <c r="B115" s="165">
        <f>DATE(23,1,1)</f>
        <v>8402</v>
      </c>
      <c r="C115" s="226">
        <v>0</v>
      </c>
      <c r="D115" s="226">
        <v>0</v>
      </c>
      <c r="E115" s="226">
        <v>0</v>
      </c>
      <c r="F115" s="166">
        <v>0</v>
      </c>
      <c r="G115" s="241">
        <v>0</v>
      </c>
      <c r="H115" s="242">
        <v>0</v>
      </c>
    </row>
    <row r="116" spans="1:8" ht="15">
      <c r="A116" s="164"/>
      <c r="B116" s="165">
        <f>DATE(23,2,1)</f>
        <v>8433</v>
      </c>
      <c r="C116" s="226">
        <v>0</v>
      </c>
      <c r="D116" s="226">
        <v>0</v>
      </c>
      <c r="E116" s="226">
        <v>0</v>
      </c>
      <c r="F116" s="166">
        <v>0</v>
      </c>
      <c r="G116" s="241">
        <v>0</v>
      </c>
      <c r="H116" s="242">
        <v>0</v>
      </c>
    </row>
    <row r="117" spans="1:8" ht="15" thickBot="1">
      <c r="A117" s="167"/>
      <c r="B117" s="168"/>
      <c r="C117" s="226"/>
      <c r="D117" s="226"/>
      <c r="E117" s="226"/>
      <c r="F117" s="166"/>
      <c r="G117" s="241"/>
      <c r="H117" s="242"/>
    </row>
    <row r="118" spans="1:8" ht="16.5" thickBot="1" thickTop="1">
      <c r="A118" s="174" t="s">
        <v>14</v>
      </c>
      <c r="B118" s="175"/>
      <c r="C118" s="228">
        <f>SUM(C109:C117)</f>
        <v>0</v>
      </c>
      <c r="D118" s="228">
        <f>SUM(D109:D117)</f>
        <v>0</v>
      </c>
      <c r="E118" s="228">
        <f>SUM(E109:E117)</f>
        <v>0</v>
      </c>
      <c r="F118" s="176">
        <v>0</v>
      </c>
      <c r="G118" s="245">
        <v>0</v>
      </c>
      <c r="H118" s="246">
        <v>0</v>
      </c>
    </row>
    <row r="119" spans="1:8" ht="15" thickTop="1">
      <c r="A119" s="167"/>
      <c r="B119" s="168"/>
      <c r="C119" s="226"/>
      <c r="D119" s="226"/>
      <c r="E119" s="226"/>
      <c r="F119" s="166"/>
      <c r="G119" s="241"/>
      <c r="H119" s="242"/>
    </row>
    <row r="120" spans="1:8" ht="15">
      <c r="A120" s="164" t="s">
        <v>54</v>
      </c>
      <c r="B120" s="165">
        <f>DATE(22,7,1)</f>
        <v>8218</v>
      </c>
      <c r="C120" s="226">
        <v>0</v>
      </c>
      <c r="D120" s="226">
        <v>0</v>
      </c>
      <c r="E120" s="226">
        <v>0</v>
      </c>
      <c r="F120" s="166">
        <v>0</v>
      </c>
      <c r="G120" s="241">
        <v>0</v>
      </c>
      <c r="H120" s="242">
        <v>0</v>
      </c>
    </row>
    <row r="121" spans="1:8" ht="15">
      <c r="A121" s="164"/>
      <c r="B121" s="165">
        <f>DATE(22,8,1)</f>
        <v>8249</v>
      </c>
      <c r="C121" s="226">
        <v>0</v>
      </c>
      <c r="D121" s="226">
        <v>0</v>
      </c>
      <c r="E121" s="226">
        <v>0</v>
      </c>
      <c r="F121" s="166">
        <v>0</v>
      </c>
      <c r="G121" s="241">
        <v>0</v>
      </c>
      <c r="H121" s="242">
        <v>0</v>
      </c>
    </row>
    <row r="122" spans="1:8" ht="15">
      <c r="A122" s="164"/>
      <c r="B122" s="165">
        <f>DATE(22,9,1)</f>
        <v>8280</v>
      </c>
      <c r="C122" s="226">
        <v>0</v>
      </c>
      <c r="D122" s="226">
        <v>0</v>
      </c>
      <c r="E122" s="226">
        <v>0</v>
      </c>
      <c r="F122" s="166">
        <v>0</v>
      </c>
      <c r="G122" s="241">
        <v>0</v>
      </c>
      <c r="H122" s="242">
        <v>0</v>
      </c>
    </row>
    <row r="123" spans="1:8" ht="15">
      <c r="A123" s="164"/>
      <c r="B123" s="165">
        <f>DATE(22,10,1)</f>
        <v>8310</v>
      </c>
      <c r="C123" s="226">
        <v>0</v>
      </c>
      <c r="D123" s="226">
        <v>0</v>
      </c>
      <c r="E123" s="226">
        <v>0</v>
      </c>
      <c r="F123" s="166">
        <v>0</v>
      </c>
      <c r="G123" s="241">
        <v>0</v>
      </c>
      <c r="H123" s="242">
        <v>0</v>
      </c>
    </row>
    <row r="124" spans="1:8" ht="15">
      <c r="A124" s="164"/>
      <c r="B124" s="165">
        <f>DATE(22,11,1)</f>
        <v>8341</v>
      </c>
      <c r="C124" s="226">
        <v>0</v>
      </c>
      <c r="D124" s="226">
        <v>0</v>
      </c>
      <c r="E124" s="226">
        <v>0</v>
      </c>
      <c r="F124" s="166">
        <v>0</v>
      </c>
      <c r="G124" s="241">
        <v>0</v>
      </c>
      <c r="H124" s="242">
        <v>0</v>
      </c>
    </row>
    <row r="125" spans="1:8" ht="15">
      <c r="A125" s="164"/>
      <c r="B125" s="165">
        <f>DATE(22,12,1)</f>
        <v>8371</v>
      </c>
      <c r="C125" s="226">
        <v>0</v>
      </c>
      <c r="D125" s="226">
        <v>0</v>
      </c>
      <c r="E125" s="226">
        <v>0</v>
      </c>
      <c r="F125" s="166">
        <v>0</v>
      </c>
      <c r="G125" s="241">
        <v>0</v>
      </c>
      <c r="H125" s="242">
        <v>0</v>
      </c>
    </row>
    <row r="126" spans="1:8" ht="15">
      <c r="A126" s="164"/>
      <c r="B126" s="165">
        <f>DATE(23,1,1)</f>
        <v>8402</v>
      </c>
      <c r="C126" s="226">
        <v>0</v>
      </c>
      <c r="D126" s="226">
        <v>0</v>
      </c>
      <c r="E126" s="226">
        <v>0</v>
      </c>
      <c r="F126" s="166">
        <v>0</v>
      </c>
      <c r="G126" s="241">
        <v>0</v>
      </c>
      <c r="H126" s="242">
        <v>0</v>
      </c>
    </row>
    <row r="127" spans="1:8" ht="15">
      <c r="A127" s="164"/>
      <c r="B127" s="165">
        <f>DATE(23,2,1)</f>
        <v>8433</v>
      </c>
      <c r="C127" s="226">
        <v>0</v>
      </c>
      <c r="D127" s="226">
        <v>0</v>
      </c>
      <c r="E127" s="226">
        <v>0</v>
      </c>
      <c r="F127" s="166">
        <v>0</v>
      </c>
      <c r="G127" s="241">
        <v>0</v>
      </c>
      <c r="H127" s="242">
        <v>0</v>
      </c>
    </row>
    <row r="128" spans="1:8" ht="15" thickBot="1">
      <c r="A128" s="167"/>
      <c r="B128" s="168"/>
      <c r="C128" s="226"/>
      <c r="D128" s="226"/>
      <c r="E128" s="226"/>
      <c r="F128" s="166"/>
      <c r="G128" s="241"/>
      <c r="H128" s="242"/>
    </row>
    <row r="129" spans="1:8" ht="16.5" thickBot="1" thickTop="1">
      <c r="A129" s="182" t="s">
        <v>14</v>
      </c>
      <c r="B129" s="183"/>
      <c r="C129" s="230">
        <f>SUM(C120:C128)</f>
        <v>0</v>
      </c>
      <c r="D129" s="230">
        <f>SUM(D120:D128)</f>
        <v>0</v>
      </c>
      <c r="E129" s="230">
        <f>SUM(E120:E128)</f>
        <v>0</v>
      </c>
      <c r="F129" s="176">
        <v>0</v>
      </c>
      <c r="G129" s="245">
        <v>0</v>
      </c>
      <c r="H129" s="246">
        <v>0</v>
      </c>
    </row>
    <row r="130" spans="1:8" ht="15" thickTop="1">
      <c r="A130" s="167"/>
      <c r="B130" s="168"/>
      <c r="C130" s="226"/>
      <c r="D130" s="226"/>
      <c r="E130" s="226"/>
      <c r="F130" s="166"/>
      <c r="G130" s="241"/>
      <c r="H130" s="242"/>
    </row>
    <row r="131" spans="1:8" ht="15">
      <c r="A131" s="164" t="s">
        <v>37</v>
      </c>
      <c r="B131" s="165">
        <f>DATE(22,7,1)</f>
        <v>8218</v>
      </c>
      <c r="C131" s="226">
        <v>5095922.64</v>
      </c>
      <c r="D131" s="226">
        <v>215844.68</v>
      </c>
      <c r="E131" s="226">
        <v>209181.95</v>
      </c>
      <c r="F131" s="166">
        <f aca="true" t="shared" si="2" ref="F131:F138">+(D131-E131)/E131</f>
        <v>0.03185136193634289</v>
      </c>
      <c r="G131" s="241">
        <f aca="true" t="shared" si="3" ref="G131:G138">+D131/C131</f>
        <v>0.042356349428412834</v>
      </c>
      <c r="H131" s="289">
        <f aca="true" t="shared" si="4" ref="H131:H138">1-G131</f>
        <v>0.9576436505715872</v>
      </c>
    </row>
    <row r="132" spans="1:8" ht="15">
      <c r="A132" s="164"/>
      <c r="B132" s="165">
        <f>DATE(22,8,1)</f>
        <v>8249</v>
      </c>
      <c r="C132" s="226">
        <v>4684772.5</v>
      </c>
      <c r="D132" s="226">
        <v>222475.66</v>
      </c>
      <c r="E132" s="226">
        <v>126701.54</v>
      </c>
      <c r="F132" s="166">
        <f t="shared" si="2"/>
        <v>0.7559033615534587</v>
      </c>
      <c r="G132" s="241">
        <f t="shared" si="3"/>
        <v>0.047489106461413015</v>
      </c>
      <c r="H132" s="289">
        <f t="shared" si="4"/>
        <v>0.952510893538587</v>
      </c>
    </row>
    <row r="133" spans="1:8" ht="15">
      <c r="A133" s="164"/>
      <c r="B133" s="165">
        <f>DATE(22,9,1)</f>
        <v>8280</v>
      </c>
      <c r="C133" s="226">
        <v>4372547.5</v>
      </c>
      <c r="D133" s="226">
        <v>213180.35</v>
      </c>
      <c r="E133" s="226">
        <v>145306.89</v>
      </c>
      <c r="F133" s="166">
        <f t="shared" si="2"/>
        <v>0.46710420958015125</v>
      </c>
      <c r="G133" s="241">
        <f t="shared" si="3"/>
        <v>0.048754267392178134</v>
      </c>
      <c r="H133" s="289">
        <f t="shared" si="4"/>
        <v>0.9512457326078219</v>
      </c>
    </row>
    <row r="134" spans="1:8" ht="15">
      <c r="A134" s="164"/>
      <c r="B134" s="165">
        <f>DATE(22,10,1)</f>
        <v>8310</v>
      </c>
      <c r="C134" s="226">
        <v>4954774</v>
      </c>
      <c r="D134" s="226">
        <v>197241.83</v>
      </c>
      <c r="E134" s="226">
        <v>179665.17</v>
      </c>
      <c r="F134" s="166">
        <f t="shared" si="2"/>
        <v>0.09783009138610435</v>
      </c>
      <c r="G134" s="241">
        <f t="shared" si="3"/>
        <v>0.03980844131336767</v>
      </c>
      <c r="H134" s="289">
        <f t="shared" si="4"/>
        <v>0.9601915586866323</v>
      </c>
    </row>
    <row r="135" spans="1:8" ht="15">
      <c r="A135" s="164"/>
      <c r="B135" s="165">
        <f>DATE(22,11,1)</f>
        <v>8341</v>
      </c>
      <c r="C135" s="226">
        <v>3855288</v>
      </c>
      <c r="D135" s="226">
        <v>191836.78</v>
      </c>
      <c r="E135" s="226">
        <v>200635.43</v>
      </c>
      <c r="F135" s="166">
        <f t="shared" si="2"/>
        <v>-0.04385391951959828</v>
      </c>
      <c r="G135" s="241">
        <f t="shared" si="3"/>
        <v>0.049759390219355853</v>
      </c>
      <c r="H135" s="289">
        <f t="shared" si="4"/>
        <v>0.9502406097806442</v>
      </c>
    </row>
    <row r="136" spans="1:8" ht="15">
      <c r="A136" s="164"/>
      <c r="B136" s="165">
        <f>DATE(22,12,1)</f>
        <v>8371</v>
      </c>
      <c r="C136" s="226">
        <v>4154017.5</v>
      </c>
      <c r="D136" s="226">
        <v>198418.76</v>
      </c>
      <c r="E136" s="226">
        <v>258639.24</v>
      </c>
      <c r="F136" s="166">
        <f t="shared" si="2"/>
        <v>-0.2328358218188392</v>
      </c>
      <c r="G136" s="241">
        <f t="shared" si="3"/>
        <v>0.04776550893201582</v>
      </c>
      <c r="H136" s="289">
        <f t="shared" si="4"/>
        <v>0.9522344910679842</v>
      </c>
    </row>
    <row r="137" spans="1:8" ht="15">
      <c r="A137" s="164"/>
      <c r="B137" s="165">
        <f>DATE(23,1,1)</f>
        <v>8402</v>
      </c>
      <c r="C137" s="226">
        <v>3997710</v>
      </c>
      <c r="D137" s="226">
        <v>161229.07</v>
      </c>
      <c r="E137" s="226">
        <v>255321.86</v>
      </c>
      <c r="F137" s="166">
        <f t="shared" si="2"/>
        <v>-0.36852618103283435</v>
      </c>
      <c r="G137" s="241">
        <f t="shared" si="3"/>
        <v>0.0403303566291702</v>
      </c>
      <c r="H137" s="289">
        <f t="shared" si="4"/>
        <v>0.9596696433708298</v>
      </c>
    </row>
    <row r="138" spans="1:8" ht="15">
      <c r="A138" s="164"/>
      <c r="B138" s="165">
        <f>DATE(23,2,1)</f>
        <v>8433</v>
      </c>
      <c r="C138" s="226">
        <v>4393515.5</v>
      </c>
      <c r="D138" s="226">
        <v>159252.82</v>
      </c>
      <c r="E138" s="226">
        <v>283659.46</v>
      </c>
      <c r="F138" s="166">
        <f t="shared" si="2"/>
        <v>-0.4385774407100683</v>
      </c>
      <c r="G138" s="241">
        <f t="shared" si="3"/>
        <v>0.03624724210031807</v>
      </c>
      <c r="H138" s="289">
        <f t="shared" si="4"/>
        <v>0.963752757899682</v>
      </c>
    </row>
    <row r="139" spans="1:8" ht="15" thickBot="1">
      <c r="A139" s="167"/>
      <c r="B139" s="168"/>
      <c r="C139" s="226"/>
      <c r="D139" s="226"/>
      <c r="E139" s="226"/>
      <c r="F139" s="166"/>
      <c r="G139" s="241"/>
      <c r="H139" s="242"/>
    </row>
    <row r="140" spans="1:8" ht="16.5" thickBot="1" thickTop="1">
      <c r="A140" s="174" t="s">
        <v>14</v>
      </c>
      <c r="B140" s="175"/>
      <c r="C140" s="228">
        <f>SUM(C131:C139)</f>
        <v>35508547.64</v>
      </c>
      <c r="D140" s="228">
        <f>SUM(D131:D139)</f>
        <v>1559479.9500000002</v>
      </c>
      <c r="E140" s="228">
        <f>SUM(E131:E139)</f>
        <v>1659111.54</v>
      </c>
      <c r="F140" s="176">
        <f>+(D140-E140)/E140</f>
        <v>-0.060051170519855375</v>
      </c>
      <c r="G140" s="245">
        <f>+D140/C140</f>
        <v>0.04391843805639808</v>
      </c>
      <c r="H140" s="246">
        <f>1-G140</f>
        <v>0.9560815619436019</v>
      </c>
    </row>
    <row r="141" spans="1:8" ht="15" thickTop="1">
      <c r="A141" s="167"/>
      <c r="B141" s="168"/>
      <c r="C141" s="226"/>
      <c r="D141" s="226"/>
      <c r="E141" s="226"/>
      <c r="F141" s="166"/>
      <c r="G141" s="241"/>
      <c r="H141" s="242"/>
    </row>
    <row r="142" spans="1:8" ht="15">
      <c r="A142" s="164" t="s">
        <v>57</v>
      </c>
      <c r="B142" s="165">
        <f>DATE(22,7,1)</f>
        <v>8218</v>
      </c>
      <c r="C142" s="226">
        <v>0</v>
      </c>
      <c r="D142" s="226">
        <v>0</v>
      </c>
      <c r="E142" s="226">
        <v>0</v>
      </c>
      <c r="F142" s="166">
        <v>0</v>
      </c>
      <c r="G142" s="241">
        <v>0</v>
      </c>
      <c r="H142" s="242">
        <v>0</v>
      </c>
    </row>
    <row r="143" spans="1:8" ht="15">
      <c r="A143" s="164"/>
      <c r="B143" s="165">
        <f>DATE(22,8,1)</f>
        <v>8249</v>
      </c>
      <c r="C143" s="226">
        <v>0</v>
      </c>
      <c r="D143" s="226">
        <v>0</v>
      </c>
      <c r="E143" s="226">
        <v>0</v>
      </c>
      <c r="F143" s="166">
        <v>0</v>
      </c>
      <c r="G143" s="241">
        <v>0</v>
      </c>
      <c r="H143" s="242">
        <v>0</v>
      </c>
    </row>
    <row r="144" spans="1:8" ht="15">
      <c r="A144" s="164"/>
      <c r="B144" s="165">
        <f>DATE(22,9,1)</f>
        <v>8280</v>
      </c>
      <c r="C144" s="226">
        <v>0</v>
      </c>
      <c r="D144" s="226">
        <v>0</v>
      </c>
      <c r="E144" s="226">
        <v>0</v>
      </c>
      <c r="F144" s="166">
        <v>0</v>
      </c>
      <c r="G144" s="241">
        <v>0</v>
      </c>
      <c r="H144" s="242">
        <v>0</v>
      </c>
    </row>
    <row r="145" spans="1:8" ht="15">
      <c r="A145" s="164"/>
      <c r="B145" s="165">
        <f>DATE(22,10,1)</f>
        <v>8310</v>
      </c>
      <c r="C145" s="226">
        <v>0</v>
      </c>
      <c r="D145" s="226">
        <v>0</v>
      </c>
      <c r="E145" s="226">
        <v>0</v>
      </c>
      <c r="F145" s="166">
        <v>0</v>
      </c>
      <c r="G145" s="241">
        <v>0</v>
      </c>
      <c r="H145" s="242">
        <v>0</v>
      </c>
    </row>
    <row r="146" spans="1:8" ht="15">
      <c r="A146" s="164"/>
      <c r="B146" s="165">
        <f>DATE(22,11,1)</f>
        <v>8341</v>
      </c>
      <c r="C146" s="226">
        <v>0</v>
      </c>
      <c r="D146" s="226">
        <v>0</v>
      </c>
      <c r="E146" s="226">
        <v>0</v>
      </c>
      <c r="F146" s="166">
        <v>0</v>
      </c>
      <c r="G146" s="241">
        <v>0</v>
      </c>
      <c r="H146" s="242">
        <v>0</v>
      </c>
    </row>
    <row r="147" spans="1:8" ht="15">
      <c r="A147" s="164"/>
      <c r="B147" s="165">
        <f>DATE(22,12,1)</f>
        <v>8371</v>
      </c>
      <c r="C147" s="226">
        <v>0</v>
      </c>
      <c r="D147" s="226">
        <v>0</v>
      </c>
      <c r="E147" s="226">
        <v>0</v>
      </c>
      <c r="F147" s="166">
        <v>0</v>
      </c>
      <c r="G147" s="241">
        <v>0</v>
      </c>
      <c r="H147" s="242">
        <v>0</v>
      </c>
    </row>
    <row r="148" spans="1:8" ht="15">
      <c r="A148" s="164"/>
      <c r="B148" s="165">
        <f>DATE(23,1,1)</f>
        <v>8402</v>
      </c>
      <c r="C148" s="226">
        <v>0</v>
      </c>
      <c r="D148" s="226">
        <v>0</v>
      </c>
      <c r="E148" s="226">
        <v>0</v>
      </c>
      <c r="F148" s="166">
        <v>0</v>
      </c>
      <c r="G148" s="241">
        <v>0</v>
      </c>
      <c r="H148" s="242">
        <v>0</v>
      </c>
    </row>
    <row r="149" spans="1:8" ht="15">
      <c r="A149" s="164"/>
      <c r="B149" s="165">
        <f>DATE(23,2,1)</f>
        <v>8433</v>
      </c>
      <c r="C149" s="226">
        <v>0</v>
      </c>
      <c r="D149" s="226">
        <v>0</v>
      </c>
      <c r="E149" s="226">
        <v>0</v>
      </c>
      <c r="F149" s="166">
        <v>0</v>
      </c>
      <c r="G149" s="241">
        <v>0</v>
      </c>
      <c r="H149" s="242">
        <v>0</v>
      </c>
    </row>
    <row r="150" spans="1:8" ht="15" thickBot="1">
      <c r="A150" s="167"/>
      <c r="B150" s="168"/>
      <c r="C150" s="226"/>
      <c r="D150" s="226"/>
      <c r="E150" s="226"/>
      <c r="F150" s="166"/>
      <c r="G150" s="241"/>
      <c r="H150" s="242"/>
    </row>
    <row r="151" spans="1:8" ht="16.5" thickBot="1" thickTop="1">
      <c r="A151" s="169" t="s">
        <v>14</v>
      </c>
      <c r="B151" s="155"/>
      <c r="C151" s="223">
        <f>SUM(C142:C150)</f>
        <v>0</v>
      </c>
      <c r="D151" s="223">
        <f>SUM(D142:D150)</f>
        <v>0</v>
      </c>
      <c r="E151" s="223">
        <f>SUM(E142:E150)</f>
        <v>0</v>
      </c>
      <c r="F151" s="176">
        <v>0</v>
      </c>
      <c r="G151" s="245">
        <v>0</v>
      </c>
      <c r="H151" s="246">
        <v>0</v>
      </c>
    </row>
    <row r="152" spans="1:8" ht="15.75" thickBot="1" thickTop="1">
      <c r="A152" s="171"/>
      <c r="B152" s="172"/>
      <c r="C152" s="227"/>
      <c r="D152" s="227"/>
      <c r="E152" s="227"/>
      <c r="F152" s="173"/>
      <c r="G152" s="243"/>
      <c r="H152" s="244"/>
    </row>
    <row r="153" spans="1:8" ht="16.5" thickBot="1" thickTop="1">
      <c r="A153" s="184" t="s">
        <v>38</v>
      </c>
      <c r="B153" s="155"/>
      <c r="C153" s="223">
        <f>C151+C140+C107+C85+C63+C41+C19+C52+C129+C30+C96+C118+C74</f>
        <v>65012586.85</v>
      </c>
      <c r="D153" s="223">
        <f>D151+D140+D107+D85+D63+D41+D19+D52+D129+D30+D96+D118+D74</f>
        <v>2925054.46</v>
      </c>
      <c r="E153" s="223">
        <f>E151+E140+E107+E85+E63+E41+E19+E52+E129+E30+E96+E118+E74</f>
        <v>2054623.38</v>
      </c>
      <c r="F153" s="176">
        <f>+(D153-E153)/E153</f>
        <v>0.42364507698729686</v>
      </c>
      <c r="G153" s="236">
        <f>D153/C153</f>
        <v>0.04499212539794515</v>
      </c>
      <c r="H153" s="237">
        <f>1-G153</f>
        <v>0.9550078746020548</v>
      </c>
    </row>
    <row r="154" spans="1:8" ht="16.5" thickBot="1" thickTop="1">
      <c r="A154" s="184"/>
      <c r="B154" s="155"/>
      <c r="C154" s="223"/>
      <c r="D154" s="223"/>
      <c r="E154" s="223"/>
      <c r="F154" s="170"/>
      <c r="G154" s="236"/>
      <c r="H154" s="237"/>
    </row>
    <row r="155" spans="1:8" ht="16.5" thickBot="1" thickTop="1">
      <c r="A155" s="184" t="s">
        <v>39</v>
      </c>
      <c r="B155" s="155"/>
      <c r="C155" s="223">
        <f>+C17+C28+C39+C50+C61+C72+C83+C94+C105+C116+C127+C138+C149</f>
        <v>4393515.5</v>
      </c>
      <c r="D155" s="223">
        <f>+D17+D28+D39+D50+D61+D72+D83+D94+D105+D116+D127+D138+D149</f>
        <v>159252.82</v>
      </c>
      <c r="E155" s="223">
        <f>+E17+E28+E39+E50+E61+E72+E83+E94+E105+E116+E127+E138+E149</f>
        <v>418314.81000000006</v>
      </c>
      <c r="F155" s="176">
        <f>+(D155-E155)/E155</f>
        <v>-0.6192991111168166</v>
      </c>
      <c r="G155" s="236">
        <f>D155/C155</f>
        <v>0.03624724210031807</v>
      </c>
      <c r="H155" s="246">
        <f>1-G155</f>
        <v>0.963752757899682</v>
      </c>
    </row>
    <row r="156" spans="1:8" ht="15.75" thickTop="1">
      <c r="A156" s="185"/>
      <c r="B156" s="186"/>
      <c r="C156" s="231"/>
      <c r="D156" s="231"/>
      <c r="E156" s="231"/>
      <c r="F156" s="187"/>
      <c r="G156" s="250"/>
      <c r="H156" s="250"/>
    </row>
    <row r="157" spans="1:8" ht="17.25">
      <c r="A157" s="188" t="s">
        <v>49</v>
      </c>
      <c r="B157" s="189"/>
      <c r="C157" s="232"/>
      <c r="D157" s="232"/>
      <c r="E157" s="232"/>
      <c r="F157" s="190"/>
      <c r="G157" s="251"/>
      <c r="H157" s="251"/>
    </row>
    <row r="158" spans="1:8" ht="15">
      <c r="A158" s="191"/>
      <c r="B158" s="189"/>
      <c r="C158" s="232"/>
      <c r="D158" s="232"/>
      <c r="E158" s="232"/>
      <c r="F158" s="190"/>
      <c r="G158" s="257"/>
      <c r="H158" s="257"/>
    </row>
  </sheetData>
  <sheetProtection/>
  <printOptions horizontalCentered="1"/>
  <pageMargins left="0.7" right="0.45" top="0.25" bottom="0.25" header="0.3" footer="0.3"/>
  <pageSetup horizontalDpi="600" verticalDpi="600" orientation="landscape" scale="63" r:id="rId1"/>
  <rowBreaks count="3" manualBreakCount="3">
    <brk id="52" max="255" man="1"/>
    <brk id="96" max="255" man="1"/>
    <brk id="1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59"/>
  <sheetViews>
    <sheetView showOutlineSymbols="0" zoomScalePageLayoutView="0" workbookViewId="0" topLeftCell="A1">
      <selection activeCell="A6" sqref="A6"/>
    </sheetView>
  </sheetViews>
  <sheetFormatPr defaultColWidth="9.6640625" defaultRowHeight="15"/>
  <cols>
    <col min="1" max="1" width="27.6640625" style="152" customWidth="1"/>
    <col min="2" max="2" width="9.6640625" style="152" customWidth="1"/>
    <col min="3" max="3" width="18.3359375" style="233" customWidth="1"/>
    <col min="4" max="4" width="16.44531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796875" style="152" customWidth="1"/>
    <col min="10" max="16384" width="9.6640625" style="152" customWidth="1"/>
  </cols>
  <sheetData>
    <row r="1" spans="1:9" ht="17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7.25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7.25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7.25">
      <c r="A4" s="285" t="s">
        <v>78</v>
      </c>
      <c r="B4" s="150"/>
      <c r="C4" s="222"/>
      <c r="D4" s="222"/>
      <c r="E4" s="222"/>
      <c r="F4" s="150"/>
      <c r="G4" s="234"/>
      <c r="H4" s="234"/>
      <c r="I4" s="151"/>
    </row>
    <row r="5" spans="1:9" ht="15">
      <c r="A5" s="286" t="s">
        <v>73</v>
      </c>
      <c r="B5" s="150"/>
      <c r="C5" s="222"/>
      <c r="D5" s="222"/>
      <c r="E5" s="222"/>
      <c r="F5" s="150"/>
      <c r="G5" s="234"/>
      <c r="H5" s="234"/>
      <c r="I5" s="151"/>
    </row>
    <row r="6" spans="1:9" ht="15.75" thickBot="1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5.75" thickTop="1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5.75" thickBot="1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">
      <c r="A10" s="164" t="s">
        <v>36</v>
      </c>
      <c r="B10" s="165">
        <f>DATE(22,7,1)</f>
        <v>8218</v>
      </c>
      <c r="C10" s="226">
        <v>134715868.37</v>
      </c>
      <c r="D10" s="226">
        <v>12857023.68</v>
      </c>
      <c r="E10" s="226">
        <v>13537622.55</v>
      </c>
      <c r="F10" s="166">
        <f aca="true" t="shared" si="0" ref="F10:F17">(+D10-E10)/E10</f>
        <v>-0.050274622998703784</v>
      </c>
      <c r="G10" s="241">
        <f aca="true" t="shared" si="1" ref="G10:G17">D10/C10</f>
        <v>0.09543807894024711</v>
      </c>
      <c r="H10" s="242">
        <f aca="true" t="shared" si="2" ref="H10:H17">1-G10</f>
        <v>0.9045619210597529</v>
      </c>
      <c r="I10" s="157"/>
    </row>
    <row r="11" spans="1:9" ht="15">
      <c r="A11" s="164"/>
      <c r="B11" s="165">
        <f>DATE(22,8,1)</f>
        <v>8249</v>
      </c>
      <c r="C11" s="226">
        <v>124862515.53</v>
      </c>
      <c r="D11" s="226">
        <v>11827521.81</v>
      </c>
      <c r="E11" s="226">
        <v>12571995.62</v>
      </c>
      <c r="F11" s="166">
        <f t="shared" si="0"/>
        <v>-0.05921683657093087</v>
      </c>
      <c r="G11" s="241">
        <f t="shared" si="1"/>
        <v>0.09472435950690317</v>
      </c>
      <c r="H11" s="242">
        <f t="shared" si="2"/>
        <v>0.9052756404930968</v>
      </c>
      <c r="I11" s="157"/>
    </row>
    <row r="12" spans="1:9" ht="15">
      <c r="A12" s="164"/>
      <c r="B12" s="165">
        <f>DATE(22,9,1)</f>
        <v>8280</v>
      </c>
      <c r="C12" s="226">
        <v>120845603.62</v>
      </c>
      <c r="D12" s="226">
        <v>11779242.13</v>
      </c>
      <c r="E12" s="226">
        <v>11932276.22</v>
      </c>
      <c r="F12" s="166">
        <f t="shared" si="0"/>
        <v>-0.012825221875395023</v>
      </c>
      <c r="G12" s="241">
        <f t="shared" si="1"/>
        <v>0.09747348498535309</v>
      </c>
      <c r="H12" s="242">
        <f t="shared" si="2"/>
        <v>0.9025265150146469</v>
      </c>
      <c r="I12" s="157"/>
    </row>
    <row r="13" spans="1:9" ht="15">
      <c r="A13" s="164"/>
      <c r="B13" s="165">
        <f>DATE(22,10,1)</f>
        <v>8310</v>
      </c>
      <c r="C13" s="226">
        <v>122949186.61</v>
      </c>
      <c r="D13" s="226">
        <v>11839133.27</v>
      </c>
      <c r="E13" s="226">
        <v>12592302.91</v>
      </c>
      <c r="F13" s="166">
        <f t="shared" si="0"/>
        <v>-0.0598119061606977</v>
      </c>
      <c r="G13" s="241">
        <f t="shared" si="1"/>
        <v>0.09629289624789654</v>
      </c>
      <c r="H13" s="242">
        <f t="shared" si="2"/>
        <v>0.9037071037521035</v>
      </c>
      <c r="I13" s="157"/>
    </row>
    <row r="14" spans="1:9" ht="15">
      <c r="A14" s="164"/>
      <c r="B14" s="165">
        <f>DATE(22,11,1)</f>
        <v>8341</v>
      </c>
      <c r="C14" s="226">
        <v>116767090.33</v>
      </c>
      <c r="D14" s="226">
        <v>10518258.62</v>
      </c>
      <c r="E14" s="226">
        <v>11228260.11</v>
      </c>
      <c r="F14" s="166">
        <f t="shared" si="0"/>
        <v>-0.06323343804332301</v>
      </c>
      <c r="G14" s="241">
        <f t="shared" si="1"/>
        <v>0.09007896480313024</v>
      </c>
      <c r="H14" s="242">
        <f t="shared" si="2"/>
        <v>0.9099210351968697</v>
      </c>
      <c r="I14" s="157"/>
    </row>
    <row r="15" spans="1:9" ht="15">
      <c r="A15" s="164"/>
      <c r="B15" s="165">
        <f>DATE(22,12,1)</f>
        <v>8371</v>
      </c>
      <c r="C15" s="226">
        <v>124025911.41</v>
      </c>
      <c r="D15" s="226">
        <v>11200076.72</v>
      </c>
      <c r="E15" s="226">
        <v>12242955.61</v>
      </c>
      <c r="F15" s="166">
        <f t="shared" si="0"/>
        <v>-0.08518195468651207</v>
      </c>
      <c r="G15" s="241">
        <f t="shared" si="1"/>
        <v>0.09030432909277503</v>
      </c>
      <c r="H15" s="242">
        <f t="shared" si="2"/>
        <v>0.909695670907225</v>
      </c>
      <c r="I15" s="157"/>
    </row>
    <row r="16" spans="1:9" ht="15">
      <c r="A16" s="164"/>
      <c r="B16" s="165">
        <f>DATE(23,1,1)</f>
        <v>8402</v>
      </c>
      <c r="C16" s="226">
        <v>125379167.7</v>
      </c>
      <c r="D16" s="226">
        <v>11398304.84</v>
      </c>
      <c r="E16" s="226">
        <v>10440396.67</v>
      </c>
      <c r="F16" s="166">
        <f t="shared" si="0"/>
        <v>0.09175017006322231</v>
      </c>
      <c r="G16" s="241">
        <f t="shared" si="1"/>
        <v>0.0909106755858613</v>
      </c>
      <c r="H16" s="242">
        <f t="shared" si="2"/>
        <v>0.9090893244141387</v>
      </c>
      <c r="I16" s="157"/>
    </row>
    <row r="17" spans="1:9" ht="15">
      <c r="A17" s="164"/>
      <c r="B17" s="165">
        <f>DATE(23,2,1)</f>
        <v>8433</v>
      </c>
      <c r="C17" s="226">
        <v>121609968.19</v>
      </c>
      <c r="D17" s="226">
        <v>11480835.57</v>
      </c>
      <c r="E17" s="226">
        <v>11511927.22</v>
      </c>
      <c r="F17" s="166">
        <f t="shared" si="0"/>
        <v>-0.0027008205842357965</v>
      </c>
      <c r="G17" s="241">
        <f t="shared" si="1"/>
        <v>0.09440702716131515</v>
      </c>
      <c r="H17" s="242">
        <f t="shared" si="2"/>
        <v>0.9055929728386849</v>
      </c>
      <c r="I17" s="157"/>
    </row>
    <row r="18" spans="1:9" ht="15" thickBot="1">
      <c r="A18" s="167"/>
      <c r="B18" s="168"/>
      <c r="C18" s="226"/>
      <c r="D18" s="226"/>
      <c r="E18" s="226"/>
      <c r="F18" s="166"/>
      <c r="G18" s="241"/>
      <c r="H18" s="242"/>
      <c r="I18" s="157"/>
    </row>
    <row r="19" spans="1:9" ht="16.5" thickBot="1" thickTop="1">
      <c r="A19" s="169" t="s">
        <v>14</v>
      </c>
      <c r="B19" s="155"/>
      <c r="C19" s="223">
        <f>SUM(C10:C18)</f>
        <v>991155311.76</v>
      </c>
      <c r="D19" s="223">
        <f>SUM(D10:D18)</f>
        <v>92900396.64000002</v>
      </c>
      <c r="E19" s="223">
        <f>SUM(E10:E18)</f>
        <v>96057736.91</v>
      </c>
      <c r="F19" s="170">
        <f>(+D19-E19)/E19</f>
        <v>-0.032869192753918496</v>
      </c>
      <c r="G19" s="236">
        <f>D19/C19</f>
        <v>0.09372940399727694</v>
      </c>
      <c r="H19" s="237">
        <f>1-G19</f>
        <v>0.9062705960027231</v>
      </c>
      <c r="I19" s="157"/>
    </row>
    <row r="20" spans="1:9" ht="15" thickTop="1">
      <c r="A20" s="171"/>
      <c r="B20" s="172"/>
      <c r="C20" s="227"/>
      <c r="D20" s="227"/>
      <c r="E20" s="227"/>
      <c r="F20" s="173"/>
      <c r="G20" s="243"/>
      <c r="H20" s="244"/>
      <c r="I20" s="157"/>
    </row>
    <row r="21" spans="1:9" ht="15">
      <c r="A21" s="19" t="s">
        <v>48</v>
      </c>
      <c r="B21" s="165">
        <f>DATE(22,7,1)</f>
        <v>8218</v>
      </c>
      <c r="C21" s="226">
        <v>76496067.98</v>
      </c>
      <c r="D21" s="226">
        <v>7757914.71</v>
      </c>
      <c r="E21" s="226">
        <v>7305624.15</v>
      </c>
      <c r="F21" s="166">
        <f aca="true" t="shared" si="3" ref="F21:F28">(+D21-E21)/E21</f>
        <v>0.06190991361087191</v>
      </c>
      <c r="G21" s="241">
        <f aca="true" t="shared" si="4" ref="G21:G28">D21/C21</f>
        <v>0.10141586247319688</v>
      </c>
      <c r="H21" s="242">
        <f aca="true" t="shared" si="5" ref="H21:H28">1-G21</f>
        <v>0.8985841375268031</v>
      </c>
      <c r="I21" s="157"/>
    </row>
    <row r="22" spans="1:9" ht="15">
      <c r="A22" s="19"/>
      <c r="B22" s="165">
        <f>DATE(22,8,1)</f>
        <v>8249</v>
      </c>
      <c r="C22" s="226">
        <v>71699704.19</v>
      </c>
      <c r="D22" s="226">
        <v>6870200.03</v>
      </c>
      <c r="E22" s="226">
        <v>6574172.11</v>
      </c>
      <c r="F22" s="166">
        <f t="shared" si="3"/>
        <v>0.04502892760439153</v>
      </c>
      <c r="G22" s="241">
        <f t="shared" si="4"/>
        <v>0.09581908471748188</v>
      </c>
      <c r="H22" s="242">
        <f t="shared" si="5"/>
        <v>0.9041809152825181</v>
      </c>
      <c r="I22" s="157"/>
    </row>
    <row r="23" spans="1:9" ht="15">
      <c r="A23" s="19"/>
      <c r="B23" s="165">
        <f>DATE(22,9,1)</f>
        <v>8280</v>
      </c>
      <c r="C23" s="226">
        <v>72118161.13</v>
      </c>
      <c r="D23" s="226">
        <v>7013550.54</v>
      </c>
      <c r="E23" s="226">
        <v>6771046.11</v>
      </c>
      <c r="F23" s="166">
        <f t="shared" si="3"/>
        <v>0.03581491339157336</v>
      </c>
      <c r="G23" s="241">
        <f t="shared" si="4"/>
        <v>0.09725082323379534</v>
      </c>
      <c r="H23" s="242">
        <f t="shared" si="5"/>
        <v>0.9027491767662047</v>
      </c>
      <c r="I23" s="157"/>
    </row>
    <row r="24" spans="1:9" ht="15">
      <c r="A24" s="19"/>
      <c r="B24" s="165">
        <f>DATE(22,10,1)</f>
        <v>8310</v>
      </c>
      <c r="C24" s="226">
        <v>69505120.64</v>
      </c>
      <c r="D24" s="226">
        <v>6793373.34</v>
      </c>
      <c r="E24" s="226">
        <v>7189129.76</v>
      </c>
      <c r="F24" s="166">
        <f t="shared" si="3"/>
        <v>-0.05504928040135972</v>
      </c>
      <c r="G24" s="241">
        <f t="shared" si="4"/>
        <v>0.09773917773894823</v>
      </c>
      <c r="H24" s="242">
        <f t="shared" si="5"/>
        <v>0.9022608222610518</v>
      </c>
      <c r="I24" s="157"/>
    </row>
    <row r="25" spans="1:9" ht="15">
      <c r="A25" s="19"/>
      <c r="B25" s="165">
        <f>DATE(22,11,1)</f>
        <v>8341</v>
      </c>
      <c r="C25" s="226">
        <v>63859122.32</v>
      </c>
      <c r="D25" s="226">
        <v>6317939.56</v>
      </c>
      <c r="E25" s="226">
        <v>6088324.14</v>
      </c>
      <c r="F25" s="166">
        <f t="shared" si="3"/>
        <v>0.037714059685396435</v>
      </c>
      <c r="G25" s="241">
        <f t="shared" si="4"/>
        <v>0.09893558399284934</v>
      </c>
      <c r="H25" s="242">
        <f t="shared" si="5"/>
        <v>0.9010644160071507</v>
      </c>
      <c r="I25" s="157"/>
    </row>
    <row r="26" spans="1:9" ht="15">
      <c r="A26" s="19"/>
      <c r="B26" s="165">
        <f>DATE(22,12,1)</f>
        <v>8371</v>
      </c>
      <c r="C26" s="226">
        <v>67796886.08</v>
      </c>
      <c r="D26" s="226">
        <v>6662914.52</v>
      </c>
      <c r="E26" s="226">
        <v>6682194.9</v>
      </c>
      <c r="F26" s="166">
        <f t="shared" si="3"/>
        <v>-0.0028853363735321185</v>
      </c>
      <c r="G26" s="241">
        <f t="shared" si="4"/>
        <v>0.09827758921166073</v>
      </c>
      <c r="H26" s="242">
        <f t="shared" si="5"/>
        <v>0.9017224107883393</v>
      </c>
      <c r="I26" s="157"/>
    </row>
    <row r="27" spans="1:9" ht="15">
      <c r="A27" s="19"/>
      <c r="B27" s="165">
        <f>DATE(23,1,1)</f>
        <v>8402</v>
      </c>
      <c r="C27" s="226">
        <v>64800171.4</v>
      </c>
      <c r="D27" s="226">
        <v>6582615.02</v>
      </c>
      <c r="E27" s="226">
        <v>5978134.69</v>
      </c>
      <c r="F27" s="166">
        <f t="shared" si="3"/>
        <v>0.10111520755983487</v>
      </c>
      <c r="G27" s="241">
        <f t="shared" si="4"/>
        <v>0.10158329642936716</v>
      </c>
      <c r="H27" s="242">
        <f t="shared" si="5"/>
        <v>0.8984167035706329</v>
      </c>
      <c r="I27" s="157"/>
    </row>
    <row r="28" spans="1:9" ht="15">
      <c r="A28" s="19"/>
      <c r="B28" s="165">
        <f>DATE(23,2,1)</f>
        <v>8433</v>
      </c>
      <c r="C28" s="226">
        <v>69503787.55</v>
      </c>
      <c r="D28" s="226">
        <v>7086159.27</v>
      </c>
      <c r="E28" s="226">
        <v>6104570.21</v>
      </c>
      <c r="F28" s="166">
        <f t="shared" si="3"/>
        <v>0.16079576878189425</v>
      </c>
      <c r="G28" s="241">
        <f t="shared" si="4"/>
        <v>0.10195357001087633</v>
      </c>
      <c r="H28" s="242">
        <f t="shared" si="5"/>
        <v>0.8980464299891237</v>
      </c>
      <c r="I28" s="157"/>
    </row>
    <row r="29" spans="1:9" ht="15" thickBot="1">
      <c r="A29" s="167"/>
      <c r="B29" s="165"/>
      <c r="C29" s="226"/>
      <c r="D29" s="226"/>
      <c r="E29" s="226"/>
      <c r="F29" s="166"/>
      <c r="G29" s="241"/>
      <c r="H29" s="242"/>
      <c r="I29" s="157"/>
    </row>
    <row r="30" spans="1:9" ht="16.5" thickBot="1" thickTop="1">
      <c r="A30" s="169" t="s">
        <v>14</v>
      </c>
      <c r="B30" s="155"/>
      <c r="C30" s="223">
        <f>SUM(C21:C29)</f>
        <v>555779021.29</v>
      </c>
      <c r="D30" s="223">
        <f>SUM(D21:D29)</f>
        <v>55084666.989999995</v>
      </c>
      <c r="E30" s="223">
        <f>SUM(E21:E29)</f>
        <v>52693196.07</v>
      </c>
      <c r="F30" s="170">
        <f>(+D30-E30)/E30</f>
        <v>0.04538481432826844</v>
      </c>
      <c r="G30" s="236">
        <f>D30/C30</f>
        <v>0.09911253372274619</v>
      </c>
      <c r="H30" s="237">
        <f>1-G30</f>
        <v>0.9008874662772538</v>
      </c>
      <c r="I30" s="157"/>
    </row>
    <row r="31" spans="1:9" ht="15" thickTop="1">
      <c r="A31" s="171"/>
      <c r="B31" s="172"/>
      <c r="C31" s="227"/>
      <c r="D31" s="227"/>
      <c r="E31" s="227"/>
      <c r="F31" s="173"/>
      <c r="G31" s="243"/>
      <c r="H31" s="244"/>
      <c r="I31" s="157"/>
    </row>
    <row r="32" spans="1:9" ht="15">
      <c r="A32" s="19" t="s">
        <v>62</v>
      </c>
      <c r="B32" s="165">
        <f>DATE(22,7,1)</f>
        <v>8218</v>
      </c>
      <c r="C32" s="226">
        <v>35430502.56</v>
      </c>
      <c r="D32" s="226">
        <v>3537425.2</v>
      </c>
      <c r="E32" s="226">
        <v>4179858.95</v>
      </c>
      <c r="F32" s="166">
        <f aca="true" t="shared" si="6" ref="F32:F39">(+D32-E32)/E32</f>
        <v>-0.1536974710594002</v>
      </c>
      <c r="G32" s="241">
        <f aca="true" t="shared" si="7" ref="G32:G39">D32/C32</f>
        <v>0.09984123691188194</v>
      </c>
      <c r="H32" s="242">
        <f aca="true" t="shared" si="8" ref="H32:H39">1-G32</f>
        <v>0.900158763088118</v>
      </c>
      <c r="I32" s="157"/>
    </row>
    <row r="33" spans="1:9" ht="15">
      <c r="A33" s="19"/>
      <c r="B33" s="165">
        <f>DATE(22,8,1)</f>
        <v>8249</v>
      </c>
      <c r="C33" s="226">
        <v>31830509.12</v>
      </c>
      <c r="D33" s="226">
        <v>3224518.01</v>
      </c>
      <c r="E33" s="226">
        <v>3554355.99</v>
      </c>
      <c r="F33" s="166">
        <f t="shared" si="6"/>
        <v>-0.09279823994219567</v>
      </c>
      <c r="G33" s="241">
        <f t="shared" si="7"/>
        <v>0.1013027469288559</v>
      </c>
      <c r="H33" s="242">
        <f t="shared" si="8"/>
        <v>0.8986972530711441</v>
      </c>
      <c r="I33" s="157"/>
    </row>
    <row r="34" spans="1:9" ht="15">
      <c r="A34" s="19"/>
      <c r="B34" s="165">
        <f>DATE(22,9,1)</f>
        <v>8280</v>
      </c>
      <c r="C34" s="226">
        <v>31336078.07</v>
      </c>
      <c r="D34" s="226">
        <v>3285954.25</v>
      </c>
      <c r="E34" s="226">
        <v>3815155.29</v>
      </c>
      <c r="F34" s="166">
        <f t="shared" si="6"/>
        <v>-0.13871022272333247</v>
      </c>
      <c r="G34" s="241">
        <f t="shared" si="7"/>
        <v>0.10486169464665238</v>
      </c>
      <c r="H34" s="242">
        <f t="shared" si="8"/>
        <v>0.8951383053533476</v>
      </c>
      <c r="I34" s="157"/>
    </row>
    <row r="35" spans="1:9" ht="15">
      <c r="A35" s="19"/>
      <c r="B35" s="165">
        <f>DATE(22,10,1)</f>
        <v>8310</v>
      </c>
      <c r="C35" s="226">
        <v>31389480.81</v>
      </c>
      <c r="D35" s="226">
        <v>3155435.74</v>
      </c>
      <c r="E35" s="226">
        <v>3758784.61</v>
      </c>
      <c r="F35" s="166">
        <f t="shared" si="6"/>
        <v>-0.1605170108430341</v>
      </c>
      <c r="G35" s="241">
        <f t="shared" si="7"/>
        <v>0.10052526064702376</v>
      </c>
      <c r="H35" s="242">
        <f t="shared" si="8"/>
        <v>0.8994747393529763</v>
      </c>
      <c r="I35" s="157"/>
    </row>
    <row r="36" spans="1:9" ht="15">
      <c r="A36" s="19"/>
      <c r="B36" s="165">
        <f>DATE(22,11,1)</f>
        <v>8341</v>
      </c>
      <c r="C36" s="226">
        <v>26208826.05</v>
      </c>
      <c r="D36" s="226">
        <v>2805588.39</v>
      </c>
      <c r="E36" s="226">
        <v>3347078.48</v>
      </c>
      <c r="F36" s="166">
        <f t="shared" si="6"/>
        <v>-0.16177992037999656</v>
      </c>
      <c r="G36" s="241">
        <f t="shared" si="7"/>
        <v>0.10704746502753029</v>
      </c>
      <c r="H36" s="242">
        <f t="shared" si="8"/>
        <v>0.8929525349724697</v>
      </c>
      <c r="I36" s="157"/>
    </row>
    <row r="37" spans="1:9" ht="15">
      <c r="A37" s="19"/>
      <c r="B37" s="165">
        <f>DATE(22,12,1)</f>
        <v>8371</v>
      </c>
      <c r="C37" s="226">
        <v>26575799.63</v>
      </c>
      <c r="D37" s="226">
        <v>2840105.54</v>
      </c>
      <c r="E37" s="226">
        <v>3599731.36</v>
      </c>
      <c r="F37" s="166">
        <f t="shared" si="6"/>
        <v>-0.2110229192213943</v>
      </c>
      <c r="G37" s="241">
        <f t="shared" si="7"/>
        <v>0.10686811232554436</v>
      </c>
      <c r="H37" s="242">
        <f t="shared" si="8"/>
        <v>0.8931318876744556</v>
      </c>
      <c r="I37" s="157"/>
    </row>
    <row r="38" spans="1:9" ht="15">
      <c r="A38" s="19"/>
      <c r="B38" s="165">
        <f>DATE(23,1,1)</f>
        <v>8402</v>
      </c>
      <c r="C38" s="226">
        <v>31328848.89</v>
      </c>
      <c r="D38" s="226">
        <v>3252604.7</v>
      </c>
      <c r="E38" s="226">
        <v>3120845.46</v>
      </c>
      <c r="F38" s="166">
        <f t="shared" si="6"/>
        <v>0.042219085080874276</v>
      </c>
      <c r="G38" s="241">
        <f t="shared" si="7"/>
        <v>0.10382139195156366</v>
      </c>
      <c r="H38" s="242">
        <f t="shared" si="8"/>
        <v>0.8961786080484363</v>
      </c>
      <c r="I38" s="157"/>
    </row>
    <row r="39" spans="1:9" ht="15">
      <c r="A39" s="19"/>
      <c r="B39" s="165">
        <f>DATE(23,2,1)</f>
        <v>8433</v>
      </c>
      <c r="C39" s="226">
        <v>34355286.02</v>
      </c>
      <c r="D39" s="226">
        <v>3625007.51</v>
      </c>
      <c r="E39" s="226">
        <v>3529009.1</v>
      </c>
      <c r="F39" s="166">
        <f t="shared" si="6"/>
        <v>0.027202653005343535</v>
      </c>
      <c r="G39" s="241">
        <f t="shared" si="7"/>
        <v>0.10551527668521501</v>
      </c>
      <c r="H39" s="242">
        <f t="shared" si="8"/>
        <v>0.894484723314785</v>
      </c>
      <c r="I39" s="157"/>
    </row>
    <row r="40" spans="1:9" ht="15" thickBot="1">
      <c r="A40" s="167"/>
      <c r="B40" s="165"/>
      <c r="C40" s="226"/>
      <c r="D40" s="226"/>
      <c r="E40" s="226"/>
      <c r="F40" s="166"/>
      <c r="G40" s="241"/>
      <c r="H40" s="242"/>
      <c r="I40" s="157"/>
    </row>
    <row r="41" spans="1:9" ht="16.5" thickBot="1" thickTop="1">
      <c r="A41" s="174" t="s">
        <v>14</v>
      </c>
      <c r="B41" s="175"/>
      <c r="C41" s="228">
        <f>SUM(C32:C40)</f>
        <v>248455331.15</v>
      </c>
      <c r="D41" s="228">
        <f>SUM(D32:D40)</f>
        <v>25726639.340000004</v>
      </c>
      <c r="E41" s="228">
        <f>SUM(E32:E40)</f>
        <v>28904819.240000002</v>
      </c>
      <c r="F41" s="176">
        <f>(+D41-E41)/E41</f>
        <v>-0.10995328749891875</v>
      </c>
      <c r="G41" s="245">
        <f>D41/C41</f>
        <v>0.10354633656247872</v>
      </c>
      <c r="H41" s="246">
        <f>1-G41</f>
        <v>0.8964536634375213</v>
      </c>
      <c r="I41" s="157"/>
    </row>
    <row r="42" spans="1:9" ht="15" thickTop="1">
      <c r="A42" s="167"/>
      <c r="B42" s="168"/>
      <c r="C42" s="226"/>
      <c r="D42" s="226"/>
      <c r="E42" s="226"/>
      <c r="F42" s="166"/>
      <c r="G42" s="241"/>
      <c r="H42" s="242"/>
      <c r="I42" s="157"/>
    </row>
    <row r="43" spans="1:9" ht="15">
      <c r="A43" s="177" t="s">
        <v>58</v>
      </c>
      <c r="B43" s="165">
        <f>DATE(22,7,1)</f>
        <v>8218</v>
      </c>
      <c r="C43" s="226">
        <v>201538093.35</v>
      </c>
      <c r="D43" s="226">
        <v>17880290.2</v>
      </c>
      <c r="E43" s="226">
        <v>16788708.57</v>
      </c>
      <c r="F43" s="166">
        <f aca="true" t="shared" si="9" ref="F43:F50">(+D43-E43)/E43</f>
        <v>0.06501879673762179</v>
      </c>
      <c r="G43" s="241">
        <f aca="true" t="shared" si="10" ref="G43:G50">D43/C43</f>
        <v>0.08871915925565642</v>
      </c>
      <c r="H43" s="242">
        <f aca="true" t="shared" si="11" ref="H43:H50">1-G43</f>
        <v>0.9112808407443436</v>
      </c>
      <c r="I43" s="157"/>
    </row>
    <row r="44" spans="1:9" ht="15">
      <c r="A44" s="177"/>
      <c r="B44" s="165">
        <f>DATE(22,8,1)</f>
        <v>8249</v>
      </c>
      <c r="C44" s="226">
        <v>184867734.87</v>
      </c>
      <c r="D44" s="226">
        <v>17060867.38</v>
      </c>
      <c r="E44" s="226">
        <v>15228470.93</v>
      </c>
      <c r="F44" s="166">
        <f t="shared" si="9"/>
        <v>0.12032701499860954</v>
      </c>
      <c r="G44" s="241">
        <f t="shared" si="10"/>
        <v>0.09228688495587017</v>
      </c>
      <c r="H44" s="242">
        <f t="shared" si="11"/>
        <v>0.9077131150441298</v>
      </c>
      <c r="I44" s="157"/>
    </row>
    <row r="45" spans="1:9" ht="15">
      <c r="A45" s="177"/>
      <c r="B45" s="165">
        <f>DATE(22,9,1)</f>
        <v>8280</v>
      </c>
      <c r="C45" s="226">
        <v>181026457.54</v>
      </c>
      <c r="D45" s="226">
        <v>17061917.54</v>
      </c>
      <c r="E45" s="226">
        <v>16699713.12</v>
      </c>
      <c r="F45" s="166">
        <f t="shared" si="9"/>
        <v>0.02168926001286901</v>
      </c>
      <c r="G45" s="241">
        <f t="shared" si="10"/>
        <v>0.09425096072616877</v>
      </c>
      <c r="H45" s="242">
        <f t="shared" si="11"/>
        <v>0.9057490392738312</v>
      </c>
      <c r="I45" s="157"/>
    </row>
    <row r="46" spans="1:9" ht="15">
      <c r="A46" s="177"/>
      <c r="B46" s="165">
        <f>DATE(22,10,1)</f>
        <v>8310</v>
      </c>
      <c r="C46" s="226">
        <v>173386132.73</v>
      </c>
      <c r="D46" s="226">
        <v>16341780.85</v>
      </c>
      <c r="E46" s="226">
        <v>16704308.95</v>
      </c>
      <c r="F46" s="166">
        <f t="shared" si="9"/>
        <v>-0.02170266971744435</v>
      </c>
      <c r="G46" s="241">
        <f t="shared" si="10"/>
        <v>0.09425079498974531</v>
      </c>
      <c r="H46" s="242">
        <f t="shared" si="11"/>
        <v>0.9057492050102547</v>
      </c>
      <c r="I46" s="157"/>
    </row>
    <row r="47" spans="1:9" ht="15">
      <c r="A47" s="177"/>
      <c r="B47" s="165">
        <f>DATE(22,11,1)</f>
        <v>8341</v>
      </c>
      <c r="C47" s="226">
        <v>167573650.07</v>
      </c>
      <c r="D47" s="226">
        <v>14923708.42</v>
      </c>
      <c r="E47" s="226">
        <v>15419780.21</v>
      </c>
      <c r="F47" s="166">
        <f t="shared" si="9"/>
        <v>-0.032171132353643384</v>
      </c>
      <c r="G47" s="241">
        <f t="shared" si="10"/>
        <v>0.08905760788623968</v>
      </c>
      <c r="H47" s="242">
        <f t="shared" si="11"/>
        <v>0.9109423921137603</v>
      </c>
      <c r="I47" s="157"/>
    </row>
    <row r="48" spans="1:9" ht="15">
      <c r="A48" s="177"/>
      <c r="B48" s="165">
        <f>DATE(22,12,1)</f>
        <v>8371</v>
      </c>
      <c r="C48" s="226">
        <v>179839316.61</v>
      </c>
      <c r="D48" s="226">
        <v>16991042.62</v>
      </c>
      <c r="E48" s="226">
        <v>17100191.72</v>
      </c>
      <c r="F48" s="166">
        <f t="shared" si="9"/>
        <v>-0.0063829167407719435</v>
      </c>
      <c r="G48" s="241">
        <f t="shared" si="10"/>
        <v>0.09447902127456823</v>
      </c>
      <c r="H48" s="242">
        <f t="shared" si="11"/>
        <v>0.9055209787254318</v>
      </c>
      <c r="I48" s="157"/>
    </row>
    <row r="49" spans="1:9" ht="15">
      <c r="A49" s="177"/>
      <c r="B49" s="165">
        <f>DATE(23,1,1)</f>
        <v>8402</v>
      </c>
      <c r="C49" s="226">
        <v>175026046.66</v>
      </c>
      <c r="D49" s="226">
        <v>15916443.26</v>
      </c>
      <c r="E49" s="226">
        <v>15681818.64</v>
      </c>
      <c r="F49" s="166">
        <f t="shared" si="9"/>
        <v>0.014961569533876408</v>
      </c>
      <c r="G49" s="241">
        <f t="shared" si="10"/>
        <v>0.09093756937171056</v>
      </c>
      <c r="H49" s="242">
        <f t="shared" si="11"/>
        <v>0.9090624306282894</v>
      </c>
      <c r="I49" s="157"/>
    </row>
    <row r="50" spans="1:9" ht="15">
      <c r="A50" s="177"/>
      <c r="B50" s="165">
        <f>DATE(23,2,1)</f>
        <v>8433</v>
      </c>
      <c r="C50" s="226">
        <v>183495112.37</v>
      </c>
      <c r="D50" s="226">
        <v>16968749.35</v>
      </c>
      <c r="E50" s="226">
        <v>15007235.04</v>
      </c>
      <c r="F50" s="166">
        <f t="shared" si="9"/>
        <v>0.13070457714374561</v>
      </c>
      <c r="G50" s="241">
        <f t="shared" si="10"/>
        <v>0.09247521163279909</v>
      </c>
      <c r="H50" s="242">
        <f t="shared" si="11"/>
        <v>0.9075247883672009</v>
      </c>
      <c r="I50" s="157"/>
    </row>
    <row r="51" spans="1:9" ht="15" thickBot="1">
      <c r="A51" s="167"/>
      <c r="B51" s="168"/>
      <c r="C51" s="226"/>
      <c r="D51" s="226"/>
      <c r="E51" s="226"/>
      <c r="F51" s="166"/>
      <c r="G51" s="241"/>
      <c r="H51" s="242"/>
      <c r="I51" s="157"/>
    </row>
    <row r="52" spans="1:9" ht="16.5" thickBot="1" thickTop="1">
      <c r="A52" s="174" t="s">
        <v>14</v>
      </c>
      <c r="B52" s="178"/>
      <c r="C52" s="228">
        <f>SUM(C43:C51)</f>
        <v>1446752544.2000003</v>
      </c>
      <c r="D52" s="228">
        <f>SUM(D43:D51)</f>
        <v>133144799.62</v>
      </c>
      <c r="E52" s="228">
        <f>SUM(E43:E51)</f>
        <v>128630227.18</v>
      </c>
      <c r="F52" s="176">
        <f>(+D52-E52)/E52</f>
        <v>0.03509729041901236</v>
      </c>
      <c r="G52" s="245">
        <f>D52/C52</f>
        <v>0.09203011265041464</v>
      </c>
      <c r="H52" s="246">
        <f>1-G52</f>
        <v>0.9079698873495854</v>
      </c>
      <c r="I52" s="157"/>
    </row>
    <row r="53" spans="1:9" ht="15" thickTop="1">
      <c r="A53" s="167"/>
      <c r="B53" s="168"/>
      <c r="C53" s="226"/>
      <c r="D53" s="226"/>
      <c r="E53" s="226"/>
      <c r="F53" s="166"/>
      <c r="G53" s="241"/>
      <c r="H53" s="242"/>
      <c r="I53" s="157"/>
    </row>
    <row r="54" spans="1:9" ht="15">
      <c r="A54" s="164" t="s">
        <v>60</v>
      </c>
      <c r="B54" s="165">
        <f>DATE(22,7,1)</f>
        <v>8218</v>
      </c>
      <c r="C54" s="226">
        <v>121501837.18</v>
      </c>
      <c r="D54" s="226">
        <v>11877741.56</v>
      </c>
      <c r="E54" s="226">
        <v>12735420.67</v>
      </c>
      <c r="F54" s="166">
        <f aca="true" t="shared" si="12" ref="F54:F61">(+D54-E54)/E54</f>
        <v>-0.0673459583490931</v>
      </c>
      <c r="G54" s="241">
        <f aca="true" t="shared" si="13" ref="G54:G61">D54/C54</f>
        <v>0.09775771161718001</v>
      </c>
      <c r="H54" s="242">
        <f aca="true" t="shared" si="14" ref="H54:H61">1-G54</f>
        <v>0.90224228838282</v>
      </c>
      <c r="I54" s="157"/>
    </row>
    <row r="55" spans="1:9" ht="15">
      <c r="A55" s="164"/>
      <c r="B55" s="165">
        <f>DATE(22,8,1)</f>
        <v>8249</v>
      </c>
      <c r="C55" s="226">
        <v>118750548.99</v>
      </c>
      <c r="D55" s="226">
        <v>11399779.33</v>
      </c>
      <c r="E55" s="226">
        <v>11645905.55</v>
      </c>
      <c r="F55" s="166">
        <f t="shared" si="12"/>
        <v>-0.02113414186155757</v>
      </c>
      <c r="G55" s="241">
        <f t="shared" si="13"/>
        <v>0.09599769792188478</v>
      </c>
      <c r="H55" s="242">
        <f t="shared" si="14"/>
        <v>0.9040023020781152</v>
      </c>
      <c r="I55" s="157"/>
    </row>
    <row r="56" spans="1:9" ht="15">
      <c r="A56" s="164"/>
      <c r="B56" s="165">
        <f>DATE(22,9,1)</f>
        <v>8280</v>
      </c>
      <c r="C56" s="226">
        <v>118393348.34</v>
      </c>
      <c r="D56" s="226">
        <v>10069352.81</v>
      </c>
      <c r="E56" s="226">
        <v>11184280.18</v>
      </c>
      <c r="F56" s="166">
        <f t="shared" si="12"/>
        <v>-0.09968700283400797</v>
      </c>
      <c r="G56" s="241">
        <f t="shared" si="13"/>
        <v>0.08504998761487009</v>
      </c>
      <c r="H56" s="242">
        <f t="shared" si="14"/>
        <v>0.91495001238513</v>
      </c>
      <c r="I56" s="157"/>
    </row>
    <row r="57" spans="1:9" ht="15">
      <c r="A57" s="164"/>
      <c r="B57" s="165">
        <f>DATE(22,10,1)</f>
        <v>8310</v>
      </c>
      <c r="C57" s="226">
        <v>113325190.2</v>
      </c>
      <c r="D57" s="226">
        <v>10695374.6</v>
      </c>
      <c r="E57" s="226">
        <v>11396005.27</v>
      </c>
      <c r="F57" s="166">
        <f t="shared" si="12"/>
        <v>-0.061480374341736324</v>
      </c>
      <c r="G57" s="241">
        <f t="shared" si="13"/>
        <v>0.09437773350412607</v>
      </c>
      <c r="H57" s="242">
        <f t="shared" si="14"/>
        <v>0.905622266495874</v>
      </c>
      <c r="I57" s="157"/>
    </row>
    <row r="58" spans="1:9" ht="15">
      <c r="A58" s="164"/>
      <c r="B58" s="165">
        <f>DATE(22,11,1)</f>
        <v>8341</v>
      </c>
      <c r="C58" s="226">
        <v>111643931.18</v>
      </c>
      <c r="D58" s="226">
        <v>10611649.12</v>
      </c>
      <c r="E58" s="226">
        <v>11134846.92</v>
      </c>
      <c r="F58" s="166">
        <f t="shared" si="12"/>
        <v>-0.04698742638843577</v>
      </c>
      <c r="G58" s="241">
        <f t="shared" si="13"/>
        <v>0.09504904572816565</v>
      </c>
      <c r="H58" s="242">
        <f t="shared" si="14"/>
        <v>0.9049509542718344</v>
      </c>
      <c r="I58" s="157"/>
    </row>
    <row r="59" spans="1:9" ht="15">
      <c r="A59" s="164"/>
      <c r="B59" s="165">
        <f>DATE(22,12,1)</f>
        <v>8371</v>
      </c>
      <c r="C59" s="226">
        <v>116948326.45</v>
      </c>
      <c r="D59" s="226">
        <v>11067872.5</v>
      </c>
      <c r="E59" s="226">
        <v>11993406.7</v>
      </c>
      <c r="F59" s="166">
        <f t="shared" si="12"/>
        <v>-0.07717025055107982</v>
      </c>
      <c r="G59" s="241">
        <f t="shared" si="13"/>
        <v>0.09463899857286072</v>
      </c>
      <c r="H59" s="242">
        <f t="shared" si="14"/>
        <v>0.9053610014271393</v>
      </c>
      <c r="I59" s="157"/>
    </row>
    <row r="60" spans="1:9" ht="15">
      <c r="A60" s="164"/>
      <c r="B60" s="165">
        <f>DATE(23,1,1)</f>
        <v>8402</v>
      </c>
      <c r="C60" s="226">
        <v>110269909.43</v>
      </c>
      <c r="D60" s="226">
        <v>10685663.3</v>
      </c>
      <c r="E60" s="226">
        <v>10442254.63</v>
      </c>
      <c r="F60" s="166">
        <f t="shared" si="12"/>
        <v>0.02330997266631487</v>
      </c>
      <c r="G60" s="241">
        <f t="shared" si="13"/>
        <v>0.09690461663780837</v>
      </c>
      <c r="H60" s="242">
        <f t="shared" si="14"/>
        <v>0.9030953833621916</v>
      </c>
      <c r="I60" s="157"/>
    </row>
    <row r="61" spans="1:9" ht="15">
      <c r="A61" s="164"/>
      <c r="B61" s="165">
        <f>DATE(23,2,1)</f>
        <v>8433</v>
      </c>
      <c r="C61" s="226">
        <v>108459543.72</v>
      </c>
      <c r="D61" s="226">
        <v>10567662.62</v>
      </c>
      <c r="E61" s="226">
        <v>10124033.77</v>
      </c>
      <c r="F61" s="166">
        <f t="shared" si="12"/>
        <v>0.043819376750261436</v>
      </c>
      <c r="G61" s="241">
        <f t="shared" si="13"/>
        <v>0.09743414233127846</v>
      </c>
      <c r="H61" s="242">
        <f t="shared" si="14"/>
        <v>0.9025658576687215</v>
      </c>
      <c r="I61" s="157"/>
    </row>
    <row r="62" spans="1:9" ht="15" thickBot="1">
      <c r="A62" s="167"/>
      <c r="B62" s="165"/>
      <c r="C62" s="226"/>
      <c r="D62" s="226"/>
      <c r="E62" s="226"/>
      <c r="F62" s="166"/>
      <c r="G62" s="241"/>
      <c r="H62" s="242"/>
      <c r="I62" s="157"/>
    </row>
    <row r="63" spans="1:9" ht="16.5" thickBot="1" thickTop="1">
      <c r="A63" s="174" t="s">
        <v>14</v>
      </c>
      <c r="B63" s="175"/>
      <c r="C63" s="228">
        <f>SUM(C54:C62)</f>
        <v>919292635.49</v>
      </c>
      <c r="D63" s="230">
        <f>SUM(D54:D62)</f>
        <v>86975095.84</v>
      </c>
      <c r="E63" s="271">
        <f>SUM(E54:E62)</f>
        <v>90656153.69</v>
      </c>
      <c r="F63" s="272">
        <f>(+D63-E63)/E63</f>
        <v>-0.04060461094111078</v>
      </c>
      <c r="G63" s="249">
        <f>D63/C63</f>
        <v>0.09461089155102463</v>
      </c>
      <c r="H63" s="270">
        <f>1-G63</f>
        <v>0.9053891084489754</v>
      </c>
      <c r="I63" s="157"/>
    </row>
    <row r="64" spans="1:9" ht="15" thickTop="1">
      <c r="A64" s="167"/>
      <c r="B64" s="168"/>
      <c r="C64" s="226"/>
      <c r="D64" s="226"/>
      <c r="E64" s="226"/>
      <c r="F64" s="166"/>
      <c r="G64" s="241"/>
      <c r="H64" s="242"/>
      <c r="I64" s="157"/>
    </row>
    <row r="65" spans="1:9" ht="15">
      <c r="A65" s="164" t="s">
        <v>64</v>
      </c>
      <c r="B65" s="165">
        <f>DATE(22,7,1)</f>
        <v>8218</v>
      </c>
      <c r="C65" s="226">
        <v>53641198.85</v>
      </c>
      <c r="D65" s="226">
        <v>5559220.1</v>
      </c>
      <c r="E65" s="226">
        <v>5744094.34</v>
      </c>
      <c r="F65" s="166">
        <f aca="true" t="shared" si="15" ref="F65:F72">(+D65-E65)/E65</f>
        <v>-0.03218509812984726</v>
      </c>
      <c r="G65" s="241">
        <f aca="true" t="shared" si="16" ref="G65:G72">D65/C65</f>
        <v>0.10363713375507452</v>
      </c>
      <c r="H65" s="242">
        <f aca="true" t="shared" si="17" ref="H65:H72">1-G65</f>
        <v>0.8963628662449254</v>
      </c>
      <c r="I65" s="157"/>
    </row>
    <row r="66" spans="1:9" ht="15">
      <c r="A66" s="164"/>
      <c r="B66" s="165">
        <f>DATE(22,8,1)</f>
        <v>8249</v>
      </c>
      <c r="C66" s="226">
        <v>47590579.29</v>
      </c>
      <c r="D66" s="226">
        <v>4834999.09</v>
      </c>
      <c r="E66" s="226">
        <v>5022432.17</v>
      </c>
      <c r="F66" s="166">
        <f t="shared" si="15"/>
        <v>-0.03731918593536726</v>
      </c>
      <c r="G66" s="241">
        <f t="shared" si="16"/>
        <v>0.10159571835714043</v>
      </c>
      <c r="H66" s="242">
        <f t="shared" si="17"/>
        <v>0.8984042816428596</v>
      </c>
      <c r="I66" s="157"/>
    </row>
    <row r="67" spans="1:9" ht="15">
      <c r="A67" s="164"/>
      <c r="B67" s="165">
        <f>DATE(22,9,1)</f>
        <v>8280</v>
      </c>
      <c r="C67" s="226">
        <v>47220660.24</v>
      </c>
      <c r="D67" s="226">
        <v>4841899.8</v>
      </c>
      <c r="E67" s="226">
        <v>5281548.16</v>
      </c>
      <c r="F67" s="166">
        <f t="shared" si="15"/>
        <v>-0.08324232718915514</v>
      </c>
      <c r="G67" s="241">
        <f t="shared" si="16"/>
        <v>0.10253774037446621</v>
      </c>
      <c r="H67" s="242">
        <f t="shared" si="17"/>
        <v>0.8974622596255338</v>
      </c>
      <c r="I67" s="157"/>
    </row>
    <row r="68" spans="1:9" ht="15">
      <c r="A68" s="164"/>
      <c r="B68" s="165">
        <f>DATE(22,10,1)</f>
        <v>8310</v>
      </c>
      <c r="C68" s="226">
        <v>47792404.84</v>
      </c>
      <c r="D68" s="226">
        <v>4853868.22</v>
      </c>
      <c r="E68" s="226">
        <v>5329338.81</v>
      </c>
      <c r="F68" s="166">
        <f t="shared" si="15"/>
        <v>-0.08921755717760416</v>
      </c>
      <c r="G68" s="241">
        <f t="shared" si="16"/>
        <v>0.10156149782062315</v>
      </c>
      <c r="H68" s="242">
        <f t="shared" si="17"/>
        <v>0.8984385021793768</v>
      </c>
      <c r="I68" s="157"/>
    </row>
    <row r="69" spans="1:9" ht="15">
      <c r="A69" s="164"/>
      <c r="B69" s="165">
        <f>DATE(22,11,1)</f>
        <v>8341</v>
      </c>
      <c r="C69" s="226">
        <v>43866316.45</v>
      </c>
      <c r="D69" s="226">
        <v>4436643.53</v>
      </c>
      <c r="E69" s="226">
        <v>4979381.55</v>
      </c>
      <c r="F69" s="166">
        <f t="shared" si="15"/>
        <v>-0.10899707414467959</v>
      </c>
      <c r="G69" s="241">
        <f t="shared" si="16"/>
        <v>0.1011400976659849</v>
      </c>
      <c r="H69" s="242">
        <f t="shared" si="17"/>
        <v>0.8988599023340151</v>
      </c>
      <c r="I69" s="157"/>
    </row>
    <row r="70" spans="1:9" ht="15">
      <c r="A70" s="164"/>
      <c r="B70" s="165">
        <f>DATE(22,12,1)</f>
        <v>8371</v>
      </c>
      <c r="C70" s="226">
        <v>49072561.07</v>
      </c>
      <c r="D70" s="226">
        <v>4878718.81</v>
      </c>
      <c r="E70" s="226">
        <v>5568235.39</v>
      </c>
      <c r="F70" s="166">
        <f t="shared" si="15"/>
        <v>-0.12383035768177181</v>
      </c>
      <c r="G70" s="241">
        <f t="shared" si="16"/>
        <v>0.09941846733943041</v>
      </c>
      <c r="H70" s="242">
        <f t="shared" si="17"/>
        <v>0.9005815326605696</v>
      </c>
      <c r="I70" s="157"/>
    </row>
    <row r="71" spans="1:9" ht="15">
      <c r="A71" s="164"/>
      <c r="B71" s="165">
        <f>DATE(23,1,1)</f>
        <v>8402</v>
      </c>
      <c r="C71" s="226">
        <v>47726825.7</v>
      </c>
      <c r="D71" s="226">
        <v>4734129.4</v>
      </c>
      <c r="E71" s="226">
        <v>4884841.69</v>
      </c>
      <c r="F71" s="166">
        <f t="shared" si="15"/>
        <v>-0.03085305513759649</v>
      </c>
      <c r="G71" s="241">
        <f t="shared" si="16"/>
        <v>0.09919221172926236</v>
      </c>
      <c r="H71" s="242">
        <f t="shared" si="17"/>
        <v>0.9008077882707376</v>
      </c>
      <c r="I71" s="157"/>
    </row>
    <row r="72" spans="1:9" ht="15">
      <c r="A72" s="164"/>
      <c r="B72" s="165">
        <f>DATE(23,2,1)</f>
        <v>8433</v>
      </c>
      <c r="C72" s="226">
        <v>53205187.84</v>
      </c>
      <c r="D72" s="226">
        <v>5419047.36</v>
      </c>
      <c r="E72" s="226">
        <v>4926896.7</v>
      </c>
      <c r="F72" s="166">
        <f t="shared" si="15"/>
        <v>0.0998905984775366</v>
      </c>
      <c r="G72" s="241">
        <f t="shared" si="16"/>
        <v>0.10185186031663487</v>
      </c>
      <c r="H72" s="242">
        <f t="shared" si="17"/>
        <v>0.8981481396833652</v>
      </c>
      <c r="I72" s="157"/>
    </row>
    <row r="73" spans="1:9" ht="15" thickBot="1">
      <c r="A73" s="167"/>
      <c r="B73" s="165"/>
      <c r="C73" s="226"/>
      <c r="D73" s="226"/>
      <c r="E73" s="226"/>
      <c r="F73" s="166"/>
      <c r="G73" s="241"/>
      <c r="H73" s="242"/>
      <c r="I73" s="157"/>
    </row>
    <row r="74" spans="1:9" ht="16.5" thickBot="1" thickTop="1">
      <c r="A74" s="174" t="s">
        <v>14</v>
      </c>
      <c r="B74" s="175"/>
      <c r="C74" s="228">
        <f>SUM(C65:C73)</f>
        <v>390115734.28</v>
      </c>
      <c r="D74" s="230">
        <f>SUM(D65:D73)</f>
        <v>39558526.309999995</v>
      </c>
      <c r="E74" s="271">
        <f>SUM(E65:E73)</f>
        <v>41736768.81</v>
      </c>
      <c r="F74" s="272">
        <f>(+D74-E74)/E74</f>
        <v>-0.05219001283774769</v>
      </c>
      <c r="G74" s="249">
        <f>D74/C74</f>
        <v>0.10140202722920022</v>
      </c>
      <c r="H74" s="270">
        <f>1-G74</f>
        <v>0.8985979727707998</v>
      </c>
      <c r="I74" s="157"/>
    </row>
    <row r="75" spans="1:9" ht="15" thickTop="1">
      <c r="A75" s="167"/>
      <c r="B75" s="168"/>
      <c r="C75" s="226"/>
      <c r="D75" s="226"/>
      <c r="E75" s="226"/>
      <c r="F75" s="166"/>
      <c r="G75" s="241"/>
      <c r="H75" s="242"/>
      <c r="I75" s="157"/>
    </row>
    <row r="76" spans="1:9" ht="15">
      <c r="A76" s="290" t="s">
        <v>67</v>
      </c>
      <c r="B76" s="165">
        <f>DATE(22,7,1)</f>
        <v>8218</v>
      </c>
      <c r="C76" s="226">
        <v>85581160.4</v>
      </c>
      <c r="D76" s="226">
        <v>9654928.82</v>
      </c>
      <c r="E76" s="226">
        <v>8446672.57</v>
      </c>
      <c r="F76" s="166">
        <f aca="true" t="shared" si="18" ref="F76:F83">(+D76-E76)/E76</f>
        <v>0.14304523349127524</v>
      </c>
      <c r="G76" s="241">
        <f aca="true" t="shared" si="19" ref="G76:G83">D76/C76</f>
        <v>0.11281605408098673</v>
      </c>
      <c r="H76" s="242">
        <f aca="true" t="shared" si="20" ref="H76:H83">1-G76</f>
        <v>0.8871839459190133</v>
      </c>
      <c r="I76" s="157"/>
    </row>
    <row r="77" spans="1:9" ht="15">
      <c r="A77" s="290"/>
      <c r="B77" s="165">
        <f>DATE(22,8,1)</f>
        <v>8249</v>
      </c>
      <c r="C77" s="226">
        <v>82456263.29</v>
      </c>
      <c r="D77" s="226">
        <v>9270730.97</v>
      </c>
      <c r="E77" s="226">
        <v>8803736.44</v>
      </c>
      <c r="F77" s="166">
        <f t="shared" si="18"/>
        <v>0.05304503754544488</v>
      </c>
      <c r="G77" s="241">
        <f t="shared" si="19"/>
        <v>0.11243210157844154</v>
      </c>
      <c r="H77" s="242">
        <f t="shared" si="20"/>
        <v>0.8875678984215585</v>
      </c>
      <c r="I77" s="157"/>
    </row>
    <row r="78" spans="1:9" ht="15">
      <c r="A78" s="290"/>
      <c r="B78" s="165">
        <f>DATE(22,9,1)</f>
        <v>8280</v>
      </c>
      <c r="C78" s="226">
        <v>81432452.09</v>
      </c>
      <c r="D78" s="226">
        <v>9440089.3</v>
      </c>
      <c r="E78" s="226">
        <v>8914995.23</v>
      </c>
      <c r="F78" s="166">
        <f t="shared" si="18"/>
        <v>0.05890009545187387</v>
      </c>
      <c r="G78" s="241">
        <f t="shared" si="19"/>
        <v>0.11592539654297422</v>
      </c>
      <c r="H78" s="242">
        <f t="shared" si="20"/>
        <v>0.8840746034570258</v>
      </c>
      <c r="I78" s="157"/>
    </row>
    <row r="79" spans="1:9" ht="15">
      <c r="A79" s="290"/>
      <c r="B79" s="165">
        <f>DATE(22,10,1)</f>
        <v>8310</v>
      </c>
      <c r="C79" s="226">
        <v>82324119.66</v>
      </c>
      <c r="D79" s="226">
        <v>9283650.12</v>
      </c>
      <c r="E79" s="226">
        <v>9230867.67</v>
      </c>
      <c r="F79" s="166">
        <f t="shared" si="18"/>
        <v>0.005718037771415616</v>
      </c>
      <c r="G79" s="241">
        <f t="shared" si="19"/>
        <v>0.11276950374132916</v>
      </c>
      <c r="H79" s="242">
        <f t="shared" si="20"/>
        <v>0.8872304962586708</v>
      </c>
      <c r="I79" s="157"/>
    </row>
    <row r="80" spans="1:9" ht="15">
      <c r="A80" s="290"/>
      <c r="B80" s="165">
        <f>DATE(22,11,1)</f>
        <v>8341</v>
      </c>
      <c r="C80" s="226">
        <v>82659962.18</v>
      </c>
      <c r="D80" s="226">
        <v>9336104.85</v>
      </c>
      <c r="E80" s="226">
        <v>8512217.68</v>
      </c>
      <c r="F80" s="166">
        <f t="shared" si="18"/>
        <v>0.09678878066473506</v>
      </c>
      <c r="G80" s="241">
        <f t="shared" si="19"/>
        <v>0.112945912431822</v>
      </c>
      <c r="H80" s="242">
        <f t="shared" si="20"/>
        <v>0.887054087568178</v>
      </c>
      <c r="I80" s="157"/>
    </row>
    <row r="81" spans="1:9" ht="15">
      <c r="A81" s="290"/>
      <c r="B81" s="165">
        <f>DATE(22,12,1)</f>
        <v>8371</v>
      </c>
      <c r="C81" s="226">
        <v>88513153.28</v>
      </c>
      <c r="D81" s="226">
        <v>9794618.43</v>
      </c>
      <c r="E81" s="226">
        <v>9265401.08</v>
      </c>
      <c r="F81" s="166">
        <f t="shared" si="18"/>
        <v>0.05711758675426921</v>
      </c>
      <c r="G81" s="241">
        <f t="shared" si="19"/>
        <v>0.11065720818934087</v>
      </c>
      <c r="H81" s="242">
        <f t="shared" si="20"/>
        <v>0.8893427918106591</v>
      </c>
      <c r="I81" s="157"/>
    </row>
    <row r="82" spans="1:9" ht="15">
      <c r="A82" s="290"/>
      <c r="B82" s="165">
        <f>DATE(23,1,1)</f>
        <v>8402</v>
      </c>
      <c r="C82" s="226">
        <v>86885608.79</v>
      </c>
      <c r="D82" s="226">
        <v>9804638.15</v>
      </c>
      <c r="E82" s="226">
        <v>8004296.77</v>
      </c>
      <c r="F82" s="166">
        <f t="shared" si="18"/>
        <v>0.2249218678082573</v>
      </c>
      <c r="G82" s="241">
        <f t="shared" si="19"/>
        <v>0.11284536399690225</v>
      </c>
      <c r="H82" s="242">
        <f t="shared" si="20"/>
        <v>0.8871546360030977</v>
      </c>
      <c r="I82" s="157"/>
    </row>
    <row r="83" spans="1:9" ht="15">
      <c r="A83" s="290"/>
      <c r="B83" s="165">
        <f>DATE(23,2,1)</f>
        <v>8433</v>
      </c>
      <c r="C83" s="226">
        <v>83528330.4</v>
      </c>
      <c r="D83" s="226">
        <v>9413288.12</v>
      </c>
      <c r="E83" s="226">
        <v>8308096.34</v>
      </c>
      <c r="F83" s="166">
        <f t="shared" si="18"/>
        <v>0.13302587437256408</v>
      </c>
      <c r="G83" s="241">
        <f t="shared" si="19"/>
        <v>0.11269575334406538</v>
      </c>
      <c r="H83" s="242">
        <f t="shared" si="20"/>
        <v>0.8873042466559347</v>
      </c>
      <c r="I83" s="157"/>
    </row>
    <row r="84" spans="1:9" ht="15" thickBot="1">
      <c r="A84" s="167"/>
      <c r="B84" s="165"/>
      <c r="C84" s="226"/>
      <c r="D84" s="226"/>
      <c r="E84" s="226"/>
      <c r="F84" s="166"/>
      <c r="G84" s="241"/>
      <c r="H84" s="242"/>
      <c r="I84" s="157"/>
    </row>
    <row r="85" spans="1:9" ht="16.5" thickBot="1" thickTop="1">
      <c r="A85" s="174" t="s">
        <v>14</v>
      </c>
      <c r="B85" s="175"/>
      <c r="C85" s="228">
        <f>SUM(C76:C84)</f>
        <v>673381050.0899999</v>
      </c>
      <c r="D85" s="230">
        <f>SUM(D76:D84)</f>
        <v>75998048.76</v>
      </c>
      <c r="E85" s="271">
        <f>SUM(E76:E84)</f>
        <v>69486283.78</v>
      </c>
      <c r="F85" s="272">
        <f>(+D85-E85)/E85</f>
        <v>0.09371295492815322</v>
      </c>
      <c r="G85" s="249">
        <f>D85/C85</f>
        <v>0.11286039122996197</v>
      </c>
      <c r="H85" s="270">
        <f>1-G85</f>
        <v>0.8871396087700381</v>
      </c>
      <c r="I85" s="157"/>
    </row>
    <row r="86" spans="1:9" ht="15" thickTop="1">
      <c r="A86" s="167"/>
      <c r="B86" s="168"/>
      <c r="C86" s="226"/>
      <c r="D86" s="226"/>
      <c r="E86" s="226"/>
      <c r="F86" s="166"/>
      <c r="G86" s="241"/>
      <c r="H86" s="242"/>
      <c r="I86" s="157"/>
    </row>
    <row r="87" spans="1:9" ht="15">
      <c r="A87" s="164" t="s">
        <v>69</v>
      </c>
      <c r="B87" s="165">
        <f>DATE(22,7,1)</f>
        <v>8218</v>
      </c>
      <c r="C87" s="226">
        <v>115913733.48</v>
      </c>
      <c r="D87" s="226">
        <v>11762621.74</v>
      </c>
      <c r="E87" s="226">
        <v>13534455.82</v>
      </c>
      <c r="F87" s="166">
        <f aca="true" t="shared" si="21" ref="F87:F94">(+D87-E87)/E87</f>
        <v>-0.1309128422719252</v>
      </c>
      <c r="G87" s="241">
        <f aca="true" t="shared" si="22" ref="G87:G94">D87/C87</f>
        <v>0.10147737793321572</v>
      </c>
      <c r="H87" s="242">
        <f aca="true" t="shared" si="23" ref="H87:H94">1-G87</f>
        <v>0.8985226220667842</v>
      </c>
      <c r="I87" s="157"/>
    </row>
    <row r="88" spans="1:9" ht="15">
      <c r="A88" s="164"/>
      <c r="B88" s="165">
        <f>DATE(22,8,1)</f>
        <v>8249</v>
      </c>
      <c r="C88" s="226">
        <v>120866905.96</v>
      </c>
      <c r="D88" s="226">
        <v>12540537.03</v>
      </c>
      <c r="E88" s="226">
        <v>11799607.16</v>
      </c>
      <c r="F88" s="166">
        <f t="shared" si="21"/>
        <v>0.0627927574158324</v>
      </c>
      <c r="G88" s="241">
        <f t="shared" si="22"/>
        <v>0.10375492721018438</v>
      </c>
      <c r="H88" s="242">
        <f t="shared" si="23"/>
        <v>0.8962450727898156</v>
      </c>
      <c r="I88" s="157"/>
    </row>
    <row r="89" spans="1:9" ht="15">
      <c r="A89" s="164"/>
      <c r="B89" s="165">
        <f>DATE(22,9,1)</f>
        <v>8280</v>
      </c>
      <c r="C89" s="226">
        <v>118707239.62</v>
      </c>
      <c r="D89" s="226">
        <v>12203478.51</v>
      </c>
      <c r="E89" s="226">
        <v>11262305.48</v>
      </c>
      <c r="F89" s="166">
        <f t="shared" si="21"/>
        <v>0.08356841604690687</v>
      </c>
      <c r="G89" s="241">
        <f t="shared" si="22"/>
        <v>0.10280315294218952</v>
      </c>
      <c r="H89" s="242">
        <f t="shared" si="23"/>
        <v>0.8971968470578104</v>
      </c>
      <c r="I89" s="157"/>
    </row>
    <row r="90" spans="1:9" ht="15">
      <c r="A90" s="164"/>
      <c r="B90" s="165">
        <f>DATE(22,10,1)</f>
        <v>8310</v>
      </c>
      <c r="C90" s="226">
        <v>112671486.7</v>
      </c>
      <c r="D90" s="226">
        <v>11570843.18</v>
      </c>
      <c r="E90" s="226">
        <v>11850584.04</v>
      </c>
      <c r="F90" s="166">
        <f t="shared" si="21"/>
        <v>-0.023605660198330564</v>
      </c>
      <c r="G90" s="241">
        <f t="shared" si="22"/>
        <v>0.10269539808956829</v>
      </c>
      <c r="H90" s="242">
        <f t="shared" si="23"/>
        <v>0.8973046019104317</v>
      </c>
      <c r="I90" s="157"/>
    </row>
    <row r="91" spans="1:9" ht="15">
      <c r="A91" s="164"/>
      <c r="B91" s="165">
        <f>DATE(22,11,1)</f>
        <v>8341</v>
      </c>
      <c r="C91" s="226">
        <v>102848583.43</v>
      </c>
      <c r="D91" s="226">
        <v>10635557.71</v>
      </c>
      <c r="E91" s="226">
        <v>10537202.82</v>
      </c>
      <c r="F91" s="166">
        <f t="shared" si="21"/>
        <v>0.009334060630713056</v>
      </c>
      <c r="G91" s="241">
        <f t="shared" si="22"/>
        <v>0.10340986093638023</v>
      </c>
      <c r="H91" s="242">
        <f t="shared" si="23"/>
        <v>0.8965901390636197</v>
      </c>
      <c r="I91" s="157"/>
    </row>
    <row r="92" spans="1:9" ht="15">
      <c r="A92" s="164"/>
      <c r="B92" s="165">
        <f>DATE(22,12,1)</f>
        <v>8371</v>
      </c>
      <c r="C92" s="226">
        <v>110332938.22</v>
      </c>
      <c r="D92" s="226">
        <v>11765807.74</v>
      </c>
      <c r="E92" s="226">
        <v>11616287.57</v>
      </c>
      <c r="F92" s="166">
        <f t="shared" si="21"/>
        <v>0.012871596807412709</v>
      </c>
      <c r="G92" s="241">
        <f t="shared" si="22"/>
        <v>0.10663912272996295</v>
      </c>
      <c r="H92" s="242">
        <f t="shared" si="23"/>
        <v>0.893360877270037</v>
      </c>
      <c r="I92" s="157"/>
    </row>
    <row r="93" spans="1:9" ht="15">
      <c r="A93" s="164"/>
      <c r="B93" s="165">
        <f>DATE(23,1,1)</f>
        <v>8402</v>
      </c>
      <c r="C93" s="226">
        <v>104231904.07</v>
      </c>
      <c r="D93" s="226">
        <v>10527686.77</v>
      </c>
      <c r="E93" s="226">
        <v>9767141.98</v>
      </c>
      <c r="F93" s="166">
        <f t="shared" si="21"/>
        <v>0.07786769062611693</v>
      </c>
      <c r="G93" s="241">
        <f t="shared" si="22"/>
        <v>0.10100253721672227</v>
      </c>
      <c r="H93" s="242">
        <f t="shared" si="23"/>
        <v>0.8989974627832777</v>
      </c>
      <c r="I93" s="157"/>
    </row>
    <row r="94" spans="1:9" ht="15">
      <c r="A94" s="164"/>
      <c r="B94" s="165">
        <f>DATE(23,2,1)</f>
        <v>8433</v>
      </c>
      <c r="C94" s="226">
        <v>108269385.65</v>
      </c>
      <c r="D94" s="226">
        <v>11416592.51</v>
      </c>
      <c r="E94" s="226">
        <v>10322075.95</v>
      </c>
      <c r="F94" s="166">
        <f t="shared" si="21"/>
        <v>0.10603647612184064</v>
      </c>
      <c r="G94" s="241">
        <f t="shared" si="22"/>
        <v>0.10544617429442299</v>
      </c>
      <c r="H94" s="242">
        <f t="shared" si="23"/>
        <v>0.894553825705577</v>
      </c>
      <c r="I94" s="157"/>
    </row>
    <row r="95" spans="1:9" ht="15" thickBot="1">
      <c r="A95" s="167"/>
      <c r="B95" s="165"/>
      <c r="C95" s="226"/>
      <c r="D95" s="226"/>
      <c r="E95" s="226"/>
      <c r="F95" s="166"/>
      <c r="G95" s="241"/>
      <c r="H95" s="242"/>
      <c r="I95" s="157"/>
    </row>
    <row r="96" spans="1:9" ht="16.5" thickBot="1" thickTop="1">
      <c r="A96" s="174" t="s">
        <v>14</v>
      </c>
      <c r="B96" s="175"/>
      <c r="C96" s="228">
        <f>SUM(C87:C95)</f>
        <v>893842177.13</v>
      </c>
      <c r="D96" s="230">
        <f>SUM(D87:D95)</f>
        <v>92423125.19</v>
      </c>
      <c r="E96" s="271">
        <f>SUM(E87:E95)</f>
        <v>90689660.82000001</v>
      </c>
      <c r="F96" s="176">
        <f>(+D96-E96)/E96</f>
        <v>0.019114244714626884</v>
      </c>
      <c r="G96" s="249">
        <f>D96/C96</f>
        <v>0.10339982555618207</v>
      </c>
      <c r="H96" s="270">
        <f>1-G96</f>
        <v>0.8966001744438179</v>
      </c>
      <c r="I96" s="157"/>
    </row>
    <row r="97" spans="1:9" ht="15" thickTop="1">
      <c r="A97" s="167"/>
      <c r="B97" s="179"/>
      <c r="C97" s="229"/>
      <c r="D97" s="229"/>
      <c r="E97" s="229"/>
      <c r="F97" s="180"/>
      <c r="G97" s="247"/>
      <c r="H97" s="248"/>
      <c r="I97" s="157"/>
    </row>
    <row r="98" spans="1:9" ht="15">
      <c r="A98" s="164" t="s">
        <v>16</v>
      </c>
      <c r="B98" s="165">
        <f>DATE(22,7,1)</f>
        <v>8218</v>
      </c>
      <c r="C98" s="226">
        <v>164331221.16</v>
      </c>
      <c r="D98" s="226">
        <v>15914314.48</v>
      </c>
      <c r="E98" s="226">
        <v>16148799.36</v>
      </c>
      <c r="F98" s="166">
        <f aca="true" t="shared" si="24" ref="F98:F105">(+D98-E98)/E98</f>
        <v>-0.014520267096810284</v>
      </c>
      <c r="G98" s="241">
        <f aca="true" t="shared" si="25" ref="G98:G105">D98/C98</f>
        <v>0.09684291498391005</v>
      </c>
      <c r="H98" s="242">
        <f aca="true" t="shared" si="26" ref="H98:H105">1-G98</f>
        <v>0.9031570850160899</v>
      </c>
      <c r="I98" s="157"/>
    </row>
    <row r="99" spans="1:9" ht="15">
      <c r="A99" s="164"/>
      <c r="B99" s="165">
        <f>DATE(22,8,1)</f>
        <v>8249</v>
      </c>
      <c r="C99" s="226">
        <v>151296993.62</v>
      </c>
      <c r="D99" s="226">
        <v>14340389.18</v>
      </c>
      <c r="E99" s="226">
        <v>14007269.2</v>
      </c>
      <c r="F99" s="166">
        <f t="shared" si="24"/>
        <v>0.02378193602504623</v>
      </c>
      <c r="G99" s="241">
        <f t="shared" si="25"/>
        <v>0.09478304120184672</v>
      </c>
      <c r="H99" s="242">
        <f t="shared" si="26"/>
        <v>0.9052169587981533</v>
      </c>
      <c r="I99" s="157"/>
    </row>
    <row r="100" spans="1:9" ht="15">
      <c r="A100" s="164"/>
      <c r="B100" s="165">
        <f>DATE(22,9,1)</f>
        <v>8280</v>
      </c>
      <c r="C100" s="226">
        <v>150060402.08</v>
      </c>
      <c r="D100" s="226">
        <v>15068846.29</v>
      </c>
      <c r="E100" s="226">
        <v>13534117.95</v>
      </c>
      <c r="F100" s="166">
        <f t="shared" si="24"/>
        <v>0.11339699754870246</v>
      </c>
      <c r="G100" s="241">
        <f t="shared" si="25"/>
        <v>0.10041853867595607</v>
      </c>
      <c r="H100" s="242">
        <f t="shared" si="26"/>
        <v>0.8995814613240439</v>
      </c>
      <c r="I100" s="157"/>
    </row>
    <row r="101" spans="1:9" ht="15">
      <c r="A101" s="164"/>
      <c r="B101" s="165">
        <f>DATE(22,10,1)</f>
        <v>8310</v>
      </c>
      <c r="C101" s="226">
        <v>151075922.59</v>
      </c>
      <c r="D101" s="226">
        <v>14552868.96</v>
      </c>
      <c r="E101" s="226">
        <v>14717532.77</v>
      </c>
      <c r="F101" s="166">
        <f t="shared" si="24"/>
        <v>-0.011188275410919888</v>
      </c>
      <c r="G101" s="241">
        <f t="shared" si="25"/>
        <v>0.09632818195321935</v>
      </c>
      <c r="H101" s="242">
        <f t="shared" si="26"/>
        <v>0.9036718180467807</v>
      </c>
      <c r="I101" s="157"/>
    </row>
    <row r="102" spans="1:9" ht="15">
      <c r="A102" s="164"/>
      <c r="B102" s="165">
        <f>DATE(22,11,1)</f>
        <v>8341</v>
      </c>
      <c r="C102" s="226">
        <v>137208695.11</v>
      </c>
      <c r="D102" s="226">
        <v>13319735.5</v>
      </c>
      <c r="E102" s="226">
        <v>13812980.33</v>
      </c>
      <c r="F102" s="166">
        <f t="shared" si="24"/>
        <v>-0.035708791167155744</v>
      </c>
      <c r="G102" s="241">
        <f t="shared" si="25"/>
        <v>0.09707646799877798</v>
      </c>
      <c r="H102" s="242">
        <f t="shared" si="26"/>
        <v>0.902923532001222</v>
      </c>
      <c r="I102" s="157"/>
    </row>
    <row r="103" spans="1:9" ht="15">
      <c r="A103" s="164"/>
      <c r="B103" s="165">
        <f>DATE(22,12,1)</f>
        <v>8371</v>
      </c>
      <c r="C103" s="226">
        <v>151544462.93</v>
      </c>
      <c r="D103" s="226">
        <v>14436386.73</v>
      </c>
      <c r="E103" s="226">
        <v>14881396.94</v>
      </c>
      <c r="F103" s="166">
        <f t="shared" si="24"/>
        <v>-0.029903792755090575</v>
      </c>
      <c r="G103" s="241">
        <f t="shared" si="25"/>
        <v>0.09526172352907622</v>
      </c>
      <c r="H103" s="242">
        <f t="shared" si="26"/>
        <v>0.9047382764709238</v>
      </c>
      <c r="I103" s="157"/>
    </row>
    <row r="104" spans="1:9" ht="15">
      <c r="A104" s="164"/>
      <c r="B104" s="165">
        <f>DATE(23,1,1)</f>
        <v>8402</v>
      </c>
      <c r="C104" s="226">
        <v>145201607.59</v>
      </c>
      <c r="D104" s="226">
        <v>13555175.18</v>
      </c>
      <c r="E104" s="226">
        <v>13218577.91</v>
      </c>
      <c r="F104" s="166">
        <f t="shared" si="24"/>
        <v>0.02546395476818728</v>
      </c>
      <c r="G104" s="241">
        <f t="shared" si="25"/>
        <v>0.09335416738825102</v>
      </c>
      <c r="H104" s="242">
        <f t="shared" si="26"/>
        <v>0.906645832611749</v>
      </c>
      <c r="I104" s="157"/>
    </row>
    <row r="105" spans="1:9" ht="15">
      <c r="A105" s="164"/>
      <c r="B105" s="165">
        <f>DATE(23,2,1)</f>
        <v>8433</v>
      </c>
      <c r="C105" s="226">
        <v>147866556.63</v>
      </c>
      <c r="D105" s="226">
        <v>14262692.57</v>
      </c>
      <c r="E105" s="226">
        <v>14110740.53</v>
      </c>
      <c r="F105" s="166">
        <f t="shared" si="24"/>
        <v>0.010768537602753366</v>
      </c>
      <c r="G105" s="241">
        <f t="shared" si="25"/>
        <v>0.09645651386668123</v>
      </c>
      <c r="H105" s="242">
        <f t="shared" si="26"/>
        <v>0.9035434861333188</v>
      </c>
      <c r="I105" s="157"/>
    </row>
    <row r="106" spans="1:9" ht="15.75" customHeight="1" thickBot="1">
      <c r="A106" s="164"/>
      <c r="B106" s="165"/>
      <c r="C106" s="226"/>
      <c r="D106" s="226"/>
      <c r="E106" s="226"/>
      <c r="F106" s="166"/>
      <c r="G106" s="241"/>
      <c r="H106" s="242"/>
      <c r="I106" s="157"/>
    </row>
    <row r="107" spans="1:9" ht="16.5" thickBot="1" thickTop="1">
      <c r="A107" s="174" t="s">
        <v>14</v>
      </c>
      <c r="B107" s="181"/>
      <c r="C107" s="228">
        <f>SUM(C98:C106)</f>
        <v>1198585861.71</v>
      </c>
      <c r="D107" s="228">
        <f>SUM(D98:D106)</f>
        <v>115450408.88999999</v>
      </c>
      <c r="E107" s="228">
        <f>SUM(E98:E106)</f>
        <v>114431414.99</v>
      </c>
      <c r="F107" s="176">
        <f>(+D107-E107)/E107</f>
        <v>0.008904844007120244</v>
      </c>
      <c r="G107" s="245">
        <f>D107/C107</f>
        <v>0.0963221848164378</v>
      </c>
      <c r="H107" s="246">
        <f>1-G107</f>
        <v>0.9036778151835622</v>
      </c>
      <c r="I107" s="157"/>
    </row>
    <row r="108" spans="1:9" ht="15" thickTop="1">
      <c r="A108" s="171"/>
      <c r="B108" s="172"/>
      <c r="C108" s="227"/>
      <c r="D108" s="227"/>
      <c r="E108" s="227"/>
      <c r="F108" s="173"/>
      <c r="G108" s="243"/>
      <c r="H108" s="244"/>
      <c r="I108" s="157"/>
    </row>
    <row r="109" spans="1:9" ht="15">
      <c r="A109" s="164" t="s">
        <v>53</v>
      </c>
      <c r="B109" s="165">
        <f>DATE(22,7,1)</f>
        <v>8218</v>
      </c>
      <c r="C109" s="226">
        <v>217334773.96</v>
      </c>
      <c r="D109" s="226">
        <v>19656587.45</v>
      </c>
      <c r="E109" s="226">
        <v>17635283.72</v>
      </c>
      <c r="F109" s="166">
        <f aca="true" t="shared" si="27" ref="F109:F116">(+D109-E109)/E109</f>
        <v>0.1146170235814046</v>
      </c>
      <c r="G109" s="241">
        <f aca="true" t="shared" si="28" ref="G109:G116">D109/C109</f>
        <v>0.09044382126174504</v>
      </c>
      <c r="H109" s="242">
        <f aca="true" t="shared" si="29" ref="H109:H116">1-G109</f>
        <v>0.909556178738255</v>
      </c>
      <c r="I109" s="157"/>
    </row>
    <row r="110" spans="1:9" ht="15">
      <c r="A110" s="164"/>
      <c r="B110" s="165">
        <f>DATE(22,8,1)</f>
        <v>8249</v>
      </c>
      <c r="C110" s="226">
        <v>200475281.67</v>
      </c>
      <c r="D110" s="226">
        <v>17776767.91</v>
      </c>
      <c r="E110" s="226">
        <v>17152915.09</v>
      </c>
      <c r="F110" s="166">
        <f t="shared" si="27"/>
        <v>0.03637007568257019</v>
      </c>
      <c r="G110" s="241">
        <f t="shared" si="28"/>
        <v>0.08867311601667746</v>
      </c>
      <c r="H110" s="242">
        <f t="shared" si="29"/>
        <v>0.9113268839833225</v>
      </c>
      <c r="I110" s="157"/>
    </row>
    <row r="111" spans="1:9" ht="15">
      <c r="A111" s="164"/>
      <c r="B111" s="165">
        <f>DATE(22,9,1)</f>
        <v>8280</v>
      </c>
      <c r="C111" s="226">
        <v>196574841.52</v>
      </c>
      <c r="D111" s="226">
        <v>17845168.1</v>
      </c>
      <c r="E111" s="226">
        <v>16762718.67</v>
      </c>
      <c r="F111" s="166">
        <f t="shared" si="27"/>
        <v>0.06457481338854931</v>
      </c>
      <c r="G111" s="241">
        <f t="shared" si="28"/>
        <v>0.09078052899350494</v>
      </c>
      <c r="H111" s="242">
        <f t="shared" si="29"/>
        <v>0.909219471006495</v>
      </c>
      <c r="I111" s="157"/>
    </row>
    <row r="112" spans="1:9" ht="15">
      <c r="A112" s="164"/>
      <c r="B112" s="165">
        <f>DATE(22,10,1)</f>
        <v>8310</v>
      </c>
      <c r="C112" s="226">
        <v>198946815.71</v>
      </c>
      <c r="D112" s="226">
        <v>17788599.37</v>
      </c>
      <c r="E112" s="226">
        <v>18368300.02</v>
      </c>
      <c r="F112" s="166">
        <f t="shared" si="27"/>
        <v>-0.03155984219382314</v>
      </c>
      <c r="G112" s="241">
        <f t="shared" si="28"/>
        <v>0.0894138431244359</v>
      </c>
      <c r="H112" s="242">
        <f t="shared" si="29"/>
        <v>0.9105861568755641</v>
      </c>
      <c r="I112" s="157"/>
    </row>
    <row r="113" spans="1:9" ht="15">
      <c r="A113" s="164"/>
      <c r="B113" s="165">
        <f>DATE(22,11,1)</f>
        <v>8341</v>
      </c>
      <c r="C113" s="226">
        <v>191380410.94</v>
      </c>
      <c r="D113" s="226">
        <v>17618885.15</v>
      </c>
      <c r="E113" s="226">
        <v>17099113.55</v>
      </c>
      <c r="F113" s="166">
        <f t="shared" si="27"/>
        <v>0.03039757578544168</v>
      </c>
      <c r="G113" s="241">
        <f t="shared" si="28"/>
        <v>0.09206211369001463</v>
      </c>
      <c r="H113" s="242">
        <f t="shared" si="29"/>
        <v>0.9079378863099854</v>
      </c>
      <c r="I113" s="157"/>
    </row>
    <row r="114" spans="1:9" ht="15">
      <c r="A114" s="164"/>
      <c r="B114" s="165">
        <f>DATE(22,12,1)</f>
        <v>8371</v>
      </c>
      <c r="C114" s="226">
        <v>201934623.12</v>
      </c>
      <c r="D114" s="226">
        <v>18411025.47</v>
      </c>
      <c r="E114" s="226">
        <v>18695924.3</v>
      </c>
      <c r="F114" s="166">
        <f t="shared" si="27"/>
        <v>-0.015238552821911134</v>
      </c>
      <c r="G114" s="241">
        <f t="shared" si="28"/>
        <v>0.09117319846165862</v>
      </c>
      <c r="H114" s="242">
        <f t="shared" si="29"/>
        <v>0.9088268015383414</v>
      </c>
      <c r="I114" s="157"/>
    </row>
    <row r="115" spans="1:9" ht="15">
      <c r="A115" s="164"/>
      <c r="B115" s="165">
        <f>DATE(23,1,1)</f>
        <v>8402</v>
      </c>
      <c r="C115" s="226">
        <v>195259128.19</v>
      </c>
      <c r="D115" s="226">
        <v>17516119.75</v>
      </c>
      <c r="E115" s="226">
        <v>16268714.7</v>
      </c>
      <c r="F115" s="166">
        <f t="shared" si="27"/>
        <v>0.07667508300455972</v>
      </c>
      <c r="G115" s="241">
        <f t="shared" si="28"/>
        <v>0.08970704679658131</v>
      </c>
      <c r="H115" s="242">
        <f t="shared" si="29"/>
        <v>0.9102929532034187</v>
      </c>
      <c r="I115" s="157"/>
    </row>
    <row r="116" spans="1:9" ht="15">
      <c r="A116" s="164"/>
      <c r="B116" s="165">
        <f>DATE(23,2,1)</f>
        <v>8433</v>
      </c>
      <c r="C116" s="226">
        <v>198838074.74</v>
      </c>
      <c r="D116" s="226">
        <v>18041743.69</v>
      </c>
      <c r="E116" s="226">
        <v>16850587.23</v>
      </c>
      <c r="F116" s="166">
        <f t="shared" si="27"/>
        <v>0.07068931448746911</v>
      </c>
      <c r="G116" s="241">
        <f t="shared" si="28"/>
        <v>0.0907358598879582</v>
      </c>
      <c r="H116" s="242">
        <f t="shared" si="29"/>
        <v>0.9092641401120418</v>
      </c>
      <c r="I116" s="157"/>
    </row>
    <row r="117" spans="1:9" ht="15" thickBot="1">
      <c r="A117" s="167"/>
      <c r="B117" s="168"/>
      <c r="C117" s="226"/>
      <c r="D117" s="226"/>
      <c r="E117" s="226"/>
      <c r="F117" s="166"/>
      <c r="G117" s="241"/>
      <c r="H117" s="242"/>
      <c r="I117" s="157"/>
    </row>
    <row r="118" spans="1:9" ht="16.5" thickBot="1" thickTop="1">
      <c r="A118" s="174" t="s">
        <v>14</v>
      </c>
      <c r="B118" s="175"/>
      <c r="C118" s="228">
        <f>SUM(C109:C117)</f>
        <v>1600743949.8500001</v>
      </c>
      <c r="D118" s="228">
        <f>SUM(D109:D117)</f>
        <v>144654896.89</v>
      </c>
      <c r="E118" s="228">
        <f>SUM(E109:E117)</f>
        <v>138833557.28</v>
      </c>
      <c r="F118" s="176">
        <f>(+D118-E118)/E118</f>
        <v>0.0419303497227222</v>
      </c>
      <c r="G118" s="249">
        <f>D118/C118</f>
        <v>0.09036729259764191</v>
      </c>
      <c r="H118" s="270">
        <f>1-G118</f>
        <v>0.9096327074023581</v>
      </c>
      <c r="I118" s="157"/>
    </row>
    <row r="119" spans="1:9" ht="15" thickTop="1">
      <c r="A119" s="167"/>
      <c r="B119" s="168"/>
      <c r="C119" s="226"/>
      <c r="D119" s="226"/>
      <c r="E119" s="226"/>
      <c r="F119" s="166"/>
      <c r="G119" s="241"/>
      <c r="H119" s="242"/>
      <c r="I119" s="157"/>
    </row>
    <row r="120" spans="1:9" ht="15">
      <c r="A120" s="164" t="s">
        <v>54</v>
      </c>
      <c r="B120" s="165">
        <f>DATE(22,7,1)</f>
        <v>8218</v>
      </c>
      <c r="C120" s="226">
        <v>29253159.1</v>
      </c>
      <c r="D120" s="226">
        <v>3220140.18</v>
      </c>
      <c r="E120" s="226">
        <v>3540868.12</v>
      </c>
      <c r="F120" s="166">
        <f aca="true" t="shared" si="30" ref="F120:F127">(+D120-E120)/E120</f>
        <v>-0.09057890018225247</v>
      </c>
      <c r="G120" s="241">
        <f aca="true" t="shared" si="31" ref="G120:G127">D120/C120</f>
        <v>0.11007837372340412</v>
      </c>
      <c r="H120" s="242">
        <f aca="true" t="shared" si="32" ref="H120:H127">1-G120</f>
        <v>0.8899216262765959</v>
      </c>
      <c r="I120" s="157"/>
    </row>
    <row r="121" spans="1:9" ht="15">
      <c r="A121" s="164"/>
      <c r="B121" s="165">
        <f>DATE(22,8,1)</f>
        <v>8249</v>
      </c>
      <c r="C121" s="226">
        <v>25837783.38</v>
      </c>
      <c r="D121" s="226">
        <v>2910388.06</v>
      </c>
      <c r="E121" s="226">
        <v>3115295.59</v>
      </c>
      <c r="F121" s="166">
        <f t="shared" si="30"/>
        <v>-0.06577466698753931</v>
      </c>
      <c r="G121" s="241">
        <f t="shared" si="31"/>
        <v>0.11264077948160274</v>
      </c>
      <c r="H121" s="242">
        <f t="shared" si="32"/>
        <v>0.8873592205183972</v>
      </c>
      <c r="I121" s="157"/>
    </row>
    <row r="122" spans="1:9" ht="15">
      <c r="A122" s="164"/>
      <c r="B122" s="165">
        <f>DATE(22,9,1)</f>
        <v>8280</v>
      </c>
      <c r="C122" s="226">
        <v>27357626.21</v>
      </c>
      <c r="D122" s="226">
        <v>3079109.35</v>
      </c>
      <c r="E122" s="226">
        <v>3042841.65</v>
      </c>
      <c r="F122" s="166">
        <f t="shared" si="30"/>
        <v>0.011919023127608428</v>
      </c>
      <c r="G122" s="241">
        <f t="shared" si="31"/>
        <v>0.11255031143288656</v>
      </c>
      <c r="H122" s="242">
        <f t="shared" si="32"/>
        <v>0.8874496885671135</v>
      </c>
      <c r="I122" s="157"/>
    </row>
    <row r="123" spans="1:9" ht="15">
      <c r="A123" s="164"/>
      <c r="B123" s="165">
        <f>DATE(22,10,1)</f>
        <v>8310</v>
      </c>
      <c r="C123" s="226">
        <v>26519006.94</v>
      </c>
      <c r="D123" s="226">
        <v>3026739.97</v>
      </c>
      <c r="E123" s="226">
        <v>3415416.93</v>
      </c>
      <c r="F123" s="166">
        <f t="shared" si="30"/>
        <v>-0.11380073588848784</v>
      </c>
      <c r="G123" s="241">
        <f t="shared" si="31"/>
        <v>0.11413474029582195</v>
      </c>
      <c r="H123" s="242">
        <f t="shared" si="32"/>
        <v>0.8858652597041781</v>
      </c>
      <c r="I123" s="157"/>
    </row>
    <row r="124" spans="1:9" ht="15">
      <c r="A124" s="164"/>
      <c r="B124" s="165">
        <f>DATE(22,11,1)</f>
        <v>8341</v>
      </c>
      <c r="C124" s="226">
        <v>23873732.33</v>
      </c>
      <c r="D124" s="226">
        <v>2771028.1</v>
      </c>
      <c r="E124" s="226">
        <v>3126811.29</v>
      </c>
      <c r="F124" s="166">
        <f t="shared" si="30"/>
        <v>-0.11378466974896971</v>
      </c>
      <c r="G124" s="241">
        <f t="shared" si="31"/>
        <v>0.11607016706465689</v>
      </c>
      <c r="H124" s="242">
        <f t="shared" si="32"/>
        <v>0.8839298329353431</v>
      </c>
      <c r="I124" s="157"/>
    </row>
    <row r="125" spans="1:9" ht="15">
      <c r="A125" s="164"/>
      <c r="B125" s="165">
        <f>DATE(22,12,1)</f>
        <v>8371</v>
      </c>
      <c r="C125" s="226">
        <v>26447659.84</v>
      </c>
      <c r="D125" s="226">
        <v>3065877.72</v>
      </c>
      <c r="E125" s="226">
        <v>3080901.79</v>
      </c>
      <c r="F125" s="166">
        <f t="shared" si="30"/>
        <v>-0.004876517014844485</v>
      </c>
      <c r="G125" s="241">
        <f t="shared" si="31"/>
        <v>0.11592245735719506</v>
      </c>
      <c r="H125" s="242">
        <f t="shared" si="32"/>
        <v>0.8840775426428049</v>
      </c>
      <c r="I125" s="157"/>
    </row>
    <row r="126" spans="1:9" ht="15">
      <c r="A126" s="164"/>
      <c r="B126" s="165">
        <f>DATE(23,1,1)</f>
        <v>8402</v>
      </c>
      <c r="C126" s="226">
        <v>26245046.26</v>
      </c>
      <c r="D126" s="226">
        <v>2868849.61</v>
      </c>
      <c r="E126" s="226">
        <v>2697598.25</v>
      </c>
      <c r="F126" s="166">
        <f t="shared" si="30"/>
        <v>0.06348290002041626</v>
      </c>
      <c r="G126" s="241">
        <f t="shared" si="31"/>
        <v>0.10931013729521998</v>
      </c>
      <c r="H126" s="242">
        <f t="shared" si="32"/>
        <v>0.89068986270478</v>
      </c>
      <c r="I126" s="157"/>
    </row>
    <row r="127" spans="1:9" ht="15">
      <c r="A127" s="164"/>
      <c r="B127" s="165">
        <f>DATE(23,2,1)</f>
        <v>8433</v>
      </c>
      <c r="C127" s="226">
        <v>28305002.85</v>
      </c>
      <c r="D127" s="226">
        <v>3074017.42</v>
      </c>
      <c r="E127" s="226">
        <v>2911358.37</v>
      </c>
      <c r="F127" s="166">
        <f t="shared" si="30"/>
        <v>0.055870500751853444</v>
      </c>
      <c r="G127" s="241">
        <f t="shared" si="31"/>
        <v>0.10860332487124268</v>
      </c>
      <c r="H127" s="242">
        <f t="shared" si="32"/>
        <v>0.8913966751287573</v>
      </c>
      <c r="I127" s="157"/>
    </row>
    <row r="128" spans="1:9" ht="15" thickBot="1">
      <c r="A128" s="167"/>
      <c r="B128" s="168"/>
      <c r="C128" s="226"/>
      <c r="D128" s="226"/>
      <c r="E128" s="226"/>
      <c r="F128" s="166"/>
      <c r="G128" s="241"/>
      <c r="H128" s="242"/>
      <c r="I128" s="157"/>
    </row>
    <row r="129" spans="1:9" ht="16.5" thickBot="1" thickTop="1">
      <c r="A129" s="182" t="s">
        <v>14</v>
      </c>
      <c r="B129" s="183"/>
      <c r="C129" s="230">
        <f>SUM(C120:C128)</f>
        <v>213839016.90999997</v>
      </c>
      <c r="D129" s="230">
        <f>SUM(D120:D128)</f>
        <v>24016150.409999996</v>
      </c>
      <c r="E129" s="230">
        <f>SUM(E120:E128)</f>
        <v>24931091.99</v>
      </c>
      <c r="F129" s="176">
        <f>(+D129-E129)/E129</f>
        <v>-0.036698816897670995</v>
      </c>
      <c r="G129" s="249">
        <f>D129/C129</f>
        <v>0.11230948756235563</v>
      </c>
      <c r="H129" s="246">
        <f>1-G129</f>
        <v>0.8876905124376444</v>
      </c>
      <c r="I129" s="157"/>
    </row>
    <row r="130" spans="1:9" ht="15" thickTop="1">
      <c r="A130" s="167"/>
      <c r="B130" s="168"/>
      <c r="C130" s="226"/>
      <c r="D130" s="226"/>
      <c r="E130" s="226"/>
      <c r="F130" s="166"/>
      <c r="G130" s="241"/>
      <c r="H130" s="242"/>
      <c r="I130" s="157"/>
    </row>
    <row r="131" spans="1:9" ht="15">
      <c r="A131" s="164" t="s">
        <v>37</v>
      </c>
      <c r="B131" s="165">
        <f>DATE(22,7,1)</f>
        <v>8218</v>
      </c>
      <c r="C131" s="226">
        <v>239506696.32</v>
      </c>
      <c r="D131" s="226">
        <v>21735779.22</v>
      </c>
      <c r="E131" s="226">
        <v>21441670.74</v>
      </c>
      <c r="F131" s="166">
        <f aca="true" t="shared" si="33" ref="F131:F138">(+D131-E131)/E131</f>
        <v>0.013716677378658435</v>
      </c>
      <c r="G131" s="241">
        <f aca="true" t="shared" si="34" ref="G131:G138">D131/C131</f>
        <v>0.09075228189427852</v>
      </c>
      <c r="H131" s="242">
        <f aca="true" t="shared" si="35" ref="H131:H138">1-G131</f>
        <v>0.9092477181057215</v>
      </c>
      <c r="I131" s="157"/>
    </row>
    <row r="132" spans="1:9" ht="15">
      <c r="A132" s="164"/>
      <c r="B132" s="165">
        <f>DATE(22,8,1)</f>
        <v>8249</v>
      </c>
      <c r="C132" s="226">
        <v>220146005.59</v>
      </c>
      <c r="D132" s="226">
        <v>20453352.67</v>
      </c>
      <c r="E132" s="226">
        <v>19679228.6</v>
      </c>
      <c r="F132" s="166">
        <f t="shared" si="33"/>
        <v>0.03933711456555773</v>
      </c>
      <c r="G132" s="241">
        <f t="shared" si="34"/>
        <v>0.09290812529250397</v>
      </c>
      <c r="H132" s="242">
        <f t="shared" si="35"/>
        <v>0.9070918747074961</v>
      </c>
      <c r="I132" s="157"/>
    </row>
    <row r="133" spans="1:9" ht="15">
      <c r="A133" s="164"/>
      <c r="B133" s="165">
        <f>DATE(22,9,1)</f>
        <v>8280</v>
      </c>
      <c r="C133" s="226">
        <v>219043118.49</v>
      </c>
      <c r="D133" s="226">
        <v>19785542.02</v>
      </c>
      <c r="E133" s="226">
        <v>19466571.38</v>
      </c>
      <c r="F133" s="166">
        <f t="shared" si="33"/>
        <v>0.01638555828725503</v>
      </c>
      <c r="G133" s="241">
        <f t="shared" si="34"/>
        <v>0.09032715639000213</v>
      </c>
      <c r="H133" s="242">
        <f t="shared" si="35"/>
        <v>0.9096728436099979</v>
      </c>
      <c r="I133" s="157"/>
    </row>
    <row r="134" spans="1:9" ht="15">
      <c r="A134" s="164"/>
      <c r="B134" s="165">
        <f>DATE(22,10,1)</f>
        <v>8310</v>
      </c>
      <c r="C134" s="226">
        <v>217723657.17</v>
      </c>
      <c r="D134" s="226">
        <v>19416414.08</v>
      </c>
      <c r="E134" s="226">
        <v>20992171.95</v>
      </c>
      <c r="F134" s="166">
        <f t="shared" si="33"/>
        <v>-0.07506407025214945</v>
      </c>
      <c r="G134" s="241">
        <f t="shared" si="34"/>
        <v>0.0891791656100997</v>
      </c>
      <c r="H134" s="242">
        <f t="shared" si="35"/>
        <v>0.9108208343899002</v>
      </c>
      <c r="I134" s="157"/>
    </row>
    <row r="135" spans="1:9" ht="15">
      <c r="A135" s="164"/>
      <c r="B135" s="165">
        <f>DATE(22,11,1)</f>
        <v>8341</v>
      </c>
      <c r="C135" s="226">
        <v>209644418.53</v>
      </c>
      <c r="D135" s="226">
        <v>19493781.03</v>
      </c>
      <c r="E135" s="226">
        <v>19425579.76</v>
      </c>
      <c r="F135" s="166">
        <f t="shared" si="33"/>
        <v>0.003510900104018288</v>
      </c>
      <c r="G135" s="241">
        <f t="shared" si="34"/>
        <v>0.09298497506724918</v>
      </c>
      <c r="H135" s="242">
        <f t="shared" si="35"/>
        <v>0.9070150249327509</v>
      </c>
      <c r="I135" s="157"/>
    </row>
    <row r="136" spans="1:9" ht="15">
      <c r="A136" s="164"/>
      <c r="B136" s="165">
        <f>DATE(22,12,1)</f>
        <v>8371</v>
      </c>
      <c r="C136" s="226">
        <v>224820837.77</v>
      </c>
      <c r="D136" s="226">
        <v>20690373.02</v>
      </c>
      <c r="E136" s="226">
        <v>21621662.72</v>
      </c>
      <c r="F136" s="166">
        <f t="shared" si="33"/>
        <v>-0.04307206675361548</v>
      </c>
      <c r="G136" s="241">
        <f t="shared" si="34"/>
        <v>0.09203049514995142</v>
      </c>
      <c r="H136" s="242">
        <f t="shared" si="35"/>
        <v>0.9079695048500486</v>
      </c>
      <c r="I136" s="157"/>
    </row>
    <row r="137" spans="1:9" ht="15">
      <c r="A137" s="164"/>
      <c r="B137" s="165">
        <f>DATE(23,1,1)</f>
        <v>8402</v>
      </c>
      <c r="C137" s="226">
        <v>213059071.5</v>
      </c>
      <c r="D137" s="226">
        <v>20127849.17</v>
      </c>
      <c r="E137" s="226">
        <v>18690342.72</v>
      </c>
      <c r="F137" s="166">
        <f t="shared" si="33"/>
        <v>0.07691172235497687</v>
      </c>
      <c r="G137" s="241">
        <f t="shared" si="34"/>
        <v>0.09447074479529965</v>
      </c>
      <c r="H137" s="242">
        <f t="shared" si="35"/>
        <v>0.9055292552047003</v>
      </c>
      <c r="I137" s="157"/>
    </row>
    <row r="138" spans="1:9" ht="15">
      <c r="A138" s="164"/>
      <c r="B138" s="165">
        <f>DATE(23,2,1)</f>
        <v>8433</v>
      </c>
      <c r="C138" s="226">
        <v>208322006.68</v>
      </c>
      <c r="D138" s="226">
        <v>19683573.59</v>
      </c>
      <c r="E138" s="226">
        <v>18139556.95</v>
      </c>
      <c r="F138" s="166">
        <f t="shared" si="33"/>
        <v>0.08511876250649003</v>
      </c>
      <c r="G138" s="241">
        <f t="shared" si="34"/>
        <v>0.09448629025658155</v>
      </c>
      <c r="H138" s="242">
        <f t="shared" si="35"/>
        <v>0.9055137097434185</v>
      </c>
      <c r="I138" s="157"/>
    </row>
    <row r="139" spans="1:9" ht="15" thickBot="1">
      <c r="A139" s="167"/>
      <c r="B139" s="168"/>
      <c r="C139" s="226"/>
      <c r="D139" s="226"/>
      <c r="E139" s="226"/>
      <c r="F139" s="166"/>
      <c r="G139" s="241"/>
      <c r="H139" s="242"/>
      <c r="I139" s="157"/>
    </row>
    <row r="140" spans="1:9" ht="16.5" thickBot="1" thickTop="1">
      <c r="A140" s="174" t="s">
        <v>14</v>
      </c>
      <c r="B140" s="175"/>
      <c r="C140" s="228">
        <f>SUM(C131:C139)</f>
        <v>1752265812.05</v>
      </c>
      <c r="D140" s="228">
        <f>SUM(D131:D139)</f>
        <v>161386664.79999998</v>
      </c>
      <c r="E140" s="228">
        <f>SUM(E131:E139)</f>
        <v>159456784.82</v>
      </c>
      <c r="F140" s="176">
        <f>(+D140-E140)/E140</f>
        <v>0.012102840165619171</v>
      </c>
      <c r="G140" s="245">
        <f>D140/C140</f>
        <v>0.09210170265845197</v>
      </c>
      <c r="H140" s="246">
        <f>1-G140</f>
        <v>0.907898297341548</v>
      </c>
      <c r="I140" s="157"/>
    </row>
    <row r="141" spans="1:9" ht="15" thickTop="1">
      <c r="A141" s="167"/>
      <c r="B141" s="168"/>
      <c r="C141" s="226"/>
      <c r="D141" s="226"/>
      <c r="E141" s="226"/>
      <c r="F141" s="166"/>
      <c r="G141" s="241"/>
      <c r="H141" s="242"/>
      <c r="I141" s="157"/>
    </row>
    <row r="142" spans="1:9" ht="15">
      <c r="A142" s="164" t="s">
        <v>57</v>
      </c>
      <c r="B142" s="165">
        <f>DATE(22,7,1)</f>
        <v>8218</v>
      </c>
      <c r="C142" s="226">
        <v>35319959.49</v>
      </c>
      <c r="D142" s="226">
        <v>3941098.7</v>
      </c>
      <c r="E142" s="226">
        <v>3963905.07</v>
      </c>
      <c r="F142" s="166">
        <f aca="true" t="shared" si="36" ref="F142:F149">(+D142-E142)/E142</f>
        <v>-0.005753510640959837</v>
      </c>
      <c r="G142" s="241">
        <f aca="true" t="shared" si="37" ref="G142:G149">D142/C142</f>
        <v>0.11158276387932516</v>
      </c>
      <c r="H142" s="242">
        <f aca="true" t="shared" si="38" ref="H142:H149">1-G142</f>
        <v>0.8884172361206748</v>
      </c>
      <c r="I142" s="157"/>
    </row>
    <row r="143" spans="1:9" ht="15">
      <c r="A143" s="164"/>
      <c r="B143" s="165">
        <f>DATE(22,8,1)</f>
        <v>8249</v>
      </c>
      <c r="C143" s="226">
        <v>32131032.47</v>
      </c>
      <c r="D143" s="226">
        <v>3508347.49</v>
      </c>
      <c r="E143" s="226">
        <v>3797696.16</v>
      </c>
      <c r="F143" s="166">
        <f t="shared" si="36"/>
        <v>-0.07619057918525002</v>
      </c>
      <c r="G143" s="241">
        <f t="shared" si="37"/>
        <v>0.10918875679689606</v>
      </c>
      <c r="H143" s="242">
        <f t="shared" si="38"/>
        <v>0.8908112432031039</v>
      </c>
      <c r="I143" s="157"/>
    </row>
    <row r="144" spans="1:9" ht="15">
      <c r="A144" s="164"/>
      <c r="B144" s="165">
        <f>DATE(22,9,1)</f>
        <v>8280</v>
      </c>
      <c r="C144" s="226">
        <v>32450974.03</v>
      </c>
      <c r="D144" s="226">
        <v>3766686.61</v>
      </c>
      <c r="E144" s="226">
        <v>3519488.37</v>
      </c>
      <c r="F144" s="166">
        <f t="shared" si="36"/>
        <v>0.07023698163264558</v>
      </c>
      <c r="G144" s="241">
        <f t="shared" si="37"/>
        <v>0.11607314487749444</v>
      </c>
      <c r="H144" s="242">
        <f t="shared" si="38"/>
        <v>0.8839268551225056</v>
      </c>
      <c r="I144" s="157"/>
    </row>
    <row r="145" spans="1:9" ht="15">
      <c r="A145" s="164"/>
      <c r="B145" s="165">
        <f>DATE(22,10,1)</f>
        <v>8310</v>
      </c>
      <c r="C145" s="226">
        <v>32407148.93</v>
      </c>
      <c r="D145" s="226">
        <v>3644045.37</v>
      </c>
      <c r="E145" s="226">
        <v>3955357.96</v>
      </c>
      <c r="F145" s="166">
        <f t="shared" si="36"/>
        <v>-0.07870655276924667</v>
      </c>
      <c r="G145" s="241">
        <f t="shared" si="37"/>
        <v>0.11244572541296986</v>
      </c>
      <c r="H145" s="242">
        <f t="shared" si="38"/>
        <v>0.8875542745870302</v>
      </c>
      <c r="I145" s="157"/>
    </row>
    <row r="146" spans="1:9" ht="15">
      <c r="A146" s="164"/>
      <c r="B146" s="165">
        <f>DATE(22,11,1)</f>
        <v>8341</v>
      </c>
      <c r="C146" s="226">
        <v>30807154.7</v>
      </c>
      <c r="D146" s="226">
        <v>3367619.94</v>
      </c>
      <c r="E146" s="226">
        <v>3600834.91</v>
      </c>
      <c r="F146" s="166">
        <f t="shared" si="36"/>
        <v>-0.06476691540407227</v>
      </c>
      <c r="G146" s="241">
        <f t="shared" si="37"/>
        <v>0.10931291684655318</v>
      </c>
      <c r="H146" s="242">
        <f t="shared" si="38"/>
        <v>0.8906870831534468</v>
      </c>
      <c r="I146" s="157"/>
    </row>
    <row r="147" spans="1:9" ht="15">
      <c r="A147" s="164"/>
      <c r="B147" s="165">
        <f>DATE(22,12,1)</f>
        <v>8371</v>
      </c>
      <c r="C147" s="226">
        <v>34580559.6</v>
      </c>
      <c r="D147" s="226">
        <v>3754875.29</v>
      </c>
      <c r="E147" s="226">
        <v>3929490.08</v>
      </c>
      <c r="F147" s="166">
        <f t="shared" si="36"/>
        <v>-0.04443701000512515</v>
      </c>
      <c r="G147" s="241">
        <f t="shared" si="37"/>
        <v>0.10858341604165364</v>
      </c>
      <c r="H147" s="242">
        <f t="shared" si="38"/>
        <v>0.8914165839583463</v>
      </c>
      <c r="I147" s="157"/>
    </row>
    <row r="148" spans="1:9" ht="15">
      <c r="A148" s="164"/>
      <c r="B148" s="165">
        <f>DATE(23,1,1)</f>
        <v>8402</v>
      </c>
      <c r="C148" s="226">
        <v>31650112.37</v>
      </c>
      <c r="D148" s="226">
        <v>3530111.77</v>
      </c>
      <c r="E148" s="226">
        <v>3412089.33</v>
      </c>
      <c r="F148" s="166">
        <f t="shared" si="36"/>
        <v>0.03458949300134529</v>
      </c>
      <c r="G148" s="241">
        <f t="shared" si="37"/>
        <v>0.1115355209084839</v>
      </c>
      <c r="H148" s="242">
        <f t="shared" si="38"/>
        <v>0.8884644790915162</v>
      </c>
      <c r="I148" s="157"/>
    </row>
    <row r="149" spans="1:9" ht="15">
      <c r="A149" s="164"/>
      <c r="B149" s="165">
        <f>DATE(23,2,1)</f>
        <v>8433</v>
      </c>
      <c r="C149" s="226">
        <v>35560292.88</v>
      </c>
      <c r="D149" s="226">
        <v>3950011.33</v>
      </c>
      <c r="E149" s="226">
        <v>3898386.72</v>
      </c>
      <c r="F149" s="166">
        <f t="shared" si="36"/>
        <v>0.013242557423856572</v>
      </c>
      <c r="G149" s="241">
        <f t="shared" si="37"/>
        <v>0.1110792687599484</v>
      </c>
      <c r="H149" s="242">
        <f t="shared" si="38"/>
        <v>0.8889207312400516</v>
      </c>
      <c r="I149" s="157"/>
    </row>
    <row r="150" spans="1:9" ht="15" thickBot="1">
      <c r="A150" s="167"/>
      <c r="B150" s="168"/>
      <c r="C150" s="226"/>
      <c r="D150" s="226"/>
      <c r="E150" s="226"/>
      <c r="F150" s="166"/>
      <c r="G150" s="241"/>
      <c r="H150" s="242"/>
      <c r="I150" s="157"/>
    </row>
    <row r="151" spans="1:9" ht="16.5" thickBot="1" thickTop="1">
      <c r="A151" s="169" t="s">
        <v>14</v>
      </c>
      <c r="B151" s="155"/>
      <c r="C151" s="223">
        <f>SUM(C142:C150)</f>
        <v>264907234.47</v>
      </c>
      <c r="D151" s="223">
        <f>SUM(D142:D150)</f>
        <v>29462796.5</v>
      </c>
      <c r="E151" s="223">
        <f>SUM(E142:E150)</f>
        <v>30077248.6</v>
      </c>
      <c r="F151" s="176">
        <f>(+D151-E151)/E151</f>
        <v>-0.02042913260357204</v>
      </c>
      <c r="G151" s="245">
        <f>D151/C151</f>
        <v>0.11121929742291194</v>
      </c>
      <c r="H151" s="246">
        <f>1-G151</f>
        <v>0.8887807025770881</v>
      </c>
      <c r="I151" s="157"/>
    </row>
    <row r="152" spans="1:9" ht="15.75" thickBot="1" thickTop="1">
      <c r="A152" s="171"/>
      <c r="B152" s="172"/>
      <c r="C152" s="227"/>
      <c r="D152" s="227"/>
      <c r="E152" s="227"/>
      <c r="F152" s="173"/>
      <c r="G152" s="243"/>
      <c r="H152" s="244"/>
      <c r="I152" s="157"/>
    </row>
    <row r="153" spans="1:9" ht="16.5" thickBot="1" thickTop="1">
      <c r="A153" s="184" t="s">
        <v>38</v>
      </c>
      <c r="B153" s="155"/>
      <c r="C153" s="223">
        <f>C151+C140+C107+C85+C63+C41+C19+C52+C129+C30+C96+C118+C74</f>
        <v>11149115680.380001</v>
      </c>
      <c r="D153" s="223">
        <f>D151+D140+D107+D85+D63+D41+D19+D52+D129+D30+D96+D118+D74</f>
        <v>1076782216.18</v>
      </c>
      <c r="E153" s="223">
        <f>E151+E140+E107+E85+E63+E41+E19+E52+E129+E30+E96+E118+E74</f>
        <v>1066584944.1800001</v>
      </c>
      <c r="F153" s="170">
        <f>(+D153-E153)/E153</f>
        <v>0.009560674989500957</v>
      </c>
      <c r="G153" s="236">
        <f>D153/C153</f>
        <v>0.09658005594783635</v>
      </c>
      <c r="H153" s="237">
        <f>1-G153</f>
        <v>0.9034199440521636</v>
      </c>
      <c r="I153" s="157"/>
    </row>
    <row r="154" spans="1:9" ht="16.5" thickBot="1" thickTop="1">
      <c r="A154" s="184"/>
      <c r="B154" s="155"/>
      <c r="C154" s="223"/>
      <c r="D154" s="223"/>
      <c r="E154" s="223"/>
      <c r="F154" s="170"/>
      <c r="G154" s="236"/>
      <c r="H154" s="237"/>
      <c r="I154" s="157"/>
    </row>
    <row r="155" spans="1:9" ht="16.5" thickBot="1" thickTop="1">
      <c r="A155" s="184" t="s">
        <v>39</v>
      </c>
      <c r="B155" s="155"/>
      <c r="C155" s="223">
        <f>+C17+C28+C39+C50+C61+C72+C83+C94+C105+C116+C127+C138+C149</f>
        <v>1381318535.5200002</v>
      </c>
      <c r="D155" s="223">
        <f>+D17+D28+D39+D50+D61+D72+D83+D94+D105+D116+D127+D138+D149</f>
        <v>134989380.91</v>
      </c>
      <c r="E155" s="223">
        <f>+E17+E28+E39+E50+E61+E72+E83+E94+E105+E116+E127+E138+E149</f>
        <v>125744474.13000003</v>
      </c>
      <c r="F155" s="170">
        <f>(+D155-E155)/E155</f>
        <v>0.07352137613969574</v>
      </c>
      <c r="G155" s="236">
        <f>D155/C155</f>
        <v>0.09772501956558699</v>
      </c>
      <c r="H155" s="246">
        <f>1-G155</f>
        <v>0.902274980434413</v>
      </c>
      <c r="I155" s="157"/>
    </row>
    <row r="156" spans="1:9" ht="15.75" thickTop="1">
      <c r="A156" s="185"/>
      <c r="B156" s="186"/>
      <c r="C156" s="231"/>
      <c r="D156" s="231"/>
      <c r="E156" s="231"/>
      <c r="F156" s="187"/>
      <c r="G156" s="250"/>
      <c r="H156" s="250"/>
      <c r="I156" s="151"/>
    </row>
    <row r="157" spans="1:9" ht="16.5" customHeight="1">
      <c r="A157" s="188" t="s">
        <v>49</v>
      </c>
      <c r="B157" s="189"/>
      <c r="C157" s="232"/>
      <c r="D157" s="232"/>
      <c r="E157" s="232"/>
      <c r="F157" s="190"/>
      <c r="G157" s="251"/>
      <c r="H157" s="251"/>
      <c r="I157" s="151"/>
    </row>
    <row r="158" spans="1:9" ht="15">
      <c r="A158" s="191"/>
      <c r="B158" s="189"/>
      <c r="C158" s="232"/>
      <c r="D158" s="232"/>
      <c r="E158" s="232"/>
      <c r="F158" s="190"/>
      <c r="G158" s="257"/>
      <c r="H158" s="257"/>
      <c r="I158" s="151"/>
    </row>
    <row r="159" spans="1:9" ht="15">
      <c r="A159" s="72"/>
      <c r="I159" s="151"/>
    </row>
  </sheetData>
  <sheetProtection/>
  <printOptions horizontalCentered="1"/>
  <pageMargins left="0.75" right="0.25" top="0.3194" bottom="0.2" header="0.5" footer="0.5"/>
  <pageSetup horizontalDpi="600" verticalDpi="600" orientation="landscape" scale="63" r:id="rId1"/>
  <rowBreaks count="3" manualBreakCount="3">
    <brk id="52" max="8" man="1"/>
    <brk id="96" max="8" man="1"/>
    <brk id="1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Jennifer Bruns</cp:lastModifiedBy>
  <cp:lastPrinted>2023-03-09T14:36:33Z</cp:lastPrinted>
  <dcterms:created xsi:type="dcterms:W3CDTF">2003-09-09T14:41:43Z</dcterms:created>
  <dcterms:modified xsi:type="dcterms:W3CDTF">2023-03-09T14:40:07Z</dcterms:modified>
  <cp:category/>
  <cp:version/>
  <cp:contentType/>
  <cp:contentStatus/>
</cp:coreProperties>
</file>