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ebteam-prod\Desktop\"/>
    </mc:Choice>
  </mc:AlternateContent>
  <bookViews>
    <workbookView xWindow="90" yWindow="150" windowWidth="7530" windowHeight="4050"/>
  </bookViews>
  <sheets>
    <sheet name="MONTHLY STATS" sheetId="1" r:id="rId1"/>
    <sheet name="YTD TAXES" sheetId="2" r:id="rId2"/>
    <sheet name="TABLE STATS" sheetId="3" r:id="rId3"/>
    <sheet name="HYBRID STATS" sheetId="5" r:id="rId4"/>
    <sheet name="SLOT STATS" sheetId="4" r:id="rId5"/>
  </sheets>
  <definedNames>
    <definedName name="_xlnm.Print_Area" localSheetId="0">'MONTHLY STATS'!$A$1:$M$78</definedName>
    <definedName name="_xlnm.Print_Area" localSheetId="4">'SLOT STATS'!$A$1:$I$79</definedName>
    <definedName name="_xlnm.Print_Area" localSheetId="2">'TABLE STATS'!$A$1:$H$78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calcId="162913" calcMode="autoNoTable" iterate="1" iterateCount="1" iterateDelta="0"/>
</workbook>
</file>

<file path=xl/calcChain.xml><?xml version="1.0" encoding="utf-8"?>
<calcChain xmlns="http://schemas.openxmlformats.org/spreadsheetml/2006/main">
  <c r="E77" i="4" l="1"/>
  <c r="D77" i="4"/>
  <c r="C77" i="4"/>
  <c r="G71" i="4"/>
  <c r="H71" i="4" s="1"/>
  <c r="F71" i="4"/>
  <c r="G66" i="4"/>
  <c r="H66" i="4" s="1"/>
  <c r="F66" i="4"/>
  <c r="G61" i="4"/>
  <c r="H61" i="4" s="1"/>
  <c r="F61" i="4"/>
  <c r="G56" i="4"/>
  <c r="H56" i="4" s="1"/>
  <c r="F56" i="4"/>
  <c r="G51" i="4"/>
  <c r="H51" i="4"/>
  <c r="F51" i="4"/>
  <c r="G46" i="4"/>
  <c r="H46" i="4" s="1"/>
  <c r="F46" i="4"/>
  <c r="G41" i="4"/>
  <c r="H41" i="4" s="1"/>
  <c r="F41" i="4"/>
  <c r="G36" i="4"/>
  <c r="H36" i="4" s="1"/>
  <c r="F36" i="4"/>
  <c r="G31" i="4"/>
  <c r="H31" i="4" s="1"/>
  <c r="F31" i="4"/>
  <c r="G26" i="4"/>
  <c r="H26" i="4" s="1"/>
  <c r="F26" i="4"/>
  <c r="G21" i="4"/>
  <c r="H21" i="4"/>
  <c r="F21" i="4"/>
  <c r="H16" i="4"/>
  <c r="G16" i="4"/>
  <c r="F16" i="4"/>
  <c r="G11" i="4"/>
  <c r="H11" i="4"/>
  <c r="F11" i="4"/>
  <c r="B71" i="4"/>
  <c r="B66" i="4"/>
  <c r="B61" i="4"/>
  <c r="B56" i="4"/>
  <c r="B51" i="4"/>
  <c r="B46" i="4"/>
  <c r="B41" i="4"/>
  <c r="B36" i="4"/>
  <c r="B31" i="4"/>
  <c r="B26" i="4"/>
  <c r="B21" i="4"/>
  <c r="B16" i="4"/>
  <c r="B11" i="4"/>
  <c r="E77" i="5"/>
  <c r="D77" i="5"/>
  <c r="C77" i="5"/>
  <c r="G66" i="5"/>
  <c r="H66" i="5"/>
  <c r="H65" i="5"/>
  <c r="G65" i="5"/>
  <c r="B71" i="5"/>
  <c r="B66" i="5"/>
  <c r="B61" i="5"/>
  <c r="B56" i="5"/>
  <c r="B51" i="5"/>
  <c r="B46" i="5"/>
  <c r="B41" i="5"/>
  <c r="B36" i="5"/>
  <c r="B31" i="5"/>
  <c r="B26" i="5"/>
  <c r="B21" i="5"/>
  <c r="B16" i="5"/>
  <c r="B11" i="5"/>
  <c r="E76" i="3"/>
  <c r="D76" i="3"/>
  <c r="F76" i="3" s="1"/>
  <c r="C76" i="3"/>
  <c r="G76" i="3"/>
  <c r="G70" i="3"/>
  <c r="F70" i="3"/>
  <c r="G65" i="3"/>
  <c r="F65" i="3"/>
  <c r="G60" i="3"/>
  <c r="F60" i="3"/>
  <c r="G55" i="3"/>
  <c r="F55" i="3"/>
  <c r="G50" i="3"/>
  <c r="F50" i="3"/>
  <c r="G45" i="3"/>
  <c r="F45" i="3"/>
  <c r="G40" i="3"/>
  <c r="F40" i="3"/>
  <c r="G35" i="3"/>
  <c r="F35" i="3"/>
  <c r="G30" i="3"/>
  <c r="F30" i="3"/>
  <c r="G25" i="3"/>
  <c r="F25" i="3"/>
  <c r="G20" i="3"/>
  <c r="F20" i="3"/>
  <c r="G15" i="3"/>
  <c r="F15" i="3"/>
  <c r="G10" i="3"/>
  <c r="F10" i="3"/>
  <c r="B70" i="3"/>
  <c r="B65" i="3"/>
  <c r="B60" i="3"/>
  <c r="B55" i="3"/>
  <c r="B50" i="3"/>
  <c r="B45" i="3"/>
  <c r="B40" i="3"/>
  <c r="B35" i="3"/>
  <c r="B30" i="3"/>
  <c r="B25" i="3"/>
  <c r="B20" i="3"/>
  <c r="B15" i="3"/>
  <c r="B10" i="3"/>
  <c r="N32" i="2"/>
  <c r="M32" i="2"/>
  <c r="L32" i="2"/>
  <c r="K32" i="2"/>
  <c r="J32" i="2"/>
  <c r="I32" i="2"/>
  <c r="H32" i="2"/>
  <c r="G32" i="2"/>
  <c r="F32" i="2"/>
  <c r="E32" i="2"/>
  <c r="D32" i="2"/>
  <c r="C32" i="2"/>
  <c r="B32" i="2"/>
  <c r="N11" i="2"/>
  <c r="M11" i="2"/>
  <c r="L11" i="2"/>
  <c r="K11" i="2"/>
  <c r="J11" i="2"/>
  <c r="I11" i="2"/>
  <c r="H11" i="2"/>
  <c r="G11" i="2"/>
  <c r="F11" i="2"/>
  <c r="E11" i="2"/>
  <c r="D11" i="2"/>
  <c r="C11" i="2"/>
  <c r="B11" i="2"/>
  <c r="B10" i="2"/>
  <c r="A32" i="2"/>
  <c r="A11" i="2"/>
  <c r="L76" i="1"/>
  <c r="K76" i="1"/>
  <c r="D76" i="1"/>
  <c r="C76" i="1"/>
  <c r="M70" i="1"/>
  <c r="I70" i="1"/>
  <c r="E70" i="1"/>
  <c r="G70" i="1"/>
  <c r="F70" i="1"/>
  <c r="J70" i="1" s="1"/>
  <c r="M65" i="1"/>
  <c r="I65" i="1"/>
  <c r="H65" i="1"/>
  <c r="E65" i="1"/>
  <c r="G65" i="1"/>
  <c r="F65" i="1"/>
  <c r="J65" i="1" s="1"/>
  <c r="M60" i="1"/>
  <c r="I60" i="1"/>
  <c r="H60" i="1"/>
  <c r="E60" i="1"/>
  <c r="G60" i="1"/>
  <c r="F60" i="1"/>
  <c r="J60" i="1" s="1"/>
  <c r="M55" i="1"/>
  <c r="I55" i="1"/>
  <c r="E55" i="1"/>
  <c r="G55" i="1"/>
  <c r="F55" i="1"/>
  <c r="J55" i="1" s="1"/>
  <c r="M50" i="1"/>
  <c r="I50" i="1"/>
  <c r="H50" i="1"/>
  <c r="E50" i="1"/>
  <c r="G50" i="1"/>
  <c r="F50" i="1"/>
  <c r="J50" i="1" s="1"/>
  <c r="M45" i="1"/>
  <c r="J45" i="1"/>
  <c r="I45" i="1"/>
  <c r="E45" i="1"/>
  <c r="G45" i="1"/>
  <c r="H45" i="1" s="1"/>
  <c r="F45" i="1"/>
  <c r="M40" i="1"/>
  <c r="I40" i="1"/>
  <c r="E40" i="1"/>
  <c r="G40" i="1"/>
  <c r="F40" i="1"/>
  <c r="J40" i="1" s="1"/>
  <c r="M35" i="1"/>
  <c r="I35" i="1"/>
  <c r="E35" i="1"/>
  <c r="G35" i="1"/>
  <c r="F35" i="1"/>
  <c r="J35" i="1" s="1"/>
  <c r="M30" i="1"/>
  <c r="I30" i="1"/>
  <c r="E30" i="1"/>
  <c r="G30" i="1"/>
  <c r="F30" i="1"/>
  <c r="J30" i="1" s="1"/>
  <c r="M25" i="1"/>
  <c r="I25" i="1"/>
  <c r="H25" i="1"/>
  <c r="E25" i="1"/>
  <c r="G25" i="1"/>
  <c r="F25" i="1"/>
  <c r="J25" i="1" s="1"/>
  <c r="M20" i="1"/>
  <c r="J20" i="1"/>
  <c r="I20" i="1"/>
  <c r="H20" i="1"/>
  <c r="E20" i="1"/>
  <c r="G20" i="1"/>
  <c r="F20" i="1"/>
  <c r="M15" i="1"/>
  <c r="I15" i="1"/>
  <c r="E15" i="1"/>
  <c r="G15" i="1"/>
  <c r="F15" i="1"/>
  <c r="J15" i="1" s="1"/>
  <c r="M10" i="1"/>
  <c r="I10" i="1"/>
  <c r="E10" i="1"/>
  <c r="G10" i="1"/>
  <c r="G76" i="1" s="1"/>
  <c r="F10" i="1"/>
  <c r="H10" i="1" s="1"/>
  <c r="B70" i="1"/>
  <c r="B65" i="1"/>
  <c r="B60" i="1"/>
  <c r="B55" i="1"/>
  <c r="B50" i="1"/>
  <c r="B45" i="1"/>
  <c r="B40" i="1"/>
  <c r="B35" i="1"/>
  <c r="B30" i="1"/>
  <c r="B25" i="1"/>
  <c r="B20" i="1"/>
  <c r="B15" i="1"/>
  <c r="B10" i="1"/>
  <c r="A31" i="2"/>
  <c r="A10" i="2"/>
  <c r="B70" i="4"/>
  <c r="B65" i="4"/>
  <c r="B60" i="4"/>
  <c r="B55" i="4"/>
  <c r="B50" i="4"/>
  <c r="B45" i="4"/>
  <c r="B40" i="4"/>
  <c r="B35" i="4"/>
  <c r="B30" i="4"/>
  <c r="B25" i="4"/>
  <c r="B20" i="4"/>
  <c r="B15" i="4"/>
  <c r="B10" i="4"/>
  <c r="B70" i="5"/>
  <c r="B65" i="5"/>
  <c r="B60" i="5"/>
  <c r="B55" i="5"/>
  <c r="B50" i="5"/>
  <c r="B45" i="5"/>
  <c r="B40" i="5"/>
  <c r="B35" i="5"/>
  <c r="B30" i="5"/>
  <c r="B25" i="5"/>
  <c r="B20" i="5"/>
  <c r="B15" i="5"/>
  <c r="B10" i="5"/>
  <c r="B69" i="3"/>
  <c r="B64" i="3"/>
  <c r="B59" i="3"/>
  <c r="B54" i="3"/>
  <c r="B49" i="3"/>
  <c r="B44" i="3"/>
  <c r="B39" i="3"/>
  <c r="B34" i="3"/>
  <c r="B29" i="3"/>
  <c r="B24" i="3"/>
  <c r="B19" i="3"/>
  <c r="B14" i="3"/>
  <c r="B9" i="3"/>
  <c r="G69" i="1"/>
  <c r="F69" i="1"/>
  <c r="J69" i="1" s="1"/>
  <c r="G64" i="1"/>
  <c r="F64" i="1"/>
  <c r="F67" i="1" s="1"/>
  <c r="G59" i="1"/>
  <c r="G62" i="1" s="1"/>
  <c r="F59" i="1"/>
  <c r="F62" i="1" s="1"/>
  <c r="G54" i="1"/>
  <c r="F54" i="1"/>
  <c r="G49" i="1"/>
  <c r="F49" i="1"/>
  <c r="F52" i="1" s="1"/>
  <c r="G44" i="1"/>
  <c r="G47" i="1" s="1"/>
  <c r="F44" i="1"/>
  <c r="G39" i="1"/>
  <c r="F39" i="1"/>
  <c r="J39" i="1" s="1"/>
  <c r="G34" i="1"/>
  <c r="F34" i="1"/>
  <c r="G29" i="1"/>
  <c r="F29" i="1"/>
  <c r="G24" i="1"/>
  <c r="F24" i="1"/>
  <c r="G19" i="1"/>
  <c r="G22" i="1" s="1"/>
  <c r="F19" i="1"/>
  <c r="F22" i="1" s="1"/>
  <c r="G14" i="1"/>
  <c r="F14" i="1"/>
  <c r="J14" i="1" s="1"/>
  <c r="G9" i="1"/>
  <c r="G12" i="1" s="1"/>
  <c r="F9" i="1"/>
  <c r="F12" i="1" s="1"/>
  <c r="B69" i="1"/>
  <c r="B64" i="1"/>
  <c r="B59" i="1"/>
  <c r="B54" i="1"/>
  <c r="B49" i="1"/>
  <c r="B44" i="1"/>
  <c r="B39" i="1"/>
  <c r="B34" i="1"/>
  <c r="B29" i="1"/>
  <c r="B24" i="1"/>
  <c r="B19" i="1"/>
  <c r="B14" i="1"/>
  <c r="B9" i="1"/>
  <c r="J49" i="1"/>
  <c r="J44" i="1"/>
  <c r="J64" i="1"/>
  <c r="J59" i="1"/>
  <c r="J54" i="1"/>
  <c r="J19" i="1"/>
  <c r="G17" i="1"/>
  <c r="E73" i="5"/>
  <c r="D73" i="5"/>
  <c r="C73" i="5"/>
  <c r="E68" i="5"/>
  <c r="D68" i="5"/>
  <c r="C68" i="5"/>
  <c r="E63" i="5"/>
  <c r="D63" i="5"/>
  <c r="C63" i="5"/>
  <c r="E58" i="5"/>
  <c r="D58" i="5"/>
  <c r="C58" i="5"/>
  <c r="E53" i="5"/>
  <c r="D53" i="5"/>
  <c r="C53" i="5"/>
  <c r="E48" i="5"/>
  <c r="D48" i="5"/>
  <c r="C48" i="5"/>
  <c r="E43" i="5"/>
  <c r="D43" i="5"/>
  <c r="C43" i="5"/>
  <c r="E38" i="5"/>
  <c r="D38" i="5"/>
  <c r="C38" i="5"/>
  <c r="E33" i="5"/>
  <c r="D33" i="5"/>
  <c r="C33" i="5"/>
  <c r="E28" i="5"/>
  <c r="D28" i="5"/>
  <c r="C28" i="5"/>
  <c r="E23" i="5"/>
  <c r="D23" i="5"/>
  <c r="C23" i="5"/>
  <c r="E18" i="5"/>
  <c r="D18" i="5"/>
  <c r="C18" i="5"/>
  <c r="E13" i="5"/>
  <c r="D13" i="5"/>
  <c r="C13" i="5"/>
  <c r="L27" i="1"/>
  <c r="F35" i="4"/>
  <c r="F34" i="3"/>
  <c r="M34" i="1"/>
  <c r="E34" i="1"/>
  <c r="F70" i="4"/>
  <c r="F69" i="3"/>
  <c r="G31" i="2"/>
  <c r="G10" i="2"/>
  <c r="M69" i="1"/>
  <c r="E69" i="1"/>
  <c r="E38" i="4"/>
  <c r="D38" i="4"/>
  <c r="F38" i="4"/>
  <c r="C38" i="4"/>
  <c r="G35" i="4"/>
  <c r="H35" i="4" s="1"/>
  <c r="E37" i="3"/>
  <c r="D37" i="3"/>
  <c r="C37" i="3"/>
  <c r="G37" i="3"/>
  <c r="G34" i="3"/>
  <c r="L37" i="1"/>
  <c r="D37" i="1"/>
  <c r="C37" i="1"/>
  <c r="I34" i="1"/>
  <c r="G70" i="4"/>
  <c r="H70" i="4" s="1"/>
  <c r="G69" i="3"/>
  <c r="I69" i="1"/>
  <c r="D12" i="1"/>
  <c r="D17" i="1"/>
  <c r="D22" i="1"/>
  <c r="D27" i="1"/>
  <c r="D32" i="1"/>
  <c r="D42" i="1"/>
  <c r="D47" i="1"/>
  <c r="D52" i="1"/>
  <c r="D57" i="1"/>
  <c r="D62" i="1"/>
  <c r="D67" i="1"/>
  <c r="D72" i="1"/>
  <c r="C72" i="1"/>
  <c r="E72" i="1" s="1"/>
  <c r="C73" i="4"/>
  <c r="D73" i="4"/>
  <c r="C72" i="3"/>
  <c r="D72" i="3"/>
  <c r="E13" i="4"/>
  <c r="E18" i="4"/>
  <c r="E23" i="4"/>
  <c r="E28" i="4"/>
  <c r="E33" i="4"/>
  <c r="E43" i="4"/>
  <c r="E48" i="4"/>
  <c r="E53" i="4"/>
  <c r="E58" i="4"/>
  <c r="E63" i="4"/>
  <c r="E68" i="4"/>
  <c r="E73" i="4"/>
  <c r="D13" i="4"/>
  <c r="D18" i="4"/>
  <c r="D23" i="4"/>
  <c r="F23" i="4" s="1"/>
  <c r="D28" i="4"/>
  <c r="F28" i="4" s="1"/>
  <c r="D33" i="4"/>
  <c r="F33" i="4" s="1"/>
  <c r="D43" i="4"/>
  <c r="F43" i="4" s="1"/>
  <c r="D48" i="4"/>
  <c r="D53" i="4"/>
  <c r="D58" i="4"/>
  <c r="D63" i="4"/>
  <c r="D68" i="4"/>
  <c r="G68" i="4" s="1"/>
  <c r="H68" i="4" s="1"/>
  <c r="C13" i="4"/>
  <c r="G13" i="4" s="1"/>
  <c r="H13" i="4" s="1"/>
  <c r="C18" i="4"/>
  <c r="G18" i="4"/>
  <c r="H18" i="4" s="1"/>
  <c r="C23" i="4"/>
  <c r="G23" i="4" s="1"/>
  <c r="H23" i="4" s="1"/>
  <c r="C28" i="4"/>
  <c r="C33" i="4"/>
  <c r="C43" i="4"/>
  <c r="C48" i="4"/>
  <c r="C53" i="4"/>
  <c r="C58" i="4"/>
  <c r="C63" i="4"/>
  <c r="C68" i="4"/>
  <c r="F55" i="4"/>
  <c r="E12" i="3"/>
  <c r="E17" i="3"/>
  <c r="E22" i="3"/>
  <c r="E27" i="3"/>
  <c r="E32" i="3"/>
  <c r="E42" i="3"/>
  <c r="E47" i="3"/>
  <c r="E52" i="3"/>
  <c r="E57" i="3"/>
  <c r="F57" i="3"/>
  <c r="E62" i="3"/>
  <c r="E67" i="3"/>
  <c r="E72" i="3"/>
  <c r="D12" i="3"/>
  <c r="D17" i="3"/>
  <c r="D22" i="3"/>
  <c r="F22" i="3"/>
  <c r="D27" i="3"/>
  <c r="D32" i="3"/>
  <c r="D42" i="3"/>
  <c r="F42" i="3" s="1"/>
  <c r="D47" i="3"/>
  <c r="D52" i="3"/>
  <c r="D57" i="3"/>
  <c r="D62" i="3"/>
  <c r="G62" i="3" s="1"/>
  <c r="D67" i="3"/>
  <c r="G67" i="3" s="1"/>
  <c r="C12" i="3"/>
  <c r="C17" i="3"/>
  <c r="C22" i="3"/>
  <c r="C27" i="3"/>
  <c r="C32" i="3"/>
  <c r="C42" i="3"/>
  <c r="C47" i="3"/>
  <c r="C52" i="3"/>
  <c r="C57" i="3"/>
  <c r="C62" i="3"/>
  <c r="C67" i="3"/>
  <c r="F54" i="3"/>
  <c r="M54" i="1"/>
  <c r="E54" i="1"/>
  <c r="L12" i="1"/>
  <c r="L17" i="1"/>
  <c r="L22" i="1"/>
  <c r="L32" i="1"/>
  <c r="L42" i="1"/>
  <c r="L47" i="1"/>
  <c r="L52" i="1"/>
  <c r="L57" i="1"/>
  <c r="L62" i="1"/>
  <c r="L67" i="1"/>
  <c r="K12" i="1"/>
  <c r="M12" i="1" s="1"/>
  <c r="K17" i="1"/>
  <c r="I17" i="1"/>
  <c r="C12" i="1"/>
  <c r="C17" i="1"/>
  <c r="C22" i="1"/>
  <c r="C27" i="1"/>
  <c r="E27" i="1" s="1"/>
  <c r="C32" i="1"/>
  <c r="C42" i="1"/>
  <c r="E42" i="1" s="1"/>
  <c r="C47" i="1"/>
  <c r="E47" i="1" s="1"/>
  <c r="C52" i="1"/>
  <c r="C57" i="1"/>
  <c r="E57" i="1" s="1"/>
  <c r="C62" i="1"/>
  <c r="C67" i="1"/>
  <c r="E67" i="1" s="1"/>
  <c r="E59" i="1"/>
  <c r="I59" i="1"/>
  <c r="M59" i="1"/>
  <c r="K57" i="1"/>
  <c r="M57" i="1"/>
  <c r="F65" i="4"/>
  <c r="K31" i="2"/>
  <c r="K10" i="2"/>
  <c r="K27" i="1"/>
  <c r="M27" i="1" s="1"/>
  <c r="K32" i="1"/>
  <c r="M32" i="1" s="1"/>
  <c r="K42" i="1"/>
  <c r="M42" i="1" s="1"/>
  <c r="K47" i="1"/>
  <c r="J47" i="1" s="1"/>
  <c r="K52" i="1"/>
  <c r="K67" i="1"/>
  <c r="M67" i="1" s="1"/>
  <c r="I54" i="1"/>
  <c r="G55" i="4"/>
  <c r="H55" i="4" s="1"/>
  <c r="G54" i="3"/>
  <c r="F45" i="4"/>
  <c r="F44" i="3"/>
  <c r="N31" i="2"/>
  <c r="M31" i="2"/>
  <c r="M44" i="2"/>
  <c r="L31" i="2"/>
  <c r="L44" i="2"/>
  <c r="J31" i="2"/>
  <c r="I31" i="2"/>
  <c r="H31" i="2"/>
  <c r="F31" i="2"/>
  <c r="F44" i="2"/>
  <c r="E31" i="2"/>
  <c r="E44" i="2" s="1"/>
  <c r="C31" i="2"/>
  <c r="B31" i="2"/>
  <c r="B44" i="2" s="1"/>
  <c r="M44" i="1"/>
  <c r="E44" i="1"/>
  <c r="I10" i="2"/>
  <c r="G45" i="4"/>
  <c r="H45" i="4"/>
  <c r="G50" i="4"/>
  <c r="H50" i="4" s="1"/>
  <c r="F50" i="4"/>
  <c r="G44" i="3"/>
  <c r="I44" i="1"/>
  <c r="F10" i="4"/>
  <c r="G10" i="4"/>
  <c r="H10" i="4"/>
  <c r="I9" i="1"/>
  <c r="I14" i="1"/>
  <c r="I24" i="1"/>
  <c r="I29" i="1"/>
  <c r="I39" i="1"/>
  <c r="I49" i="1"/>
  <c r="I64" i="1"/>
  <c r="E9" i="1"/>
  <c r="M9" i="1"/>
  <c r="E14" i="1"/>
  <c r="M14" i="1"/>
  <c r="E19" i="1"/>
  <c r="E24" i="1"/>
  <c r="M24" i="1"/>
  <c r="E29" i="1"/>
  <c r="M29" i="1"/>
  <c r="E39" i="1"/>
  <c r="M39" i="1"/>
  <c r="E49" i="1"/>
  <c r="M49" i="1"/>
  <c r="E64" i="1"/>
  <c r="M64" i="1"/>
  <c r="F15" i="4"/>
  <c r="G15" i="4"/>
  <c r="H15" i="4" s="1"/>
  <c r="F20" i="4"/>
  <c r="G20" i="4"/>
  <c r="H20" i="4"/>
  <c r="F25" i="4"/>
  <c r="G25" i="4"/>
  <c r="H25" i="4"/>
  <c r="F30" i="4"/>
  <c r="G30" i="4"/>
  <c r="H30" i="4" s="1"/>
  <c r="F40" i="4"/>
  <c r="G40" i="4"/>
  <c r="H40" i="4" s="1"/>
  <c r="F60" i="4"/>
  <c r="G60" i="4"/>
  <c r="H60" i="4"/>
  <c r="G65" i="4"/>
  <c r="H65" i="4" s="1"/>
  <c r="F9" i="3"/>
  <c r="F14" i="3"/>
  <c r="G14" i="3"/>
  <c r="F19" i="3"/>
  <c r="G19" i="3"/>
  <c r="F24" i="3"/>
  <c r="G24" i="3"/>
  <c r="F29" i="3"/>
  <c r="G29" i="3"/>
  <c r="F39" i="3"/>
  <c r="G39" i="3"/>
  <c r="F49" i="3"/>
  <c r="G49" i="3"/>
  <c r="F59" i="3"/>
  <c r="G59" i="3"/>
  <c r="F64" i="3"/>
  <c r="G64" i="3"/>
  <c r="G9" i="3"/>
  <c r="B23" i="2"/>
  <c r="C10" i="2"/>
  <c r="D10" i="2"/>
  <c r="D23" i="2"/>
  <c r="E10" i="2"/>
  <c r="F10" i="2"/>
  <c r="H10" i="2"/>
  <c r="H23" i="2" s="1"/>
  <c r="J10" i="2"/>
  <c r="J23" i="2" s="1"/>
  <c r="L10" i="2"/>
  <c r="L23" i="2" s="1"/>
  <c r="M10" i="2"/>
  <c r="M23" i="2" s="1"/>
  <c r="N10" i="2"/>
  <c r="I19" i="1"/>
  <c r="M19" i="1"/>
  <c r="K22" i="1"/>
  <c r="I22" i="1" s="1"/>
  <c r="D31" i="2"/>
  <c r="L72" i="1"/>
  <c r="M72" i="1" s="1"/>
  <c r="K72" i="1"/>
  <c r="I72" i="1" s="1"/>
  <c r="K37" i="1"/>
  <c r="M37" i="1" s="1"/>
  <c r="K62" i="1"/>
  <c r="M62" i="1" s="1"/>
  <c r="G43" i="4"/>
  <c r="H43" i="4" s="1"/>
  <c r="G73" i="4"/>
  <c r="H73" i="4" s="1"/>
  <c r="G58" i="4"/>
  <c r="H58" i="4"/>
  <c r="F48" i="4"/>
  <c r="F18" i="4"/>
  <c r="F73" i="4"/>
  <c r="F52" i="3"/>
  <c r="G52" i="3"/>
  <c r="F37" i="3"/>
  <c r="G32" i="3"/>
  <c r="G72" i="3"/>
  <c r="F72" i="3"/>
  <c r="G57" i="3"/>
  <c r="G72" i="1"/>
  <c r="H39" i="1"/>
  <c r="H34" i="1"/>
  <c r="H64" i="1"/>
  <c r="H29" i="1"/>
  <c r="E17" i="1"/>
  <c r="E52" i="1"/>
  <c r="H69" i="1"/>
  <c r="H59" i="1"/>
  <c r="E37" i="1"/>
  <c r="J9" i="1"/>
  <c r="G67" i="1"/>
  <c r="F72" i="1"/>
  <c r="H72" i="1" s="1"/>
  <c r="J34" i="1"/>
  <c r="G52" i="1"/>
  <c r="F47" i="1"/>
  <c r="H47" i="1" s="1"/>
  <c r="E32" i="1"/>
  <c r="I52" i="1"/>
  <c r="F17" i="1"/>
  <c r="H17" i="1" s="1"/>
  <c r="F32" i="1"/>
  <c r="J24" i="1"/>
  <c r="F27" i="1"/>
  <c r="H24" i="1"/>
  <c r="G42" i="1"/>
  <c r="H54" i="1"/>
  <c r="G57" i="1"/>
  <c r="F57" i="1"/>
  <c r="H57" i="1"/>
  <c r="H19" i="1"/>
  <c r="F37" i="1"/>
  <c r="H37" i="1" s="1"/>
  <c r="H9" i="1"/>
  <c r="H14" i="1"/>
  <c r="F42" i="1"/>
  <c r="H44" i="1"/>
  <c r="H49" i="1"/>
  <c r="G27" i="1"/>
  <c r="J29" i="1"/>
  <c r="G32" i="1"/>
  <c r="G37" i="1"/>
  <c r="F77" i="4"/>
  <c r="G77" i="4"/>
  <c r="H77" i="4" s="1"/>
  <c r="F63" i="4"/>
  <c r="G63" i="4"/>
  <c r="H63" i="4" s="1"/>
  <c r="F58" i="4"/>
  <c r="F53" i="4"/>
  <c r="G53" i="4"/>
  <c r="H53" i="4" s="1"/>
  <c r="G48" i="4"/>
  <c r="H48" i="4"/>
  <c r="E75" i="4"/>
  <c r="G38" i="4"/>
  <c r="H38" i="4" s="1"/>
  <c r="D75" i="4"/>
  <c r="G28" i="4"/>
  <c r="H28" i="4" s="1"/>
  <c r="C75" i="4"/>
  <c r="G75" i="4" s="1"/>
  <c r="H75" i="4" s="1"/>
  <c r="F13" i="4"/>
  <c r="G77" i="5"/>
  <c r="H77" i="5" s="1"/>
  <c r="G68" i="5"/>
  <c r="H68" i="5"/>
  <c r="C75" i="5"/>
  <c r="D75" i="5"/>
  <c r="E75" i="5"/>
  <c r="F67" i="3"/>
  <c r="F62" i="3"/>
  <c r="F47" i="3"/>
  <c r="G47" i="3"/>
  <c r="G42" i="3"/>
  <c r="F32" i="3"/>
  <c r="F27" i="3"/>
  <c r="G27" i="3"/>
  <c r="E74" i="3"/>
  <c r="G22" i="3"/>
  <c r="F17" i="3"/>
  <c r="G17" i="3"/>
  <c r="F12" i="3"/>
  <c r="D74" i="3"/>
  <c r="G12" i="3"/>
  <c r="C74" i="3"/>
  <c r="G74" i="3" s="1"/>
  <c r="N44" i="2"/>
  <c r="K44" i="2"/>
  <c r="J44" i="2"/>
  <c r="O32" i="2"/>
  <c r="D44" i="2"/>
  <c r="C44" i="2"/>
  <c r="H44" i="2"/>
  <c r="I44" i="2"/>
  <c r="O11" i="2"/>
  <c r="K23" i="2"/>
  <c r="F23" i="2"/>
  <c r="C23" i="2"/>
  <c r="E23" i="2"/>
  <c r="G23" i="2"/>
  <c r="N23" i="2"/>
  <c r="I23" i="2"/>
  <c r="M76" i="1"/>
  <c r="I76" i="1"/>
  <c r="E76" i="1"/>
  <c r="J72" i="1"/>
  <c r="I67" i="1"/>
  <c r="E62" i="1"/>
  <c r="I62" i="1"/>
  <c r="I57" i="1"/>
  <c r="J57" i="1"/>
  <c r="M52" i="1"/>
  <c r="K74" i="1"/>
  <c r="M47" i="1"/>
  <c r="I47" i="1"/>
  <c r="H42" i="1"/>
  <c r="J42" i="1"/>
  <c r="I42" i="1"/>
  <c r="I37" i="1"/>
  <c r="J37" i="1"/>
  <c r="H32" i="1"/>
  <c r="J32" i="1"/>
  <c r="L74" i="1"/>
  <c r="J27" i="1"/>
  <c r="H27" i="1"/>
  <c r="C74" i="1"/>
  <c r="E74" i="1" s="1"/>
  <c r="E22" i="1"/>
  <c r="M17" i="1"/>
  <c r="J17" i="1"/>
  <c r="D74" i="1"/>
  <c r="I12" i="1"/>
  <c r="E12" i="1"/>
  <c r="O31" i="2"/>
  <c r="G44" i="2"/>
  <c r="O10" i="2"/>
  <c r="F75" i="4"/>
  <c r="G75" i="5"/>
  <c r="H75" i="5"/>
  <c r="F74" i="3"/>
  <c r="O44" i="2"/>
  <c r="O23" i="2"/>
  <c r="H62" i="1" l="1"/>
  <c r="J62" i="1"/>
  <c r="H67" i="1"/>
  <c r="F74" i="1"/>
  <c r="J67" i="1"/>
  <c r="J12" i="1"/>
  <c r="H12" i="1"/>
  <c r="J74" i="1"/>
  <c r="G74" i="1"/>
  <c r="J22" i="1"/>
  <c r="H22" i="1"/>
  <c r="H52" i="1"/>
  <c r="J52" i="1"/>
  <c r="I27" i="1"/>
  <c r="H35" i="1"/>
  <c r="J10" i="1"/>
  <c r="F76" i="1"/>
  <c r="M74" i="1"/>
  <c r="I32" i="1"/>
  <c r="F68" i="4"/>
  <c r="I74" i="1"/>
  <c r="H30" i="1"/>
  <c r="M22" i="1"/>
  <c r="H15" i="1"/>
  <c r="G33" i="4"/>
  <c r="H33" i="4" s="1"/>
  <c r="H40" i="1"/>
  <c r="H55" i="1"/>
  <c r="H70" i="1"/>
  <c r="J76" i="1" l="1"/>
  <c r="H76" i="1"/>
  <c r="H74" i="1"/>
</calcChain>
</file>

<file path=xl/sharedStrings.xml><?xml version="1.0" encoding="utf-8"?>
<sst xmlns="http://schemas.openxmlformats.org/spreadsheetml/2006/main" count="241" uniqueCount="78">
  <si>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</si>
  <si>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</si>
  <si>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</si>
  <si>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</si>
  <si>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</si>
  <si>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</si>
  <si>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</si>
  <si>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</si>
  <si>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</si>
  <si>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</si>
  <si>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</si>
  <si>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</si>
  <si>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</si>
  <si>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</si>
  <si>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</si>
  <si>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</si>
  <si>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</si>
  <si>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</si>
  <si>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</si>
  <si>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</si>
  <si>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</si>
  <si>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</si>
  <si>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</si>
  <si>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</si>
  <si>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</si>
  <si>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</si>
  <si>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</si>
  <si>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</si>
  <si>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</si>
  <si>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</si>
  <si>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</si>
  <si>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</si>
  <si>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</si>
  <si>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</si>
  <si>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</si>
  <si>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</si>
  <si>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</si>
  <si>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</si>
  <si>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</si>
  <si>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</si>
  <si>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</si>
  <si>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</si>
  <si>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</si>
  <si>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</si>
  <si>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</si>
  <si>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</si>
  <si>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</si>
  <si>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</si>
  <si>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</si>
  <si>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</si>
  <si>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</si>
  <si>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</si>
  <si>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LUMIERE PLACE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</si>
  <si>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</si>
  <si>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</si>
  <si>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</si>
  <si>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</si>
  <si>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</si>
  <si>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</si>
  <si>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</si>
  <si>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 xml:space="preserve">LUMIERE PLACE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</si>
  <si>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</si>
  <si>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</si>
  <si>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</si>
  <si>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</si>
  <si>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</si>
  <si>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</si>
  <si>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</si>
  <si>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</si>
  <si>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 xml:space="preserve">FISCAL 2022 YTD ADMISSIONS, PATRONS AND AGR SUMMARY </t>
  </si>
  <si>
    <t>MONTH ENDED:  AUGUST 31, 2021</t>
  </si>
  <si>
    <t>(as reported on the tax remittal database dtd 9/8/21)</t>
  </si>
  <si>
    <t>FOR THE MONTH ENDED:   AUGUST 31, 2021</t>
  </si>
  <si>
    <t>BALLY'S KANSAS CITY</t>
  </si>
  <si>
    <t>BALLY'S KC</t>
  </si>
  <si>
    <t>THRU MONTH ENDED:   AUGUST 31, 2021</t>
  </si>
  <si>
    <t>(as reported on the tax remittal database as of 9/8/21)</t>
  </si>
  <si>
    <t>THRU MONTH ENDED:     AUGUST 31,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</si>
</sst>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;[Red]\-General"/>
    <numFmt numFmtId="165" formatCode="0.000%"/>
    <numFmt numFmtId="166" formatCode="#,##0.00;[Red]\-#,##0.00"/>
    <numFmt numFmtId="167" formatCode="0.0%"/>
  </numFmts>
  <fonts count="17" x14ac:knownFonts="1">
    <font>
      <sz val="12"/>
      <name val="Arial"/>
    </font>
    <font>
      <b/>
      <sz val="10"/>
      <name val="Arial"/>
    </font>
    <font>
      <sz val="12"/>
      <name val="Arial"/>
    </font>
    <font>
      <b/>
      <sz val="14"/>
      <name val="Arial"/>
    </font>
    <font>
      <b/>
      <i/>
      <sz val="14"/>
      <name val="Arial"/>
    </font>
    <font>
      <b/>
      <sz val="11"/>
      <name val="Arial"/>
    </font>
    <font>
      <b/>
      <sz val="12"/>
      <name val="Arial"/>
    </font>
    <font>
      <b/>
      <u/>
      <sz val="12"/>
      <name val="Arial"/>
    </font>
    <font>
      <b/>
      <sz val="18"/>
      <name val="Arial"/>
    </font>
    <font>
      <b/>
      <i/>
      <u/>
      <sz val="14"/>
      <name val="Arial"/>
    </font>
    <font>
      <b/>
      <i/>
      <u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8"/>
      <name val="Arial"/>
      <family val="2"/>
    </font>
    <font>
      <i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22">
    <border>
      <left/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/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/>
      <right style="thin">
        <color indexed="8"/>
      </right>
      <top style="thick">
        <color indexed="8"/>
      </top>
      <bottom style="thick">
        <color indexed="8"/>
      </bottom>
      <diagonal/>
    </border>
  </borders>
  <cellStyleXfs count="4">
    <xf numFmtId="164" fontId="0" fillId="0" borderId="0"/>
    <xf numFmtId="0" fontId="2" fillId="0" borderId="0"/>
    <xf numFmtId="0" fontId="2" fillId="0" borderId="0"/>
    <xf numFmtId="0" fontId="2" fillId="0" borderId="0"/>
  </cellStyleXfs>
  <cellXfs count="291">
    <xf numFmtId="164" fontId="2" fillId="0" borderId="0" xfId="0" applyNumberFormat="1" applyFont="1" applyAlignment="1" applyProtection="1">
      <protection locked="0"/>
    </xf>
    <xf numFmtId="0" fontId="3" fillId="0" borderId="0" xfId="0" applyNumberFormat="1" applyFont="1" applyAlignment="1"/>
    <xf numFmtId="164" fontId="0" fillId="0" borderId="0" xfId="0" applyFont="1" applyAlignment="1"/>
    <xf numFmtId="164" fontId="0" fillId="0" borderId="0" xfId="0" applyNumberFormat="1" applyFont="1" applyAlignment="1" applyProtection="1">
      <protection locked="0"/>
    </xf>
    <xf numFmtId="0" fontId="4" fillId="0" borderId="0" xfId="0" applyNumberFormat="1" applyFont="1" applyAlignment="1"/>
    <xf numFmtId="164" fontId="1" fillId="0" borderId="0" xfId="0" applyFont="1" applyAlignment="1">
      <alignment horizontal="center"/>
    </xf>
    <xf numFmtId="164" fontId="0" fillId="2" borderId="1" xfId="0" applyFont="1" applyFill="1" applyBorder="1" applyAlignment="1"/>
    <xf numFmtId="164" fontId="5" fillId="2" borderId="2" xfId="0" applyFont="1" applyFill="1" applyBorder="1" applyAlignment="1">
      <alignment horizontal="center"/>
    </xf>
    <xf numFmtId="164" fontId="5" fillId="3" borderId="2" xfId="0" applyFont="1" applyFill="1" applyBorder="1" applyAlignment="1">
      <alignment horizontal="center"/>
    </xf>
    <xf numFmtId="164" fontId="5" fillId="3" borderId="3" xfId="0" applyFont="1" applyFill="1" applyBorder="1" applyAlignment="1">
      <alignment horizontal="center"/>
    </xf>
    <xf numFmtId="164" fontId="0" fillId="0" borderId="0" xfId="0" applyBorder="1"/>
    <xf numFmtId="164" fontId="6" fillId="2" borderId="4" xfId="0" applyFont="1" applyFill="1" applyBorder="1" applyAlignment="1">
      <alignment horizontal="center"/>
    </xf>
    <xf numFmtId="164" fontId="5" fillId="2" borderId="5" xfId="0" applyFont="1" applyFill="1" applyBorder="1" applyAlignment="1">
      <alignment horizontal="center"/>
    </xf>
    <xf numFmtId="164" fontId="0" fillId="3" borderId="5" xfId="0" applyFill="1" applyBorder="1" applyAlignment="1">
      <alignment horizontal="center"/>
    </xf>
    <xf numFmtId="164" fontId="5" fillId="3" borderId="6" xfId="0" applyFont="1" applyFill="1" applyBorder="1" applyAlignment="1">
      <alignment horizontal="center"/>
    </xf>
    <xf numFmtId="164" fontId="7" fillId="0" borderId="1" xfId="0" applyFont="1" applyBorder="1" applyAlignment="1">
      <alignment horizontal="center"/>
    </xf>
    <xf numFmtId="164" fontId="7" fillId="0" borderId="2" xfId="0" applyFont="1" applyBorder="1" applyAlignment="1">
      <alignment horizontal="center"/>
    </xf>
    <xf numFmtId="164" fontId="7" fillId="3" borderId="2" xfId="0" applyFont="1" applyFill="1" applyBorder="1" applyAlignment="1">
      <alignment horizontal="center"/>
    </xf>
    <xf numFmtId="164" fontId="7" fillId="3" borderId="3" xfId="0" applyFont="1" applyFill="1" applyBorder="1" applyAlignment="1">
      <alignment horizontal="center"/>
    </xf>
    <xf numFmtId="166" fontId="6" fillId="0" borderId="4" xfId="0" applyNumberFormat="1" applyFont="1" applyBorder="1" applyAlignment="1"/>
    <xf numFmtId="17" fontId="0" fillId="0" borderId="5" xfId="0" applyNumberFormat="1" applyFont="1" applyBorder="1" applyAlignment="1">
      <alignment horizontal="center"/>
    </xf>
    <xf numFmtId="3" fontId="0" fillId="0" borderId="5" xfId="0" applyNumberFormat="1" applyFon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4" fontId="0" fillId="0" borderId="5" xfId="0" applyNumberFormat="1" applyFont="1" applyBorder="1" applyAlignment="1">
      <alignment horizontal="center"/>
    </xf>
    <xf numFmtId="9" fontId="0" fillId="3" borderId="6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/>
    <xf numFmtId="164" fontId="0" fillId="2" borderId="2" xfId="0" applyFont="1" applyFill="1" applyBorder="1" applyAlignment="1">
      <alignment horizontal="center"/>
    </xf>
    <xf numFmtId="3" fontId="6" fillId="2" borderId="2" xfId="0" applyNumberFormat="1" applyFont="1" applyFill="1" applyBorder="1" applyAlignment="1">
      <alignment horizontal="center"/>
    </xf>
    <xf numFmtId="9" fontId="0" fillId="3" borderId="2" xfId="0" applyNumberFormat="1" applyFont="1" applyFill="1" applyBorder="1" applyAlignment="1">
      <alignment horizontal="center"/>
    </xf>
    <xf numFmtId="9" fontId="6" fillId="3" borderId="2" xfId="0" applyNumberFormat="1" applyFont="1" applyFill="1" applyBorder="1" applyAlignment="1">
      <alignment horizontal="center"/>
    </xf>
    <xf numFmtId="4" fontId="6" fillId="2" borderId="2" xfId="0" applyNumberFormat="1" applyFont="1" applyFill="1" applyBorder="1" applyAlignment="1">
      <alignment horizontal="center"/>
    </xf>
    <xf numFmtId="9" fontId="6" fillId="3" borderId="3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/>
    <xf numFmtId="164" fontId="0" fillId="0" borderId="2" xfId="0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9" fontId="0" fillId="3" borderId="3" xfId="0" applyNumberFormat="1" applyFont="1" applyFill="1" applyBorder="1" applyAlignment="1">
      <alignment horizontal="center"/>
    </xf>
    <xf numFmtId="166" fontId="0" fillId="0" borderId="4" xfId="0" applyNumberFormat="1" applyFont="1" applyBorder="1" applyAlignment="1"/>
    <xf numFmtId="166" fontId="6" fillId="2" borderId="7" xfId="0" applyNumberFormat="1" applyFont="1" applyFill="1" applyBorder="1" applyAlignment="1"/>
    <xf numFmtId="164" fontId="0" fillId="2" borderId="8" xfId="0" applyFont="1" applyFill="1" applyBorder="1" applyAlignment="1">
      <alignment horizontal="center"/>
    </xf>
    <xf numFmtId="3" fontId="6" fillId="2" borderId="8" xfId="0" applyNumberFormat="1" applyFont="1" applyFill="1" applyBorder="1" applyAlignment="1">
      <alignment horizontal="center"/>
    </xf>
    <xf numFmtId="9" fontId="6" fillId="3" borderId="8" xfId="0" applyNumberFormat="1" applyFont="1" applyFill="1" applyBorder="1" applyAlignment="1">
      <alignment horizontal="center"/>
    </xf>
    <xf numFmtId="4" fontId="6" fillId="2" borderId="8" xfId="0" applyNumberFormat="1" applyFont="1" applyFill="1" applyBorder="1" applyAlignment="1">
      <alignment horizontal="center"/>
    </xf>
    <xf numFmtId="9" fontId="6" fillId="3" borderId="9" xfId="0" applyNumberFormat="1" applyFont="1" applyFill="1" applyBorder="1" applyAlignment="1">
      <alignment horizontal="center"/>
    </xf>
    <xf numFmtId="164" fontId="0" fillId="0" borderId="5" xfId="0" applyFont="1" applyBorder="1" applyAlignment="1">
      <alignment horizontal="center"/>
    </xf>
    <xf numFmtId="9" fontId="0" fillId="3" borderId="10" xfId="0" applyNumberFormat="1" applyFont="1" applyFill="1" applyBorder="1" applyAlignment="1">
      <alignment horizontal="center"/>
    </xf>
    <xf numFmtId="3" fontId="6" fillId="2" borderId="11" xfId="0" applyNumberFormat="1" applyFont="1" applyFill="1" applyBorder="1" applyAlignment="1">
      <alignment horizontal="center"/>
    </xf>
    <xf numFmtId="3" fontId="6" fillId="2" borderId="10" xfId="0" applyNumberFormat="1" applyFont="1" applyFill="1" applyBorder="1" applyAlignment="1">
      <alignment horizontal="center"/>
    </xf>
    <xf numFmtId="9" fontId="6" fillId="3" borderId="11" xfId="0" applyNumberFormat="1" applyFont="1" applyFill="1" applyBorder="1" applyAlignment="1">
      <alignment horizontal="center"/>
    </xf>
    <xf numFmtId="4" fontId="6" fillId="2" borderId="10" xfId="0" applyNumberFormat="1" applyFont="1" applyFill="1" applyBorder="1" applyAlignment="1">
      <alignment horizontal="center"/>
    </xf>
    <xf numFmtId="4" fontId="6" fillId="2" borderId="11" xfId="0" applyNumberFormat="1" applyFont="1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9" fontId="6" fillId="3" borderId="10" xfId="0" applyNumberFormat="1" applyFont="1" applyFill="1" applyBorder="1" applyAlignment="1">
      <alignment horizontal="center"/>
    </xf>
    <xf numFmtId="164" fontId="0" fillId="0" borderId="1" xfId="0" applyNumberFormat="1" applyBorder="1"/>
    <xf numFmtId="164" fontId="0" fillId="0" borderId="2" xfId="0" applyNumberFormat="1" applyBorder="1"/>
    <xf numFmtId="164" fontId="0" fillId="3" borderId="2" xfId="0" applyNumberFormat="1" applyFont="1" applyFill="1" applyBorder="1" applyAlignment="1"/>
    <xf numFmtId="164" fontId="0" fillId="3" borderId="3" xfId="0" applyNumberFormat="1" applyFont="1" applyFill="1" applyBorder="1" applyAlignment="1"/>
    <xf numFmtId="164" fontId="0" fillId="0" borderId="4" xfId="0" applyNumberFormat="1" applyBorder="1"/>
    <xf numFmtId="164" fontId="0" fillId="0" borderId="5" xfId="0" applyNumberFormat="1" applyBorder="1"/>
    <xf numFmtId="164" fontId="0" fillId="3" borderId="5" xfId="0" applyNumberFormat="1" applyFont="1" applyFill="1" applyBorder="1" applyAlignment="1"/>
    <xf numFmtId="164" fontId="0" fillId="3" borderId="6" xfId="0" applyNumberFormat="1" applyFont="1" applyFill="1" applyBorder="1" applyAlignment="1"/>
    <xf numFmtId="166" fontId="6" fillId="2" borderId="12" xfId="0" applyNumberFormat="1" applyFont="1" applyFill="1" applyBorder="1" applyAlignment="1"/>
    <xf numFmtId="166" fontId="0" fillId="0" borderId="1" xfId="0" applyNumberFormat="1" applyFont="1" applyBorder="1" applyAlignment="1"/>
    <xf numFmtId="166" fontId="6" fillId="2" borderId="1" xfId="0" applyNumberFormat="1" applyFont="1" applyFill="1" applyBorder="1" applyAlignment="1">
      <alignment horizontal="center"/>
    </xf>
    <xf numFmtId="164" fontId="6" fillId="2" borderId="2" xfId="0" applyFont="1" applyFill="1" applyBorder="1" applyAlignment="1">
      <alignment horizontal="center"/>
    </xf>
    <xf numFmtId="166" fontId="0" fillId="0" borderId="13" xfId="0" applyNumberFormat="1" applyFont="1" applyBorder="1" applyAlignment="1"/>
    <xf numFmtId="164" fontId="0" fillId="0" borderId="13" xfId="0" applyFont="1" applyBorder="1" applyAlignment="1">
      <alignment horizontal="center"/>
    </xf>
    <xf numFmtId="3" fontId="0" fillId="0" borderId="13" xfId="0" applyNumberFormat="1" applyFont="1" applyBorder="1" applyAlignment="1">
      <alignment horizontal="center"/>
    </xf>
    <xf numFmtId="166" fontId="3" fillId="0" borderId="0" xfId="0" applyNumberFormat="1" applyFont="1" applyAlignment="1"/>
    <xf numFmtId="164" fontId="0" fillId="0" borderId="0" xfId="0" applyFont="1" applyAlignment="1">
      <alignment horizontal="center"/>
    </xf>
    <xf numFmtId="4" fontId="6" fillId="0" borderId="0" xfId="0" applyNumberFormat="1" applyFont="1" applyAlignment="1"/>
    <xf numFmtId="0" fontId="6" fillId="0" borderId="0" xfId="0" applyNumberFormat="1" applyFont="1" applyAlignment="1"/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/>
    <xf numFmtId="165" fontId="0" fillId="0" borderId="0" xfId="0" applyNumberFormat="1" applyFont="1" applyAlignment="1"/>
    <xf numFmtId="164" fontId="6" fillId="0" borderId="0" xfId="0" applyFont="1" applyAlignment="1"/>
    <xf numFmtId="17" fontId="0" fillId="0" borderId="0" xfId="0" applyNumberFormat="1" applyFont="1" applyAlignment="1"/>
    <xf numFmtId="0" fontId="8" fillId="0" borderId="0" xfId="3" applyFont="1" applyAlignment="1"/>
    <xf numFmtId="0" fontId="2" fillId="0" borderId="0" xfId="3" applyFont="1" applyAlignment="1"/>
    <xf numFmtId="0" fontId="2" fillId="0" borderId="0" xfId="3" applyNumberFormat="1" applyFont="1" applyAlignment="1" applyProtection="1">
      <protection locked="0"/>
    </xf>
    <xf numFmtId="0" fontId="2" fillId="3" borderId="1" xfId="3" applyFont="1" applyFill="1" applyBorder="1" applyAlignment="1"/>
    <xf numFmtId="0" fontId="6" fillId="3" borderId="1" xfId="3" applyFont="1" applyFill="1" applyBorder="1" applyAlignment="1">
      <alignment horizontal="center"/>
    </xf>
    <xf numFmtId="0" fontId="2" fillId="0" borderId="4" xfId="3" applyNumberFormat="1" applyBorder="1"/>
    <xf numFmtId="0" fontId="7" fillId="3" borderId="4" xfId="3" applyFont="1" applyFill="1" applyBorder="1" applyAlignment="1">
      <alignment horizontal="center"/>
    </xf>
    <xf numFmtId="0" fontId="2" fillId="3" borderId="4" xfId="3" applyFont="1" applyFill="1" applyBorder="1" applyAlignment="1"/>
    <xf numFmtId="0" fontId="2" fillId="2" borderId="1" xfId="3" applyFont="1" applyFill="1" applyBorder="1" applyAlignment="1"/>
    <xf numFmtId="0" fontId="2" fillId="0" borderId="1" xfId="3" applyFont="1" applyBorder="1" applyAlignment="1"/>
    <xf numFmtId="17" fontId="2" fillId="0" borderId="14" xfId="3" applyNumberFormat="1" applyFont="1" applyBorder="1" applyAlignment="1">
      <alignment horizontal="center"/>
    </xf>
    <xf numFmtId="3" fontId="2" fillId="0" borderId="14" xfId="3" applyNumberFormat="1" applyFont="1" applyBorder="1" applyAlignment="1">
      <alignment horizontal="center"/>
    </xf>
    <xf numFmtId="3" fontId="6" fillId="0" borderId="14" xfId="3" applyNumberFormat="1" applyFont="1" applyBorder="1" applyAlignment="1">
      <alignment horizontal="center"/>
    </xf>
    <xf numFmtId="17" fontId="7" fillId="0" borderId="14" xfId="3" applyNumberFormat="1" applyFont="1" applyBorder="1" applyAlignment="1">
      <alignment horizontal="center"/>
    </xf>
    <xf numFmtId="17" fontId="6" fillId="0" borderId="14" xfId="3" applyNumberFormat="1" applyFont="1" applyBorder="1" applyAlignment="1">
      <alignment horizontal="center"/>
    </xf>
    <xf numFmtId="17" fontId="2" fillId="0" borderId="13" xfId="3" applyNumberFormat="1" applyFont="1" applyBorder="1" applyAlignment="1">
      <alignment horizontal="center"/>
    </xf>
    <xf numFmtId="0" fontId="2" fillId="0" borderId="13" xfId="3" applyFont="1" applyBorder="1" applyAlignment="1">
      <alignment horizontal="center"/>
    </xf>
    <xf numFmtId="0" fontId="2" fillId="0" borderId="13" xfId="3" applyNumberFormat="1" applyFont="1" applyBorder="1" applyAlignment="1">
      <alignment horizontal="center"/>
    </xf>
    <xf numFmtId="17" fontId="8" fillId="0" borderId="0" xfId="3" applyNumberFormat="1" applyFont="1" applyAlignment="1">
      <alignment horizontal="centerContinuous"/>
    </xf>
    <xf numFmtId="0" fontId="8" fillId="0" borderId="0" xfId="3" applyNumberFormat="1" applyFont="1" applyAlignment="1">
      <alignment horizontal="centerContinuous"/>
    </xf>
    <xf numFmtId="0" fontId="2" fillId="0" borderId="0" xfId="3" applyFont="1" applyAlignment="1">
      <alignment horizontal="center"/>
    </xf>
    <xf numFmtId="0" fontId="2" fillId="0" borderId="0" xfId="3" applyNumberFormat="1" applyFont="1" applyAlignment="1">
      <alignment horizontal="center"/>
    </xf>
    <xf numFmtId="17" fontId="2" fillId="3" borderId="1" xfId="3" applyNumberFormat="1" applyFont="1" applyFill="1" applyBorder="1" applyAlignment="1">
      <alignment horizontal="center"/>
    </xf>
    <xf numFmtId="0" fontId="2" fillId="3" borderId="1" xfId="3" applyFont="1" applyFill="1" applyBorder="1" applyAlignment="1">
      <alignment horizontal="center"/>
    </xf>
    <xf numFmtId="0" fontId="7" fillId="3" borderId="1" xfId="3" applyFont="1" applyFill="1" applyBorder="1" applyAlignment="1">
      <alignment horizontal="center"/>
    </xf>
    <xf numFmtId="0" fontId="2" fillId="3" borderId="1" xfId="3" applyNumberFormat="1" applyFont="1" applyFill="1" applyBorder="1" applyAlignment="1">
      <alignment horizontal="center"/>
    </xf>
    <xf numFmtId="0" fontId="6" fillId="3" borderId="1" xfId="3" applyNumberFormat="1" applyFont="1" applyFill="1" applyBorder="1" applyAlignment="1">
      <alignment horizontal="center"/>
    </xf>
    <xf numFmtId="17" fontId="7" fillId="3" borderId="4" xfId="3" applyNumberFormat="1" applyFont="1" applyFill="1" applyBorder="1" applyAlignment="1">
      <alignment horizontal="center"/>
    </xf>
    <xf numFmtId="0" fontId="7" fillId="3" borderId="4" xfId="3" applyNumberFormat="1" applyFont="1" applyFill="1" applyBorder="1" applyAlignment="1">
      <alignment horizontal="center"/>
    </xf>
    <xf numFmtId="17" fontId="2" fillId="3" borderId="4" xfId="3" applyNumberFormat="1" applyFont="1" applyFill="1" applyBorder="1" applyAlignment="1">
      <alignment horizontal="center"/>
    </xf>
    <xf numFmtId="0" fontId="2" fillId="3" borderId="4" xfId="3" applyFont="1" applyFill="1" applyBorder="1" applyAlignment="1">
      <alignment horizontal="center"/>
    </xf>
    <xf numFmtId="0" fontId="2" fillId="3" borderId="4" xfId="3" applyNumberFormat="1" applyFont="1" applyFill="1" applyBorder="1" applyAlignment="1">
      <alignment horizontal="center"/>
    </xf>
    <xf numFmtId="17" fontId="2" fillId="2" borderId="1" xfId="3" applyNumberFormat="1" applyFont="1" applyFill="1" applyBorder="1" applyAlignment="1">
      <alignment horizontal="center"/>
    </xf>
    <xf numFmtId="0" fontId="2" fillId="2" borderId="1" xfId="3" applyFont="1" applyFill="1" applyBorder="1" applyAlignment="1">
      <alignment horizontal="center"/>
    </xf>
    <xf numFmtId="0" fontId="2" fillId="0" borderId="1" xfId="3" applyFont="1" applyBorder="1" applyAlignment="1">
      <alignment horizontal="center"/>
    </xf>
    <xf numFmtId="0" fontId="2" fillId="2" borderId="1" xfId="3" applyNumberFormat="1" applyFont="1" applyFill="1" applyBorder="1" applyAlignment="1">
      <alignment horizontal="center"/>
    </xf>
    <xf numFmtId="4" fontId="2" fillId="0" borderId="13" xfId="3" applyNumberFormat="1" applyFont="1" applyBorder="1" applyAlignment="1">
      <alignment horizontal="center"/>
    </xf>
    <xf numFmtId="0" fontId="7" fillId="0" borderId="0" xfId="3" applyFont="1" applyAlignment="1">
      <alignment horizontal="left"/>
    </xf>
    <xf numFmtId="0" fontId="3" fillId="0" borderId="0" xfId="2" applyNumberFormat="1" applyFont="1" applyAlignment="1"/>
    <xf numFmtId="0" fontId="2" fillId="0" borderId="0" xfId="2" applyNumberFormat="1" applyFont="1" applyAlignment="1"/>
    <xf numFmtId="0" fontId="2" fillId="0" borderId="0" xfId="2" applyAlignment="1"/>
    <xf numFmtId="0" fontId="4" fillId="0" borderId="0" xfId="2" applyNumberFormat="1" applyFont="1" applyAlignment="1"/>
    <xf numFmtId="0" fontId="2" fillId="2" borderId="1" xfId="2" applyNumberFormat="1" applyFont="1" applyFill="1" applyBorder="1" applyAlignment="1"/>
    <xf numFmtId="0" fontId="6" fillId="2" borderId="2" xfId="2" applyNumberFormat="1" applyFont="1" applyFill="1" applyBorder="1" applyAlignment="1">
      <alignment horizontal="center"/>
    </xf>
    <xf numFmtId="0" fontId="6" fillId="3" borderId="2" xfId="2" applyNumberFormat="1" applyFont="1" applyFill="1" applyBorder="1" applyAlignment="1">
      <alignment horizontal="center"/>
    </xf>
    <xf numFmtId="0" fontId="2" fillId="0" borderId="4" xfId="2" applyBorder="1"/>
    <xf numFmtId="0" fontId="6" fillId="2" borderId="15" xfId="2" applyNumberFormat="1" applyFont="1" applyFill="1" applyBorder="1" applyAlignment="1">
      <alignment horizontal="center"/>
    </xf>
    <xf numFmtId="0" fontId="6" fillId="2" borderId="16" xfId="2" applyNumberFormat="1" applyFont="1" applyFill="1" applyBorder="1" applyAlignment="1">
      <alignment horizontal="center"/>
    </xf>
    <xf numFmtId="0" fontId="6" fillId="3" borderId="16" xfId="2" applyNumberFormat="1" applyFont="1" applyFill="1" applyBorder="1" applyAlignment="1">
      <alignment horizontal="center"/>
    </xf>
    <xf numFmtId="0" fontId="7" fillId="0" borderId="4" xfId="2" applyNumberFormat="1" applyFont="1" applyBorder="1" applyAlignment="1">
      <alignment horizontal="center"/>
    </xf>
    <xf numFmtId="0" fontId="7" fillId="0" borderId="5" xfId="2" applyNumberFormat="1" applyFont="1" applyBorder="1" applyAlignment="1">
      <alignment horizontal="center"/>
    </xf>
    <xf numFmtId="0" fontId="7" fillId="3" borderId="5" xfId="2" applyNumberFormat="1" applyFont="1" applyFill="1" applyBorder="1" applyAlignment="1">
      <alignment horizontal="center"/>
    </xf>
    <xf numFmtId="166" fontId="6" fillId="0" borderId="4" xfId="2" applyNumberFormat="1" applyFont="1" applyBorder="1" applyAlignment="1"/>
    <xf numFmtId="17" fontId="2" fillId="0" borderId="5" xfId="2" applyNumberFormat="1" applyFont="1" applyBorder="1" applyAlignment="1">
      <alignment horizontal="center"/>
    </xf>
    <xf numFmtId="9" fontId="2" fillId="3" borderId="5" xfId="2" applyNumberFormat="1" applyFont="1" applyFill="1" applyBorder="1" applyAlignment="1">
      <alignment horizontal="center"/>
    </xf>
    <xf numFmtId="166" fontId="2" fillId="0" borderId="4" xfId="2" applyNumberFormat="1" applyFont="1" applyBorder="1" applyAlignment="1"/>
    <xf numFmtId="0" fontId="2" fillId="0" borderId="5" xfId="2" applyNumberFormat="1" applyFont="1" applyBorder="1" applyAlignment="1">
      <alignment horizontal="center"/>
    </xf>
    <xf numFmtId="166" fontId="6" fillId="2" borderId="1" xfId="2" applyNumberFormat="1" applyFont="1" applyFill="1" applyBorder="1" applyAlignment="1"/>
    <xf numFmtId="0" fontId="2" fillId="2" borderId="2" xfId="2" applyNumberFormat="1" applyFont="1" applyFill="1" applyBorder="1" applyAlignment="1">
      <alignment horizontal="center"/>
    </xf>
    <xf numFmtId="9" fontId="6" fillId="3" borderId="2" xfId="2" applyNumberFormat="1" applyFont="1" applyFill="1" applyBorder="1" applyAlignment="1">
      <alignment horizontal="center"/>
    </xf>
    <xf numFmtId="166" fontId="6" fillId="0" borderId="1" xfId="2" applyNumberFormat="1" applyFont="1" applyBorder="1" applyAlignment="1"/>
    <xf numFmtId="0" fontId="2" fillId="0" borderId="2" xfId="2" applyNumberFormat="1" applyFont="1" applyBorder="1" applyAlignment="1">
      <alignment horizontal="center"/>
    </xf>
    <xf numFmtId="9" fontId="2" fillId="3" borderId="2" xfId="2" applyNumberFormat="1" applyFont="1" applyFill="1" applyBorder="1" applyAlignment="1">
      <alignment horizontal="center"/>
    </xf>
    <xf numFmtId="166" fontId="6" fillId="2" borderId="7" xfId="2" applyNumberFormat="1" applyFont="1" applyFill="1" applyBorder="1" applyAlignment="1"/>
    <xf numFmtId="0" fontId="2" fillId="2" borderId="8" xfId="2" applyNumberFormat="1" applyFont="1" applyFill="1" applyBorder="1" applyAlignment="1">
      <alignment horizontal="center"/>
    </xf>
    <xf numFmtId="9" fontId="6" fillId="3" borderId="8" xfId="2" applyNumberFormat="1" applyFont="1" applyFill="1" applyBorder="1" applyAlignment="1">
      <alignment horizontal="center"/>
    </xf>
    <xf numFmtId="166" fontId="6" fillId="2" borderId="12" xfId="2" applyNumberFormat="1" applyFont="1" applyFill="1" applyBorder="1" applyAlignment="1"/>
    <xf numFmtId="0" fontId="2" fillId="2" borderId="10" xfId="2" applyNumberFormat="1" applyFont="1" applyFill="1" applyBorder="1" applyAlignment="1">
      <alignment horizontal="center"/>
    </xf>
    <xf numFmtId="166" fontId="2" fillId="0" borderId="1" xfId="2" applyNumberFormat="1" applyFont="1" applyBorder="1" applyAlignment="1"/>
    <xf numFmtId="166" fontId="6" fillId="2" borderId="1" xfId="2" applyNumberFormat="1" applyFont="1" applyFill="1" applyBorder="1" applyAlignment="1">
      <alignment horizontal="center"/>
    </xf>
    <xf numFmtId="4" fontId="6" fillId="0" borderId="0" xfId="2" applyNumberFormat="1" applyFont="1" applyAlignment="1"/>
    <xf numFmtId="0" fontId="3" fillId="0" borderId="0" xfId="1" applyNumberFormat="1" applyFont="1" applyAlignment="1"/>
    <xf numFmtId="0" fontId="2" fillId="0" borderId="0" xfId="1" applyNumberFormat="1" applyFont="1" applyAlignment="1"/>
    <xf numFmtId="0" fontId="2" fillId="0" borderId="0" xfId="1"/>
    <xf numFmtId="0" fontId="2" fillId="0" borderId="0" xfId="1" applyAlignment="1"/>
    <xf numFmtId="0" fontId="4" fillId="0" borderId="0" xfId="1" applyNumberFormat="1" applyFont="1" applyAlignment="1"/>
    <xf numFmtId="0" fontId="6" fillId="2" borderId="1" xfId="1" applyNumberFormat="1" applyFont="1" applyFill="1" applyBorder="1" applyAlignment="1">
      <alignment horizontal="center"/>
    </xf>
    <xf numFmtId="0" fontId="6" fillId="2" borderId="2" xfId="1" applyNumberFormat="1" applyFont="1" applyFill="1" applyBorder="1" applyAlignment="1">
      <alignment horizontal="center"/>
    </xf>
    <xf numFmtId="0" fontId="6" fillId="3" borderId="2" xfId="1" applyNumberFormat="1" applyFont="1" applyFill="1" applyBorder="1" applyAlignment="1">
      <alignment horizontal="center"/>
    </xf>
    <xf numFmtId="0" fontId="2" fillId="0" borderId="0" xfId="1" applyBorder="1"/>
    <xf numFmtId="0" fontId="6" fillId="2" borderId="4" xfId="1" applyNumberFormat="1" applyFont="1" applyFill="1" applyBorder="1" applyAlignment="1">
      <alignment horizontal="center"/>
    </xf>
    <xf numFmtId="0" fontId="6" fillId="2" borderId="5" xfId="1" applyNumberFormat="1" applyFont="1" applyFill="1" applyBorder="1" applyAlignment="1">
      <alignment horizontal="center"/>
    </xf>
    <xf numFmtId="0" fontId="6" fillId="3" borderId="5" xfId="1" applyNumberFormat="1" applyFont="1" applyFill="1" applyBorder="1" applyAlignment="1">
      <alignment horizontal="center"/>
    </xf>
    <xf numFmtId="0" fontId="7" fillId="0" borderId="1" xfId="1" applyNumberFormat="1" applyFont="1" applyBorder="1" applyAlignment="1">
      <alignment horizontal="center"/>
    </xf>
    <xf numFmtId="0" fontId="7" fillId="0" borderId="2" xfId="1" applyNumberFormat="1" applyFont="1" applyBorder="1" applyAlignment="1">
      <alignment horizontal="center"/>
    </xf>
    <xf numFmtId="0" fontId="7" fillId="3" borderId="2" xfId="1" applyNumberFormat="1" applyFont="1" applyFill="1" applyBorder="1" applyAlignment="1">
      <alignment horizontal="center"/>
    </xf>
    <xf numFmtId="166" fontId="6" fillId="0" borderId="4" xfId="1" applyNumberFormat="1" applyFont="1" applyBorder="1" applyAlignment="1"/>
    <xf numFmtId="17" fontId="2" fillId="0" borderId="5" xfId="1" applyNumberFormat="1" applyFont="1" applyBorder="1" applyAlignment="1">
      <alignment horizontal="center"/>
    </xf>
    <xf numFmtId="9" fontId="2" fillId="3" borderId="5" xfId="1" applyNumberFormat="1" applyFont="1" applyFill="1" applyBorder="1" applyAlignment="1">
      <alignment horizontal="center"/>
    </xf>
    <xf numFmtId="166" fontId="2" fillId="0" borderId="4" xfId="1" applyNumberFormat="1" applyFont="1" applyBorder="1" applyAlignment="1"/>
    <xf numFmtId="0" fontId="2" fillId="0" borderId="5" xfId="1" applyNumberFormat="1" applyFont="1" applyBorder="1" applyAlignment="1">
      <alignment horizontal="center"/>
    </xf>
    <xf numFmtId="166" fontId="6" fillId="2" borderId="1" xfId="1" applyNumberFormat="1" applyFont="1" applyFill="1" applyBorder="1" applyAlignment="1"/>
    <xf numFmtId="9" fontId="6" fillId="3" borderId="2" xfId="1" applyNumberFormat="1" applyFont="1" applyFill="1" applyBorder="1" applyAlignment="1">
      <alignment horizontal="center"/>
    </xf>
    <xf numFmtId="166" fontId="2" fillId="0" borderId="1" xfId="1" applyNumberFormat="1" applyFont="1" applyBorder="1" applyAlignment="1"/>
    <xf numFmtId="0" fontId="2" fillId="0" borderId="2" xfId="1" applyNumberFormat="1" applyFont="1" applyBorder="1" applyAlignment="1">
      <alignment horizontal="center"/>
    </xf>
    <xf numFmtId="9" fontId="2" fillId="3" borderId="2" xfId="1" applyNumberFormat="1" applyFont="1" applyFill="1" applyBorder="1" applyAlignment="1">
      <alignment horizontal="center"/>
    </xf>
    <xf numFmtId="166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>
      <alignment horizontal="center"/>
    </xf>
    <xf numFmtId="9" fontId="6" fillId="3" borderId="8" xfId="1" applyNumberFormat="1" applyFont="1" applyFill="1" applyBorder="1" applyAlignment="1">
      <alignment horizontal="center"/>
    </xf>
    <xf numFmtId="0" fontId="6" fillId="0" borderId="4" xfId="1" applyNumberFormat="1" applyFont="1" applyBorder="1" applyAlignment="1"/>
    <xf numFmtId="17" fontId="6" fillId="2" borderId="8" xfId="1" applyNumberFormat="1" applyFont="1" applyFill="1" applyBorder="1" applyAlignment="1">
      <alignment horizontal="center"/>
    </xf>
    <xf numFmtId="0" fontId="2" fillId="0" borderId="5" xfId="1" applyBorder="1"/>
    <xf numFmtId="0" fontId="2" fillId="3" borderId="5" xfId="1" applyFont="1" applyFill="1" applyBorder="1" applyAlignment="1"/>
    <xf numFmtId="0" fontId="2" fillId="2" borderId="8" xfId="1" applyNumberFormat="1" applyFont="1" applyFill="1" applyBorder="1" applyAlignment="1">
      <alignment horizontal="center"/>
    </xf>
    <xf numFmtId="166" fontId="6" fillId="2" borderId="12" xfId="1" applyNumberFormat="1" applyFont="1" applyFill="1" applyBorder="1" applyAlignment="1"/>
    <xf numFmtId="0" fontId="6" fillId="2" borderId="10" xfId="1" applyNumberFormat="1" applyFont="1" applyFill="1" applyBorder="1" applyAlignment="1">
      <alignment horizontal="center"/>
    </xf>
    <xf numFmtId="166" fontId="6" fillId="2" borderId="1" xfId="1" applyNumberFormat="1" applyFont="1" applyFill="1" applyBorder="1" applyAlignment="1">
      <alignment horizontal="center"/>
    </xf>
    <xf numFmtId="166" fontId="6" fillId="0" borderId="13" xfId="1" applyNumberFormat="1" applyFont="1" applyBorder="1" applyAlignment="1"/>
    <xf numFmtId="0" fontId="6" fillId="0" borderId="13" xfId="1" applyNumberFormat="1" applyFont="1" applyBorder="1" applyAlignment="1">
      <alignment horizontal="center"/>
    </xf>
    <xf numFmtId="4" fontId="6" fillId="0" borderId="13" xfId="1" applyNumberFormat="1" applyFont="1" applyBorder="1" applyAlignment="1">
      <alignment horizontal="center"/>
    </xf>
    <xf numFmtId="0" fontId="9" fillId="0" borderId="0" xfId="1" applyNumberFormat="1" applyFont="1" applyAlignment="1"/>
    <xf numFmtId="17" fontId="6" fillId="0" borderId="0" xfId="1" applyNumberFormat="1" applyFont="1" applyAlignment="1">
      <alignment horizontal="center"/>
    </xf>
    <xf numFmtId="4" fontId="6" fillId="0" borderId="0" xfId="1" applyNumberFormat="1" applyFont="1" applyAlignment="1">
      <alignment horizontal="center"/>
    </xf>
    <xf numFmtId="0" fontId="6" fillId="0" borderId="0" xfId="1" applyNumberFormat="1" applyFont="1" applyAlignment="1"/>
    <xf numFmtId="3" fontId="0" fillId="0" borderId="0" xfId="0" applyNumberFormat="1" applyFont="1" applyAlignment="1"/>
    <xf numFmtId="3" fontId="5" fillId="2" borderId="2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0" fillId="0" borderId="2" xfId="0" applyNumberFormat="1" applyBorder="1"/>
    <xf numFmtId="3" fontId="0" fillId="0" borderId="5" xfId="0" applyNumberFormat="1" applyBorder="1"/>
    <xf numFmtId="3" fontId="6" fillId="0" borderId="0" xfId="0" applyNumberFormat="1" applyFont="1" applyAlignment="1"/>
    <xf numFmtId="3" fontId="0" fillId="0" borderId="0" xfId="0" applyNumberFormat="1" applyFont="1" applyAlignment="1" applyProtection="1">
      <protection locked="0"/>
    </xf>
    <xf numFmtId="3" fontId="2" fillId="0" borderId="0" xfId="2" applyNumberFormat="1" applyFont="1" applyAlignment="1"/>
    <xf numFmtId="3" fontId="6" fillId="2" borderId="2" xfId="2" applyNumberFormat="1" applyFont="1" applyFill="1" applyBorder="1" applyAlignment="1">
      <alignment horizontal="center"/>
    </xf>
    <xf numFmtId="3" fontId="6" fillId="2" borderId="16" xfId="2" applyNumberFormat="1" applyFont="1" applyFill="1" applyBorder="1" applyAlignment="1">
      <alignment horizontal="center"/>
    </xf>
    <xf numFmtId="3" fontId="7" fillId="0" borderId="5" xfId="2" applyNumberFormat="1" applyFont="1" applyBorder="1" applyAlignment="1">
      <alignment horizontal="center"/>
    </xf>
    <xf numFmtId="3" fontId="2" fillId="0" borderId="5" xfId="2" applyNumberFormat="1" applyFont="1" applyBorder="1" applyAlignment="1">
      <alignment horizontal="center"/>
    </xf>
    <xf numFmtId="3" fontId="2" fillId="0" borderId="2" xfId="2" applyNumberFormat="1" applyFont="1" applyBorder="1" applyAlignment="1">
      <alignment horizontal="center"/>
    </xf>
    <xf numFmtId="3" fontId="6" fillId="2" borderId="8" xfId="2" applyNumberFormat="1" applyFont="1" applyFill="1" applyBorder="1" applyAlignment="1">
      <alignment horizontal="center"/>
    </xf>
    <xf numFmtId="3" fontId="6" fillId="2" borderId="10" xfId="2" applyNumberFormat="1" applyFont="1" applyFill="1" applyBorder="1" applyAlignment="1">
      <alignment horizontal="center"/>
    </xf>
    <xf numFmtId="3" fontId="6" fillId="0" borderId="0" xfId="2" applyNumberFormat="1" applyFont="1" applyAlignment="1"/>
    <xf numFmtId="3" fontId="2" fillId="0" borderId="0" xfId="2" applyNumberFormat="1" applyAlignment="1"/>
    <xf numFmtId="167" fontId="2" fillId="0" borderId="0" xfId="2" applyNumberFormat="1" applyFont="1" applyAlignment="1"/>
    <xf numFmtId="167" fontId="6" fillId="0" borderId="0" xfId="2" applyNumberFormat="1" applyFont="1" applyAlignment="1">
      <alignment horizontal="center"/>
    </xf>
    <xf numFmtId="167" fontId="6" fillId="2" borderId="2" xfId="2" applyNumberFormat="1" applyFont="1" applyFill="1" applyBorder="1" applyAlignment="1">
      <alignment horizontal="center"/>
    </xf>
    <xf numFmtId="167" fontId="6" fillId="2" borderId="17" xfId="2" applyNumberFormat="1" applyFont="1" applyFill="1" applyBorder="1" applyAlignment="1">
      <alignment horizontal="center"/>
    </xf>
    <xf numFmtId="167" fontId="7" fillId="0" borderId="6" xfId="2" applyNumberFormat="1" applyFont="1" applyBorder="1" applyAlignment="1">
      <alignment horizontal="center"/>
    </xf>
    <xf numFmtId="167" fontId="2" fillId="0" borderId="5" xfId="2" applyNumberFormat="1" applyFont="1" applyBorder="1" applyAlignment="1">
      <alignment horizontal="center"/>
    </xf>
    <xf numFmtId="167" fontId="2" fillId="0" borderId="2" xfId="2" applyNumberFormat="1" applyFont="1" applyBorder="1" applyAlignment="1">
      <alignment horizontal="center"/>
    </xf>
    <xf numFmtId="167" fontId="6" fillId="2" borderId="9" xfId="2" applyNumberFormat="1" applyFont="1" applyFill="1" applyBorder="1" applyAlignment="1">
      <alignment horizontal="center"/>
    </xf>
    <xf numFmtId="167" fontId="2" fillId="0" borderId="6" xfId="2" applyNumberFormat="1" applyFont="1" applyBorder="1" applyAlignment="1">
      <alignment horizontal="center"/>
    </xf>
    <xf numFmtId="167" fontId="2" fillId="0" borderId="3" xfId="2" applyNumberFormat="1" applyFont="1" applyBorder="1" applyAlignment="1">
      <alignment horizontal="center"/>
    </xf>
    <xf numFmtId="167" fontId="6" fillId="0" borderId="0" xfId="2" applyNumberFormat="1" applyFont="1" applyAlignment="1"/>
    <xf numFmtId="167" fontId="2" fillId="0" borderId="0" xfId="2" applyNumberFormat="1" applyAlignment="1"/>
    <xf numFmtId="3" fontId="2" fillId="0" borderId="0" xfId="1" applyNumberFormat="1" applyFont="1" applyAlignment="1"/>
    <xf numFmtId="3" fontId="6" fillId="2" borderId="2" xfId="1" applyNumberFormat="1" applyFont="1" applyFill="1" applyBorder="1" applyAlignment="1">
      <alignment horizontal="center"/>
    </xf>
    <xf numFmtId="3" fontId="6" fillId="2" borderId="5" xfId="1" applyNumberFormat="1" applyFont="1" applyFill="1" applyBorder="1" applyAlignment="1">
      <alignment horizontal="center"/>
    </xf>
    <xf numFmtId="3" fontId="7" fillId="0" borderId="2" xfId="1" applyNumberFormat="1" applyFont="1" applyBorder="1" applyAlignment="1">
      <alignment horizontal="center"/>
    </xf>
    <xf numFmtId="3" fontId="2" fillId="0" borderId="5" xfId="1" applyNumberFormat="1" applyFont="1" applyBorder="1" applyAlignment="1">
      <alignment horizontal="center"/>
    </xf>
    <xf numFmtId="3" fontId="2" fillId="0" borderId="2" xfId="1" applyNumberFormat="1" applyFont="1" applyBorder="1" applyAlignment="1">
      <alignment horizontal="center"/>
    </xf>
    <xf numFmtId="3" fontId="6" fillId="2" borderId="8" xfId="1" applyNumberFormat="1" applyFont="1" applyFill="1" applyBorder="1" applyAlignment="1">
      <alignment horizontal="center"/>
    </xf>
    <xf numFmtId="3" fontId="2" fillId="0" borderId="5" xfId="1" applyNumberFormat="1" applyBorder="1"/>
    <xf numFmtId="3" fontId="6" fillId="2" borderId="10" xfId="1" applyNumberFormat="1" applyFont="1" applyFill="1" applyBorder="1" applyAlignment="1">
      <alignment horizontal="center"/>
    </xf>
    <xf numFmtId="3" fontId="6" fillId="0" borderId="13" xfId="1" applyNumberFormat="1" applyFont="1" applyBorder="1" applyAlignment="1">
      <alignment horizontal="center"/>
    </xf>
    <xf numFmtId="3" fontId="6" fillId="0" borderId="0" xfId="1" applyNumberFormat="1" applyFont="1" applyAlignment="1">
      <alignment horizontal="center"/>
    </xf>
    <xf numFmtId="3" fontId="2" fillId="0" borderId="0" xfId="1" applyNumberFormat="1" applyAlignment="1"/>
    <xf numFmtId="167" fontId="2" fillId="0" borderId="0" xfId="1" applyNumberFormat="1" applyFont="1" applyAlignment="1"/>
    <xf numFmtId="167" fontId="6" fillId="0" borderId="0" xfId="1" applyNumberFormat="1" applyFont="1" applyAlignment="1">
      <alignment horizontal="centerContinuous"/>
    </xf>
    <xf numFmtId="167" fontId="6" fillId="2" borderId="2" xfId="1" applyNumberFormat="1" applyFont="1" applyFill="1" applyBorder="1" applyAlignment="1">
      <alignment horizontal="center"/>
    </xf>
    <xf numFmtId="167" fontId="6" fillId="2" borderId="3" xfId="1" applyNumberFormat="1" applyFont="1" applyFill="1" applyBorder="1" applyAlignment="1">
      <alignment horizontal="center"/>
    </xf>
    <xf numFmtId="167" fontId="6" fillId="2" borderId="5" xfId="1" applyNumberFormat="1" applyFont="1" applyFill="1" applyBorder="1" applyAlignment="1">
      <alignment horizontal="center"/>
    </xf>
    <xf numFmtId="167" fontId="7" fillId="0" borderId="2" xfId="1" applyNumberFormat="1" applyFont="1" applyBorder="1" applyAlignment="1">
      <alignment horizontal="center"/>
    </xf>
    <xf numFmtId="167" fontId="7" fillId="0" borderId="3" xfId="1" applyNumberFormat="1" applyFont="1" applyBorder="1" applyAlignment="1">
      <alignment horizontal="center"/>
    </xf>
    <xf numFmtId="167" fontId="2" fillId="0" borderId="5" xfId="1" applyNumberFormat="1" applyFont="1" applyBorder="1" applyAlignment="1">
      <alignment horizontal="center"/>
    </xf>
    <xf numFmtId="167" fontId="2" fillId="0" borderId="6" xfId="1" applyNumberFormat="1" applyFont="1" applyBorder="1" applyAlignment="1">
      <alignment horizontal="center"/>
    </xf>
    <xf numFmtId="167" fontId="2" fillId="0" borderId="2" xfId="1" applyNumberFormat="1" applyFont="1" applyBorder="1" applyAlignment="1">
      <alignment horizontal="center"/>
    </xf>
    <xf numFmtId="167" fontId="2" fillId="0" borderId="3" xfId="1" applyNumberFormat="1" applyFont="1" applyBorder="1" applyAlignment="1">
      <alignment horizontal="center"/>
    </xf>
    <xf numFmtId="167" fontId="6" fillId="2" borderId="8" xfId="1" applyNumberFormat="1" applyFont="1" applyFill="1" applyBorder="1" applyAlignment="1">
      <alignment horizontal="center"/>
    </xf>
    <xf numFmtId="167" fontId="6" fillId="2" borderId="9" xfId="1" applyNumberFormat="1" applyFont="1" applyFill="1" applyBorder="1" applyAlignment="1">
      <alignment horizontal="center"/>
    </xf>
    <xf numFmtId="167" fontId="2" fillId="0" borderId="5" xfId="1" applyNumberFormat="1" applyBorder="1"/>
    <xf numFmtId="167" fontId="2" fillId="0" borderId="6" xfId="1" applyNumberFormat="1" applyBorder="1"/>
    <xf numFmtId="167" fontId="6" fillId="2" borderId="10" xfId="1" applyNumberFormat="1" applyFont="1" applyFill="1" applyBorder="1" applyAlignment="1">
      <alignment horizontal="center"/>
    </xf>
    <xf numFmtId="167" fontId="6" fillId="0" borderId="13" xfId="1" applyNumberFormat="1" applyFont="1" applyBorder="1" applyAlignment="1">
      <alignment horizontal="center"/>
    </xf>
    <xf numFmtId="167" fontId="6" fillId="0" borderId="0" xfId="1" applyNumberFormat="1" applyFont="1" applyAlignment="1">
      <alignment horizontal="center"/>
    </xf>
    <xf numFmtId="167" fontId="2" fillId="0" borderId="0" xfId="1" applyNumberFormat="1" applyAlignment="1"/>
    <xf numFmtId="167" fontId="6" fillId="2" borderId="3" xfId="1" applyNumberFormat="1" applyFont="1" applyFill="1" applyBorder="1" applyAlignment="1"/>
    <xf numFmtId="167" fontId="6" fillId="2" borderId="6" xfId="1" applyNumberFormat="1" applyFont="1" applyFill="1" applyBorder="1" applyAlignment="1"/>
    <xf numFmtId="166" fontId="6" fillId="0" borderId="18" xfId="2" applyNumberFormat="1" applyFont="1" applyBorder="1" applyAlignment="1"/>
    <xf numFmtId="166" fontId="6" fillId="0" borderId="0" xfId="1" applyNumberFormat="1" applyFont="1" applyBorder="1" applyAlignment="1"/>
    <xf numFmtId="167" fontId="6" fillId="0" borderId="0" xfId="1" applyNumberFormat="1" applyFont="1" applyBorder="1" applyAlignment="1">
      <alignment horizontal="center"/>
    </xf>
    <xf numFmtId="0" fontId="6" fillId="0" borderId="0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4" fontId="6" fillId="0" borderId="0" xfId="1" applyNumberFormat="1" applyFont="1" applyBorder="1" applyAlignment="1">
      <alignment horizontal="center"/>
    </xf>
    <xf numFmtId="3" fontId="6" fillId="2" borderId="11" xfId="2" applyNumberFormat="1" applyFont="1" applyFill="1" applyBorder="1" applyAlignment="1">
      <alignment horizontal="center"/>
    </xf>
    <xf numFmtId="3" fontId="6" fillId="2" borderId="19" xfId="2" applyNumberFormat="1" applyFont="1" applyFill="1" applyBorder="1" applyAlignment="1">
      <alignment horizontal="center"/>
    </xf>
    <xf numFmtId="166" fontId="10" fillId="0" borderId="0" xfId="2" applyNumberFormat="1" applyFont="1" applyAlignment="1"/>
    <xf numFmtId="166" fontId="10" fillId="0" borderId="0" xfId="0" applyNumberFormat="1" applyFont="1" applyAlignment="1"/>
    <xf numFmtId="166" fontId="6" fillId="2" borderId="7" xfId="2" applyNumberFormat="1" applyFont="1" applyFill="1" applyBorder="1" applyAlignment="1">
      <alignment horizontal="center"/>
    </xf>
    <xf numFmtId="0" fontId="6" fillId="2" borderId="8" xfId="2" applyNumberFormat="1" applyFont="1" applyFill="1" applyBorder="1" applyAlignment="1">
      <alignment horizontal="center"/>
    </xf>
    <xf numFmtId="167" fontId="6" fillId="2" borderId="20" xfId="2" applyNumberFormat="1" applyFont="1" applyFill="1" applyBorder="1" applyAlignment="1">
      <alignment horizontal="center"/>
    </xf>
    <xf numFmtId="9" fontId="6" fillId="3" borderId="10" xfId="2" applyNumberFormat="1" applyFont="1" applyFill="1" applyBorder="1" applyAlignment="1">
      <alignment horizontal="center"/>
    </xf>
    <xf numFmtId="9" fontId="6" fillId="3" borderId="21" xfId="2" applyNumberFormat="1" applyFont="1" applyFill="1" applyBorder="1" applyAlignment="1">
      <alignment horizontal="center"/>
    </xf>
    <xf numFmtId="167" fontId="6" fillId="2" borderId="20" xfId="1" applyNumberFormat="1" applyFont="1" applyFill="1" applyBorder="1" applyAlignment="1">
      <alignment horizontal="center"/>
    </xf>
    <xf numFmtId="3" fontId="6" fillId="2" borderId="11" xfId="1" applyNumberFormat="1" applyFont="1" applyFill="1" applyBorder="1" applyAlignment="1">
      <alignment horizontal="center"/>
    </xf>
    <xf numFmtId="9" fontId="6" fillId="3" borderId="10" xfId="1" applyNumberFormat="1" applyFont="1" applyFill="1" applyBorder="1" applyAlignment="1">
      <alignment horizontal="center"/>
    </xf>
    <xf numFmtId="166" fontId="6" fillId="2" borderId="4" xfId="0" applyNumberFormat="1" applyFont="1" applyFill="1" applyBorder="1" applyAlignment="1"/>
    <xf numFmtId="166" fontId="11" fillId="0" borderId="4" xfId="0" applyNumberFormat="1" applyFont="1" applyBorder="1" applyAlignment="1"/>
    <xf numFmtId="0" fontId="12" fillId="3" borderId="4" xfId="3" applyFont="1" applyFill="1" applyBorder="1" applyAlignment="1">
      <alignment horizontal="center"/>
    </xf>
    <xf numFmtId="0" fontId="11" fillId="3" borderId="4" xfId="3" applyFont="1" applyFill="1" applyBorder="1" applyAlignment="1">
      <alignment horizontal="center"/>
    </xf>
    <xf numFmtId="0" fontId="13" fillId="0" borderId="0" xfId="0" applyNumberFormat="1" applyFont="1" applyAlignment="1"/>
    <xf numFmtId="0" fontId="14" fillId="0" borderId="0" xfId="0" applyNumberFormat="1" applyFont="1" applyAlignment="1"/>
    <xf numFmtId="9" fontId="11" fillId="3" borderId="2" xfId="0" applyNumberFormat="1" applyFont="1" applyFill="1" applyBorder="1" applyAlignment="1">
      <alignment horizontal="center"/>
    </xf>
    <xf numFmtId="9" fontId="11" fillId="3" borderId="8" xfId="0" applyNumberFormat="1" applyFont="1" applyFill="1" applyBorder="1" applyAlignment="1">
      <alignment horizontal="center"/>
    </xf>
    <xf numFmtId="9" fontId="11" fillId="3" borderId="10" xfId="0" applyNumberFormat="1" applyFont="1" applyFill="1" applyBorder="1" applyAlignment="1">
      <alignment horizontal="center"/>
    </xf>
    <xf numFmtId="0" fontId="15" fillId="0" borderId="0" xfId="3" applyFont="1" applyAlignment="1"/>
    <xf numFmtId="0" fontId="13" fillId="0" borderId="0" xfId="2" applyNumberFormat="1" applyFont="1" applyAlignment="1"/>
    <xf numFmtId="0" fontId="14" fillId="0" borderId="0" xfId="2" applyNumberFormat="1" applyFont="1" applyAlignment="1"/>
    <xf numFmtId="0" fontId="13" fillId="0" borderId="0" xfId="1" applyNumberFormat="1" applyFont="1" applyAlignment="1"/>
    <xf numFmtId="0" fontId="14" fillId="0" borderId="0" xfId="1" applyNumberFormat="1" applyFont="1" applyAlignment="1"/>
    <xf numFmtId="4" fontId="2" fillId="0" borderId="0" xfId="3" applyNumberFormat="1" applyFont="1" applyBorder="1" applyAlignment="1">
      <alignment horizontal="center"/>
    </xf>
    <xf numFmtId="4" fontId="16" fillId="0" borderId="0" xfId="3" applyNumberFormat="1" applyFont="1" applyBorder="1" applyAlignment="1">
      <alignment horizontal="left"/>
    </xf>
    <xf numFmtId="167" fontId="0" fillId="0" borderId="6" xfId="1" applyNumberFormat="1" applyFont="1" applyBorder="1" applyAlignment="1">
      <alignment horizontal="center"/>
    </xf>
    <xf numFmtId="166" fontId="11" fillId="0" borderId="4" xfId="1" applyNumberFormat="1" applyFont="1" applyBorder="1" applyAlignment="1"/>
  </cellXfs>
  <cellStyles count="4">
    <cellStyle name="Normal" xfId="0" builtinId="0"/>
    <cellStyle name="Normal_SLOT STATS" xfId="1"/>
    <cellStyle name="Normal_TABLE STATS" xfId="2"/>
    <cellStyle name="Normal_YTD TAXES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R348"/>
  <sheetViews>
    <sheetView tabSelected="1" showOutlineSymbols="0" zoomScaleNormal="100" workbookViewId="0">
      <selection activeCell="A5" sqref="A5"/>
    </sheetView>
  </sheetViews>
  <sheetFormatPr defaultColWidth="9.6640625" defaultRowHeight="15" x14ac:dyDescent="0.2"/>
  <cols>
    <col min="1" max="1" width="26.441406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/>
  </cols>
  <sheetData>
    <row r="1" spans="1:18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 x14ac:dyDescent="0.3">
      <c r="A2" s="4" t="s">
        <v>69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 x14ac:dyDescent="0.25">
      <c r="A3" s="277" t="s">
        <v>70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x14ac:dyDescent="0.2">
      <c r="A4" s="278" t="s">
        <v>71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 x14ac:dyDescent="0.25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 x14ac:dyDescent="0.25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 x14ac:dyDescent="0.3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 x14ac:dyDescent="0.25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 x14ac:dyDescent="0.25">
      <c r="A9" s="19" t="s">
        <v>13</v>
      </c>
      <c r="B9" s="20">
        <f>DATE(2021,7,1)</f>
        <v>44378</v>
      </c>
      <c r="C9" s="21">
        <v>232803</v>
      </c>
      <c r="D9" s="22">
        <v>188333</v>
      </c>
      <c r="E9" s="23">
        <f>(+C9-D9)/D9</f>
        <v>0.23612431172444553</v>
      </c>
      <c r="F9" s="21">
        <f>+C9-107437</f>
        <v>125366</v>
      </c>
      <c r="G9" s="21">
        <f>+D9-87391</f>
        <v>100942</v>
      </c>
      <c r="H9" s="23">
        <f>(+F9-G9)/G9</f>
        <v>0.24196072992411483</v>
      </c>
      <c r="I9" s="24">
        <f>K9/C9</f>
        <v>68.467668414925924</v>
      </c>
      <c r="J9" s="24">
        <f>K9/F9</f>
        <v>127.14355255810985</v>
      </c>
      <c r="K9" s="21">
        <v>15939478.609999999</v>
      </c>
      <c r="L9" s="21">
        <v>13615214.890000001</v>
      </c>
      <c r="M9" s="25">
        <f>(+K9-L9)/L9</f>
        <v>0.17071076283247694</v>
      </c>
      <c r="N9" s="10"/>
      <c r="R9" s="2"/>
    </row>
    <row r="10" spans="1:18" ht="15.75" x14ac:dyDescent="0.25">
      <c r="A10" s="19"/>
      <c r="B10" s="20">
        <f>DATE(2021,8,1)</f>
        <v>44409</v>
      </c>
      <c r="C10" s="21">
        <v>225454</v>
      </c>
      <c r="D10" s="22">
        <v>193126</v>
      </c>
      <c r="E10" s="23">
        <f>(+C10-D10)/D10</f>
        <v>0.1673933079958162</v>
      </c>
      <c r="F10" s="21">
        <f>+C10-105188</f>
        <v>120266</v>
      </c>
      <c r="G10" s="21">
        <f>+D10-88951</f>
        <v>104175</v>
      </c>
      <c r="H10" s="23">
        <f>(+F10-G10)/G10</f>
        <v>0.15446124310055195</v>
      </c>
      <c r="I10" s="24">
        <f>K10/C10</f>
        <v>66.871825605223236</v>
      </c>
      <c r="J10" s="24">
        <f>K10/F10</f>
        <v>125.35979054761944</v>
      </c>
      <c r="K10" s="21">
        <v>15076520.57</v>
      </c>
      <c r="L10" s="21">
        <v>12620487.539999999</v>
      </c>
      <c r="M10" s="25">
        <f>(+K10-L10)/L10</f>
        <v>0.19460682657589323</v>
      </c>
      <c r="N10" s="10"/>
      <c r="R10" s="2"/>
    </row>
    <row r="11" spans="1:18" ht="15.75" customHeight="1" thickBot="1" x14ac:dyDescent="0.3">
      <c r="A11" s="19"/>
      <c r="B11" s="20"/>
      <c r="C11" s="21"/>
      <c r="D11" s="21"/>
      <c r="E11" s="23"/>
      <c r="F11" s="21"/>
      <c r="G11" s="21"/>
      <c r="H11" s="23"/>
      <c r="I11" s="24"/>
      <c r="J11" s="24"/>
      <c r="K11" s="21"/>
      <c r="L11" s="21"/>
      <c r="M11" s="25"/>
      <c r="N11" s="10"/>
      <c r="R11" s="2"/>
    </row>
    <row r="12" spans="1:18" ht="17.25" thickTop="1" thickBot="1" x14ac:dyDescent="0.3">
      <c r="A12" s="26" t="s">
        <v>14</v>
      </c>
      <c r="B12" s="27"/>
      <c r="C12" s="28">
        <f>SUM(C9:C11)</f>
        <v>458257</v>
      </c>
      <c r="D12" s="28">
        <f>SUM(D9:D11)</f>
        <v>381459</v>
      </c>
      <c r="E12" s="279">
        <f>(+C12-D12)/D12</f>
        <v>0.20132701024225408</v>
      </c>
      <c r="F12" s="28">
        <f>SUM(F9:F11)</f>
        <v>245632</v>
      </c>
      <c r="G12" s="28">
        <f>SUM(G9:G11)</f>
        <v>205117</v>
      </c>
      <c r="H12" s="30">
        <f>(+F12-G12)/G12</f>
        <v>0.19752141460727293</v>
      </c>
      <c r="I12" s="31">
        <f>K12/C12</f>
        <v>67.682543158096877</v>
      </c>
      <c r="J12" s="31">
        <f>K12/F12</f>
        <v>126.27018947042731</v>
      </c>
      <c r="K12" s="28">
        <f>SUM(K9:K11)</f>
        <v>31015999.18</v>
      </c>
      <c r="L12" s="28">
        <f>SUM(L9:L11)</f>
        <v>26235702.43</v>
      </c>
      <c r="M12" s="32">
        <f>(+K12-L12)/L12</f>
        <v>0.18220578476045782</v>
      </c>
      <c r="N12" s="10"/>
      <c r="R12" s="2"/>
    </row>
    <row r="13" spans="1:18" ht="15.75" customHeight="1" thickTop="1" x14ac:dyDescent="0.25">
      <c r="A13" s="15"/>
      <c r="B13" s="16"/>
      <c r="C13" s="16"/>
      <c r="D13" s="16"/>
      <c r="E13" s="17"/>
      <c r="F13" s="16"/>
      <c r="G13" s="16"/>
      <c r="H13" s="17"/>
      <c r="I13" s="16"/>
      <c r="J13" s="16"/>
      <c r="K13" s="195"/>
      <c r="L13" s="195"/>
      <c r="M13" s="18"/>
      <c r="N13" s="10"/>
      <c r="R13" s="2"/>
    </row>
    <row r="14" spans="1:18" ht="15.75" x14ac:dyDescent="0.25">
      <c r="A14" s="19" t="s">
        <v>15</v>
      </c>
      <c r="B14" s="20">
        <f>DATE(2021,7,1)</f>
        <v>44378</v>
      </c>
      <c r="C14" s="21">
        <v>116107</v>
      </c>
      <c r="D14" s="21">
        <v>79471</v>
      </c>
      <c r="E14" s="23">
        <f>(+C14-D14)/D14</f>
        <v>0.46099835159995473</v>
      </c>
      <c r="F14" s="21">
        <f>+C14-56210</f>
        <v>59897</v>
      </c>
      <c r="G14" s="21">
        <f>+D14-38596</f>
        <v>40875</v>
      </c>
      <c r="H14" s="23">
        <f>(+F14-G14)/G14</f>
        <v>0.46537003058103976</v>
      </c>
      <c r="I14" s="24">
        <f>K14/C14</f>
        <v>69.409558855193922</v>
      </c>
      <c r="J14" s="24">
        <f>K14/F14</f>
        <v>134.54656577124064</v>
      </c>
      <c r="K14" s="21">
        <v>8058935.6500000004</v>
      </c>
      <c r="L14" s="21">
        <v>5613318.0300000003</v>
      </c>
      <c r="M14" s="25">
        <f>(+K14-L14)/L14</f>
        <v>0.43568128634963516</v>
      </c>
      <c r="N14" s="10"/>
      <c r="R14" s="2"/>
    </row>
    <row r="15" spans="1:18" ht="15.75" x14ac:dyDescent="0.25">
      <c r="A15" s="19"/>
      <c r="B15" s="20">
        <f>DATE(2021,8,1)</f>
        <v>44409</v>
      </c>
      <c r="C15" s="21">
        <v>103353</v>
      </c>
      <c r="D15" s="21">
        <v>88234</v>
      </c>
      <c r="E15" s="23">
        <f>(+C15-D15)/D15</f>
        <v>0.17135117981730399</v>
      </c>
      <c r="F15" s="21">
        <f>+C15-50446</f>
        <v>52907</v>
      </c>
      <c r="G15" s="21">
        <f>+D15-41802</f>
        <v>46432</v>
      </c>
      <c r="H15" s="23">
        <f>(+F15-G15)/G15</f>
        <v>0.13945124052377669</v>
      </c>
      <c r="I15" s="24">
        <f>K15/C15</f>
        <v>69.568823449730544</v>
      </c>
      <c r="J15" s="24">
        <f>K15/F15</f>
        <v>135.90161245203848</v>
      </c>
      <c r="K15" s="21">
        <v>7190146.6100000003</v>
      </c>
      <c r="L15" s="21">
        <v>5994552.2300000004</v>
      </c>
      <c r="M15" s="25">
        <f>(+K15-L15)/L15</f>
        <v>0.19944682006715952</v>
      </c>
      <c r="N15" s="10"/>
      <c r="R15" s="2"/>
    </row>
    <row r="16" spans="1:18" ht="15.75" customHeight="1" thickBot="1" x14ac:dyDescent="0.3">
      <c r="A16" s="19"/>
      <c r="B16" s="20"/>
      <c r="C16" s="21"/>
      <c r="D16" s="21"/>
      <c r="E16" s="23"/>
      <c r="F16" s="21"/>
      <c r="G16" s="21"/>
      <c r="H16" s="23"/>
      <c r="I16" s="24"/>
      <c r="J16" s="24"/>
      <c r="K16" s="21"/>
      <c r="L16" s="21"/>
      <c r="M16" s="25"/>
      <c r="N16" s="10"/>
      <c r="R16" s="2"/>
    </row>
    <row r="17" spans="1:18" ht="17.25" customHeight="1" thickTop="1" thickBot="1" x14ac:dyDescent="0.3">
      <c r="A17" s="26" t="s">
        <v>14</v>
      </c>
      <c r="B17" s="27"/>
      <c r="C17" s="28">
        <f>SUM(C14:C16)</f>
        <v>219460</v>
      </c>
      <c r="D17" s="28">
        <f>SUM(D14:D16)</f>
        <v>167705</v>
      </c>
      <c r="E17" s="279">
        <f>(+C17-D17)/D17</f>
        <v>0.30860737604722577</v>
      </c>
      <c r="F17" s="28">
        <f>SUM(F14:F16)</f>
        <v>112804</v>
      </c>
      <c r="G17" s="28">
        <f>SUM(G14:G16)</f>
        <v>87307</v>
      </c>
      <c r="H17" s="30">
        <f>(+F17-G17)/G17</f>
        <v>0.29203843907132304</v>
      </c>
      <c r="I17" s="31">
        <f>K17/C17</f>
        <v>69.484563291716043</v>
      </c>
      <c r="J17" s="31">
        <f>K17/F17</f>
        <v>135.18210577639093</v>
      </c>
      <c r="K17" s="28">
        <f>SUM(K14:K16)</f>
        <v>15249082.260000002</v>
      </c>
      <c r="L17" s="28">
        <f>SUM(L14:L16)</f>
        <v>11607870.260000002</v>
      </c>
      <c r="M17" s="32">
        <f>(+K17-L17)/L17</f>
        <v>0.31368476029124737</v>
      </c>
      <c r="N17" s="10"/>
      <c r="R17" s="2"/>
    </row>
    <row r="18" spans="1:18" ht="15.75" customHeight="1" thickTop="1" x14ac:dyDescent="0.25">
      <c r="A18" s="33"/>
      <c r="B18" s="34"/>
      <c r="C18" s="35"/>
      <c r="D18" s="35"/>
      <c r="E18" s="29"/>
      <c r="F18" s="35"/>
      <c r="G18" s="35"/>
      <c r="H18" s="29"/>
      <c r="I18" s="36"/>
      <c r="J18" s="36"/>
      <c r="K18" s="35"/>
      <c r="L18" s="35"/>
      <c r="M18" s="37"/>
      <c r="N18" s="10"/>
      <c r="R18" s="2"/>
    </row>
    <row r="19" spans="1:18" ht="15.75" customHeight="1" x14ac:dyDescent="0.25">
      <c r="A19" s="19" t="s">
        <v>64</v>
      </c>
      <c r="B19" s="20">
        <f>DATE(2021,7,1)</f>
        <v>44378</v>
      </c>
      <c r="C19" s="21">
        <v>66837</v>
      </c>
      <c r="D19" s="21">
        <v>53105</v>
      </c>
      <c r="E19" s="23">
        <f>(+C19-D19)/D19</f>
        <v>0.25858205442048771</v>
      </c>
      <c r="F19" s="21">
        <f>+C19-37212</f>
        <v>29625</v>
      </c>
      <c r="G19" s="21">
        <f>+D19-28880</f>
        <v>24225</v>
      </c>
      <c r="H19" s="23">
        <f>(+F19-G19)/G19</f>
        <v>0.22291021671826625</v>
      </c>
      <c r="I19" s="24">
        <f>K19/C19</f>
        <v>68.824348040755865</v>
      </c>
      <c r="J19" s="24">
        <f>K19/F19</f>
        <v>155.27469873417724</v>
      </c>
      <c r="K19" s="21">
        <v>4600012.95</v>
      </c>
      <c r="L19" s="21">
        <v>3467756.6</v>
      </c>
      <c r="M19" s="25">
        <f>(+K19-L19)/L19</f>
        <v>0.32650975273178057</v>
      </c>
      <c r="N19" s="10"/>
      <c r="R19" s="2"/>
    </row>
    <row r="20" spans="1:18" ht="15.75" customHeight="1" x14ac:dyDescent="0.25">
      <c r="A20" s="19"/>
      <c r="B20" s="20">
        <f>DATE(2021,8,1)</f>
        <v>44409</v>
      </c>
      <c r="C20" s="21">
        <v>56112</v>
      </c>
      <c r="D20" s="21">
        <v>52610</v>
      </c>
      <c r="E20" s="23">
        <f>(+C20-D20)/D20</f>
        <v>6.6565291769625543E-2</v>
      </c>
      <c r="F20" s="21">
        <f>+C20-31048</f>
        <v>25064</v>
      </c>
      <c r="G20" s="21">
        <f>+D20-28661</f>
        <v>23949</v>
      </c>
      <c r="H20" s="23">
        <f>(+F20-G20)/G20</f>
        <v>4.6557267526827845E-2</v>
      </c>
      <c r="I20" s="24">
        <f>K20/C20</f>
        <v>68.400653870829771</v>
      </c>
      <c r="J20" s="24">
        <f>K20/F20</f>
        <v>153.13188198212578</v>
      </c>
      <c r="K20" s="21">
        <v>3838097.49</v>
      </c>
      <c r="L20" s="21">
        <v>3296321</v>
      </c>
      <c r="M20" s="25">
        <f>(+K20-L20)/L20</f>
        <v>0.16435792812653871</v>
      </c>
      <c r="N20" s="10"/>
      <c r="R20" s="2"/>
    </row>
    <row r="21" spans="1:18" ht="15.75" customHeight="1" thickBot="1" x14ac:dyDescent="0.25">
      <c r="A21" s="38"/>
      <c r="B21" s="20"/>
      <c r="C21" s="21"/>
      <c r="D21" s="21"/>
      <c r="E21" s="23"/>
      <c r="F21" s="21"/>
      <c r="G21" s="21"/>
      <c r="H21" s="23"/>
      <c r="I21" s="24"/>
      <c r="J21" s="24"/>
      <c r="K21" s="21"/>
      <c r="L21" s="21"/>
      <c r="M21" s="25"/>
      <c r="N21" s="10"/>
      <c r="R21" s="2"/>
    </row>
    <row r="22" spans="1:18" ht="17.25" customHeight="1" thickTop="1" thickBot="1" x14ac:dyDescent="0.3">
      <c r="A22" s="39" t="s">
        <v>14</v>
      </c>
      <c r="B22" s="40"/>
      <c r="C22" s="41">
        <f>SUM(C19:C21)</f>
        <v>122949</v>
      </c>
      <c r="D22" s="41">
        <f>SUM(D19:D21)</f>
        <v>105715</v>
      </c>
      <c r="E22" s="280">
        <f>(+C22-D22)/D22</f>
        <v>0.16302322281606205</v>
      </c>
      <c r="F22" s="41">
        <f>SUM(F19:F21)</f>
        <v>54689</v>
      </c>
      <c r="G22" s="41">
        <f>SUM(G19:G21)</f>
        <v>48174</v>
      </c>
      <c r="H22" s="42">
        <f>(+F22-G22)/G22</f>
        <v>0.13523892556150621</v>
      </c>
      <c r="I22" s="43">
        <f>K22/C22</f>
        <v>68.630980650513635</v>
      </c>
      <c r="J22" s="43">
        <f>K22/F22</f>
        <v>154.29264459031984</v>
      </c>
      <c r="K22" s="41">
        <f>SUM(K19:K21)</f>
        <v>8438110.4400000013</v>
      </c>
      <c r="L22" s="41">
        <f>SUM(L19:L21)</f>
        <v>6764077.5999999996</v>
      </c>
      <c r="M22" s="44">
        <f>(+K22-L22)/L22</f>
        <v>0.24748871006447382</v>
      </c>
      <c r="N22" s="10"/>
      <c r="R22" s="2"/>
    </row>
    <row r="23" spans="1:18" ht="15.75" customHeight="1" thickTop="1" x14ac:dyDescent="0.2">
      <c r="A23" s="38"/>
      <c r="B23" s="45"/>
      <c r="C23" s="21"/>
      <c r="D23" s="21"/>
      <c r="E23" s="23"/>
      <c r="F23" s="21"/>
      <c r="G23" s="21"/>
      <c r="H23" s="23"/>
      <c r="I23" s="24"/>
      <c r="J23" s="24"/>
      <c r="K23" s="21"/>
      <c r="L23" s="21"/>
      <c r="M23" s="25"/>
      <c r="N23" s="10"/>
      <c r="R23" s="2"/>
    </row>
    <row r="24" spans="1:18" ht="15.75" customHeight="1" x14ac:dyDescent="0.25">
      <c r="A24" s="177" t="s">
        <v>59</v>
      </c>
      <c r="B24" s="20">
        <f>DATE(2021,7,1)</f>
        <v>44378</v>
      </c>
      <c r="C24" s="21">
        <v>337225</v>
      </c>
      <c r="D24" s="21">
        <v>226236</v>
      </c>
      <c r="E24" s="23">
        <f>(+C24-D24)/D24</f>
        <v>0.49058947293976202</v>
      </c>
      <c r="F24" s="21">
        <f>+C24-176904</f>
        <v>160321</v>
      </c>
      <c r="G24" s="21">
        <f>+D24-121061</f>
        <v>105175</v>
      </c>
      <c r="H24" s="23">
        <f>(+F24-G24)/G24</f>
        <v>0.52432612312811977</v>
      </c>
      <c r="I24" s="24">
        <f>K24/C24</f>
        <v>57.210146252502042</v>
      </c>
      <c r="J24" s="24">
        <f>K24/F24</f>
        <v>120.33789441183626</v>
      </c>
      <c r="K24" s="21">
        <v>19292691.57</v>
      </c>
      <c r="L24" s="21">
        <v>14578930.949999999</v>
      </c>
      <c r="M24" s="25">
        <f>(+K24-L24)/L24</f>
        <v>0.32332690484414439</v>
      </c>
      <c r="N24" s="10"/>
      <c r="R24" s="2"/>
    </row>
    <row r="25" spans="1:18" ht="15.75" customHeight="1" x14ac:dyDescent="0.25">
      <c r="A25" s="177"/>
      <c r="B25" s="20">
        <f>DATE(2021,8,1)</f>
        <v>44409</v>
      </c>
      <c r="C25" s="21">
        <v>302300</v>
      </c>
      <c r="D25" s="21">
        <v>248866</v>
      </c>
      <c r="E25" s="23">
        <f>(+C25-D25)/D25</f>
        <v>0.21470992421624488</v>
      </c>
      <c r="F25" s="21">
        <f>+C25-157033</f>
        <v>145267</v>
      </c>
      <c r="G25" s="21">
        <f>+D25-132898</f>
        <v>115968</v>
      </c>
      <c r="H25" s="23">
        <f>(+F25-G25)/G25</f>
        <v>0.25264728200883002</v>
      </c>
      <c r="I25" s="24">
        <f>K25/C25</f>
        <v>58.274154581541517</v>
      </c>
      <c r="J25" s="24">
        <f>K25/F25</f>
        <v>121.26826416185369</v>
      </c>
      <c r="K25" s="21">
        <v>17616276.93</v>
      </c>
      <c r="L25" s="21">
        <v>15099078.17</v>
      </c>
      <c r="M25" s="25">
        <f>(+K25-L25)/L25</f>
        <v>0.16671208213236238</v>
      </c>
      <c r="N25" s="10"/>
      <c r="R25" s="2"/>
    </row>
    <row r="26" spans="1:18" ht="15.75" thickBot="1" x14ac:dyDescent="0.25">
      <c r="A26" s="38"/>
      <c r="B26" s="45"/>
      <c r="C26" s="21"/>
      <c r="D26" s="21"/>
      <c r="E26" s="23"/>
      <c r="F26" s="21"/>
      <c r="G26" s="21"/>
      <c r="H26" s="23"/>
      <c r="I26" s="24"/>
      <c r="J26" s="24"/>
      <c r="K26" s="21"/>
      <c r="L26" s="21"/>
      <c r="M26" s="25"/>
      <c r="N26" s="10"/>
      <c r="R26" s="2"/>
    </row>
    <row r="27" spans="1:18" ht="17.25" thickTop="1" thickBot="1" x14ac:dyDescent="0.3">
      <c r="A27" s="39" t="s">
        <v>14</v>
      </c>
      <c r="B27" s="40"/>
      <c r="C27" s="41">
        <f>SUM(C24:C26)</f>
        <v>639525</v>
      </c>
      <c r="D27" s="41">
        <f>SUM(D24:D26)</f>
        <v>475102</v>
      </c>
      <c r="E27" s="280">
        <f>(+C27-D27)/D27</f>
        <v>0.346079368219877</v>
      </c>
      <c r="F27" s="41">
        <f>SUM(F24:F26)</f>
        <v>305588</v>
      </c>
      <c r="G27" s="41">
        <f>SUM(G24:G26)</f>
        <v>221143</v>
      </c>
      <c r="H27" s="42">
        <f>(+F27-G27)/G27</f>
        <v>0.38185698846447774</v>
      </c>
      <c r="I27" s="43">
        <f>K27/C27</f>
        <v>57.713097220593411</v>
      </c>
      <c r="J27" s="43">
        <f>K27/F27</f>
        <v>120.7801631608571</v>
      </c>
      <c r="K27" s="41">
        <f>SUM(K24:K26)</f>
        <v>36908968.5</v>
      </c>
      <c r="L27" s="41">
        <f>SUM(L24:L26)</f>
        <v>29678009.119999997</v>
      </c>
      <c r="M27" s="44">
        <f>(+K27-L27)/L27</f>
        <v>0.24364705027087083</v>
      </c>
      <c r="N27" s="10"/>
      <c r="R27" s="2"/>
    </row>
    <row r="28" spans="1:18" ht="15.75" thickTop="1" x14ac:dyDescent="0.2">
      <c r="A28" s="38"/>
      <c r="B28" s="45"/>
      <c r="C28" s="21"/>
      <c r="D28" s="21"/>
      <c r="E28" s="23"/>
      <c r="F28" s="21"/>
      <c r="G28" s="21"/>
      <c r="H28" s="23"/>
      <c r="I28" s="24"/>
      <c r="J28" s="24"/>
      <c r="K28" s="21"/>
      <c r="L28" s="21"/>
      <c r="M28" s="25"/>
      <c r="N28" s="10"/>
      <c r="R28" s="2"/>
    </row>
    <row r="29" spans="1:18" ht="15.75" x14ac:dyDescent="0.25">
      <c r="A29" s="19" t="s">
        <v>62</v>
      </c>
      <c r="B29" s="20">
        <f>DATE(2021,7,1)</f>
        <v>44378</v>
      </c>
      <c r="C29" s="21">
        <v>256229</v>
      </c>
      <c r="D29" s="21">
        <v>260785</v>
      </c>
      <c r="E29" s="23">
        <f>(+C29-D29)/D29</f>
        <v>-1.7470329965297085E-2</v>
      </c>
      <c r="F29" s="21">
        <f>+C29-120621</f>
        <v>135608</v>
      </c>
      <c r="G29" s="21">
        <f>+D29-121006</f>
        <v>139779</v>
      </c>
      <c r="H29" s="23">
        <f>(+F29-G29)/G29</f>
        <v>-2.9839961653753425E-2</v>
      </c>
      <c r="I29" s="24">
        <f>K29/C29</f>
        <v>63.268857818591961</v>
      </c>
      <c r="J29" s="24">
        <f>K29/F29</f>
        <v>119.54542630228305</v>
      </c>
      <c r="K29" s="21">
        <v>16211316.17</v>
      </c>
      <c r="L29" s="21">
        <v>15798872.49</v>
      </c>
      <c r="M29" s="25">
        <f>(+K29-L29)/L29</f>
        <v>2.610589333264501E-2</v>
      </c>
      <c r="N29" s="10"/>
      <c r="R29" s="2"/>
    </row>
    <row r="30" spans="1:18" ht="15.75" x14ac:dyDescent="0.25">
      <c r="A30" s="19"/>
      <c r="B30" s="20">
        <f>DATE(2021,8,1)</f>
        <v>44409</v>
      </c>
      <c r="C30" s="21">
        <v>232853</v>
      </c>
      <c r="D30" s="21">
        <v>267898</v>
      </c>
      <c r="E30" s="23">
        <f>(+C30-D30)/D30</f>
        <v>-0.13081471306243422</v>
      </c>
      <c r="F30" s="21">
        <f>+C30-112411</f>
        <v>120442</v>
      </c>
      <c r="G30" s="21">
        <f>+D30-127416</f>
        <v>140482</v>
      </c>
      <c r="H30" s="23">
        <f>(+F30-G30)/G30</f>
        <v>-0.14265172762346778</v>
      </c>
      <c r="I30" s="24">
        <f>K30/C30</f>
        <v>57.49918424929033</v>
      </c>
      <c r="J30" s="24">
        <f>K30/F30</f>
        <v>111.16435753308647</v>
      </c>
      <c r="K30" s="21">
        <v>13388857.550000001</v>
      </c>
      <c r="L30" s="21">
        <v>15592345.880000001</v>
      </c>
      <c r="M30" s="25">
        <f>(+K30-L30)/L30</f>
        <v>-0.14131858970793945</v>
      </c>
      <c r="N30" s="10"/>
      <c r="R30" s="2"/>
    </row>
    <row r="31" spans="1:18" ht="15.75" thickBot="1" x14ac:dyDescent="0.25">
      <c r="A31" s="38"/>
      <c r="B31" s="20"/>
      <c r="C31" s="21"/>
      <c r="D31" s="21"/>
      <c r="E31" s="23"/>
      <c r="F31" s="21"/>
      <c r="G31" s="21"/>
      <c r="H31" s="23"/>
      <c r="I31" s="24"/>
      <c r="J31" s="24"/>
      <c r="K31" s="21"/>
      <c r="L31" s="21"/>
      <c r="M31" s="25"/>
      <c r="N31" s="10"/>
      <c r="R31" s="2"/>
    </row>
    <row r="32" spans="1:18" ht="17.25" thickTop="1" thickBot="1" x14ac:dyDescent="0.3">
      <c r="A32" s="39" t="s">
        <v>14</v>
      </c>
      <c r="B32" s="40"/>
      <c r="C32" s="41">
        <f>SUM(C29:C31)</f>
        <v>489082</v>
      </c>
      <c r="D32" s="41">
        <f>SUM(D29:D31)</f>
        <v>528683</v>
      </c>
      <c r="E32" s="281">
        <f>(+C32-D32)/D32</f>
        <v>-7.4904999782478346E-2</v>
      </c>
      <c r="F32" s="47">
        <f>SUM(F29:F31)</f>
        <v>256050</v>
      </c>
      <c r="G32" s="48">
        <f>SUM(G29:G31)</f>
        <v>280261</v>
      </c>
      <c r="H32" s="49">
        <f>(+F32-G32)/G32</f>
        <v>-8.6387331808564158E-2</v>
      </c>
      <c r="I32" s="50">
        <f>K32/C32</f>
        <v>60.521903729844894</v>
      </c>
      <c r="J32" s="51">
        <f>K32/F32</f>
        <v>115.60309986330795</v>
      </c>
      <c r="K32" s="48">
        <f>SUM(K29:K31)</f>
        <v>29600173.719999999</v>
      </c>
      <c r="L32" s="47">
        <f>SUM(L29:L31)</f>
        <v>31391218.370000001</v>
      </c>
      <c r="M32" s="44">
        <f>(+K32-L32)/L32</f>
        <v>-5.7055595258821493E-2</v>
      </c>
      <c r="N32" s="10"/>
      <c r="R32" s="2"/>
    </row>
    <row r="33" spans="1:18" ht="15.75" customHeight="1" thickTop="1" x14ac:dyDescent="0.25">
      <c r="A33" s="273"/>
      <c r="B33" s="45"/>
      <c r="C33" s="21"/>
      <c r="D33" s="21"/>
      <c r="E33" s="23"/>
      <c r="F33" s="21"/>
      <c r="G33" s="21"/>
      <c r="H33" s="23"/>
      <c r="I33" s="24"/>
      <c r="J33" s="24"/>
      <c r="K33" s="21"/>
      <c r="L33" s="21"/>
      <c r="M33" s="25"/>
      <c r="N33" s="10"/>
      <c r="R33" s="2"/>
    </row>
    <row r="34" spans="1:18" ht="15.75" x14ac:dyDescent="0.25">
      <c r="A34" s="274" t="s">
        <v>63</v>
      </c>
      <c r="B34" s="20">
        <f>DATE(2021,7,1)</f>
        <v>44378</v>
      </c>
      <c r="C34" s="21">
        <v>104293</v>
      </c>
      <c r="D34" s="21">
        <v>75978</v>
      </c>
      <c r="E34" s="23">
        <f>(+C34-D34)/D34</f>
        <v>0.37267366869356922</v>
      </c>
      <c r="F34" s="21">
        <f>+C34-51816</f>
        <v>52477</v>
      </c>
      <c r="G34" s="21">
        <f>+D34-36462</f>
        <v>39516</v>
      </c>
      <c r="H34" s="23">
        <f>(+F34-G34)/G34</f>
        <v>0.3279937240611398</v>
      </c>
      <c r="I34" s="24">
        <f>K34/C34</f>
        <v>62.066719147018496</v>
      </c>
      <c r="J34" s="24">
        <f>K34/F34</f>
        <v>123.35164624502163</v>
      </c>
      <c r="K34" s="21">
        <v>6473124.3399999999</v>
      </c>
      <c r="L34" s="21">
        <v>5007129.57</v>
      </c>
      <c r="M34" s="25">
        <f>(+K34-L34)/L34</f>
        <v>0.29278147279899519</v>
      </c>
      <c r="N34" s="10"/>
      <c r="R34" s="2"/>
    </row>
    <row r="35" spans="1:18" ht="15.75" x14ac:dyDescent="0.25">
      <c r="A35" s="274"/>
      <c r="B35" s="20">
        <f>DATE(2021,8,1)</f>
        <v>44409</v>
      </c>
      <c r="C35" s="21">
        <v>93122</v>
      </c>
      <c r="D35" s="21">
        <v>75051</v>
      </c>
      <c r="E35" s="23">
        <f>(+C35-D35)/D35</f>
        <v>0.24078293427136213</v>
      </c>
      <c r="F35" s="21">
        <f>+C35-46288</f>
        <v>46834</v>
      </c>
      <c r="G35" s="21">
        <f>+D35-37094</f>
        <v>37957</v>
      </c>
      <c r="H35" s="23">
        <f>(+F35-G35)/G35</f>
        <v>0.23386990541929026</v>
      </c>
      <c r="I35" s="24">
        <f>K35/C35</f>
        <v>62.998181632696891</v>
      </c>
      <c r="J35" s="24">
        <f>K35/F35</f>
        <v>125.2619180509886</v>
      </c>
      <c r="K35" s="21">
        <v>5866516.6699999999</v>
      </c>
      <c r="L35" s="21">
        <v>4962926.8</v>
      </c>
      <c r="M35" s="25">
        <f>(+K35-L35)/L35</f>
        <v>0.18206794224730458</v>
      </c>
      <c r="N35" s="10"/>
      <c r="R35" s="2"/>
    </row>
    <row r="36" spans="1:18" ht="15.75" customHeight="1" thickBot="1" x14ac:dyDescent="0.3">
      <c r="A36" s="19"/>
      <c r="B36" s="20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7.45" customHeight="1" thickTop="1" thickBot="1" x14ac:dyDescent="0.3">
      <c r="A37" s="39" t="s">
        <v>14</v>
      </c>
      <c r="B37" s="52"/>
      <c r="C37" s="47">
        <f>SUM(C34:C36)</f>
        <v>197415</v>
      </c>
      <c r="D37" s="48">
        <f>SUM(D34:D36)</f>
        <v>151029</v>
      </c>
      <c r="E37" s="281">
        <f>(+C37-D37)/D37</f>
        <v>0.30713306715928729</v>
      </c>
      <c r="F37" s="48">
        <f>SUM(F34:F36)</f>
        <v>99311</v>
      </c>
      <c r="G37" s="47">
        <f>SUM(G34:G36)</f>
        <v>77473</v>
      </c>
      <c r="H37" s="46">
        <f>(+F37-G37)/G37</f>
        <v>0.28187884811482711</v>
      </c>
      <c r="I37" s="51">
        <f>K37/C37</f>
        <v>62.50609634526252</v>
      </c>
      <c r="J37" s="50">
        <f>K37/F37</f>
        <v>124.2525098931639</v>
      </c>
      <c r="K37" s="47">
        <f>SUM(K34:K36)</f>
        <v>12339641.01</v>
      </c>
      <c r="L37" s="48">
        <f>SUM(L34:L36)</f>
        <v>9970056.370000001</v>
      </c>
      <c r="M37" s="44">
        <f>(+K37-L37)/L37</f>
        <v>0.23767013465742307</v>
      </c>
      <c r="N37" s="10"/>
      <c r="R37" s="2"/>
    </row>
    <row r="38" spans="1:18" ht="15.75" customHeight="1" thickTop="1" x14ac:dyDescent="0.25">
      <c r="A38" s="19"/>
      <c r="B38" s="45"/>
      <c r="C38" s="21"/>
      <c r="D38" s="21"/>
      <c r="E38" s="23"/>
      <c r="F38" s="21"/>
      <c r="G38" s="21"/>
      <c r="H38" s="23"/>
      <c r="I38" s="24"/>
      <c r="J38" s="24"/>
      <c r="K38" s="21"/>
      <c r="L38" s="21"/>
      <c r="M38" s="25"/>
      <c r="N38" s="10"/>
      <c r="R38" s="2"/>
    </row>
    <row r="39" spans="1:18" ht="15.75" x14ac:dyDescent="0.25">
      <c r="A39" s="19" t="s">
        <v>73</v>
      </c>
      <c r="B39" s="20">
        <f>DATE(2021,7,1)</f>
        <v>44378</v>
      </c>
      <c r="C39" s="21">
        <v>224693</v>
      </c>
      <c r="D39" s="21">
        <v>89782</v>
      </c>
      <c r="E39" s="23">
        <f>(+C39-D39)/D39</f>
        <v>1.502650865429596</v>
      </c>
      <c r="F39" s="21">
        <f>+C39-121301</f>
        <v>103392</v>
      </c>
      <c r="G39" s="21">
        <f>+D39-42122</f>
        <v>47660</v>
      </c>
      <c r="H39" s="23">
        <f>(+F39-G39)/G39</f>
        <v>1.1693663449433487</v>
      </c>
      <c r="I39" s="24">
        <f>K39/C39</f>
        <v>42.343524586880768</v>
      </c>
      <c r="J39" s="24">
        <f>K39/F39</f>
        <v>92.021564240947072</v>
      </c>
      <c r="K39" s="21">
        <v>9514293.5700000003</v>
      </c>
      <c r="L39" s="21">
        <v>4552159.55</v>
      </c>
      <c r="M39" s="25">
        <f>(+K39-L39)/L39</f>
        <v>1.0900615335418111</v>
      </c>
      <c r="N39" s="10"/>
      <c r="R39" s="2"/>
    </row>
    <row r="40" spans="1:18" ht="15.75" x14ac:dyDescent="0.25">
      <c r="A40" s="19"/>
      <c r="B40" s="20">
        <f>DATE(2021,8,1)</f>
        <v>44409</v>
      </c>
      <c r="C40" s="21">
        <v>253687</v>
      </c>
      <c r="D40" s="21">
        <v>90766</v>
      </c>
      <c r="E40" s="23">
        <f>(+C40-D40)/D40</f>
        <v>1.794956261155058</v>
      </c>
      <c r="F40" s="21">
        <f>+C40-139919</f>
        <v>113768</v>
      </c>
      <c r="G40" s="21">
        <f>+D40-42451</f>
        <v>48315</v>
      </c>
      <c r="H40" s="23">
        <f>(+F40-G40)/G40</f>
        <v>1.3547138569802339</v>
      </c>
      <c r="I40" s="24">
        <f>K40/C40</f>
        <v>37.330805047164418</v>
      </c>
      <c r="J40" s="24">
        <f>K40/F40</f>
        <v>83.242563286688693</v>
      </c>
      <c r="K40" s="21">
        <v>9470339.9399999995</v>
      </c>
      <c r="L40" s="21">
        <v>4403282.5999999996</v>
      </c>
      <c r="M40" s="25">
        <f>(+K40-L40)/L40</f>
        <v>1.1507454325098281</v>
      </c>
      <c r="N40" s="10"/>
      <c r="R40" s="2"/>
    </row>
    <row r="41" spans="1:18" ht="15.75" customHeight="1" thickBot="1" x14ac:dyDescent="0.3">
      <c r="A41" s="19"/>
      <c r="B41" s="45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45" customHeight="1" thickTop="1" thickBot="1" x14ac:dyDescent="0.3">
      <c r="A42" s="39" t="s">
        <v>14</v>
      </c>
      <c r="B42" s="52"/>
      <c r="C42" s="47">
        <f>SUM(C39:C41)</f>
        <v>478380</v>
      </c>
      <c r="D42" s="48">
        <f>SUM(D39:D41)</f>
        <v>180548</v>
      </c>
      <c r="E42" s="281">
        <f>(+C42-D42)/D42</f>
        <v>1.6496001063429115</v>
      </c>
      <c r="F42" s="48">
        <f>SUM(F39:F41)</f>
        <v>217160</v>
      </c>
      <c r="G42" s="47">
        <f>SUM(G39:G41)</f>
        <v>95975</v>
      </c>
      <c r="H42" s="53">
        <f>(+F42-G42)/G42</f>
        <v>1.2626725709820266</v>
      </c>
      <c r="I42" s="51">
        <f>K42/C42</f>
        <v>39.685257556754038</v>
      </c>
      <c r="J42" s="50">
        <f>K42/F42</f>
        <v>87.42233150672314</v>
      </c>
      <c r="K42" s="47">
        <f>SUM(K39:K41)</f>
        <v>18984633.509999998</v>
      </c>
      <c r="L42" s="48">
        <f>SUM(L39:L41)</f>
        <v>8955442.1499999985</v>
      </c>
      <c r="M42" s="44">
        <f>(+K42-L42)/L42</f>
        <v>1.1198990727666083</v>
      </c>
      <c r="N42" s="10"/>
      <c r="R42" s="2"/>
    </row>
    <row r="43" spans="1:18" ht="15.75" customHeight="1" thickTop="1" x14ac:dyDescent="0.25">
      <c r="A43" s="19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 customHeight="1" x14ac:dyDescent="0.25">
      <c r="A44" s="19" t="s">
        <v>60</v>
      </c>
      <c r="B44" s="20">
        <f>DATE(2021,7,1)</f>
        <v>44378</v>
      </c>
      <c r="C44" s="21">
        <v>251090</v>
      </c>
      <c r="D44" s="21">
        <v>198458</v>
      </c>
      <c r="E44" s="23">
        <f>(+C44-D44)/D44</f>
        <v>0.26520472845639881</v>
      </c>
      <c r="F44" s="21">
        <f>+C44-113536</f>
        <v>137554</v>
      </c>
      <c r="G44" s="21">
        <f>+D44-91512</f>
        <v>106946</v>
      </c>
      <c r="H44" s="23">
        <f>(+F44-G44)/G44</f>
        <v>0.28620051240813121</v>
      </c>
      <c r="I44" s="24">
        <f>K44/C44</f>
        <v>59.031039945836156</v>
      </c>
      <c r="J44" s="24">
        <f>K44/F44</f>
        <v>107.75480044200823</v>
      </c>
      <c r="K44" s="21">
        <v>14822103.82</v>
      </c>
      <c r="L44" s="21">
        <v>11423179.77</v>
      </c>
      <c r="M44" s="25">
        <f>(+K44-L44)/L44</f>
        <v>0.2975462277960807</v>
      </c>
      <c r="N44" s="10"/>
      <c r="R44" s="2"/>
    </row>
    <row r="45" spans="1:18" ht="15.75" customHeight="1" x14ac:dyDescent="0.25">
      <c r="A45" s="19"/>
      <c r="B45" s="20">
        <f>DATE(2021,8,1)</f>
        <v>44409</v>
      </c>
      <c r="C45" s="21">
        <v>215479</v>
      </c>
      <c r="D45" s="21">
        <v>207170</v>
      </c>
      <c r="E45" s="23">
        <f>(+C45-D45)/D45</f>
        <v>4.0107158372351209E-2</v>
      </c>
      <c r="F45" s="21">
        <f>+C45-96518</f>
        <v>118961</v>
      </c>
      <c r="G45" s="21">
        <f>+D45-94983</f>
        <v>112187</v>
      </c>
      <c r="H45" s="23">
        <f>(+F45-G45)/G45</f>
        <v>6.0381327604802693E-2</v>
      </c>
      <c r="I45" s="24">
        <f>K45/C45</f>
        <v>60.899793761805093</v>
      </c>
      <c r="J45" s="24">
        <f>K45/F45</f>
        <v>110.31032573700625</v>
      </c>
      <c r="K45" s="21">
        <v>13122626.66</v>
      </c>
      <c r="L45" s="21">
        <v>12078246.74</v>
      </c>
      <c r="M45" s="25">
        <f>(+K45-L45)/L45</f>
        <v>8.6467841109859611E-2</v>
      </c>
      <c r="N45" s="10"/>
      <c r="R45" s="2"/>
    </row>
    <row r="46" spans="1:18" ht="15.75" customHeight="1" thickBot="1" x14ac:dyDescent="0.3">
      <c r="A46" s="19"/>
      <c r="B46" s="45"/>
      <c r="C46" s="21"/>
      <c r="D46" s="21"/>
      <c r="E46" s="23"/>
      <c r="F46" s="21"/>
      <c r="G46" s="21"/>
      <c r="H46" s="23"/>
      <c r="I46" s="24"/>
      <c r="J46" s="24"/>
      <c r="K46" s="21"/>
      <c r="L46" s="21"/>
      <c r="M46" s="25"/>
      <c r="N46" s="10"/>
      <c r="R46" s="2"/>
    </row>
    <row r="47" spans="1:18" ht="17.25" thickTop="1" thickBot="1" x14ac:dyDescent="0.3">
      <c r="A47" s="39" t="s">
        <v>14</v>
      </c>
      <c r="B47" s="40"/>
      <c r="C47" s="41">
        <f>SUM(C44:C46)</f>
        <v>466569</v>
      </c>
      <c r="D47" s="41">
        <f>SUM(D44:D46)</f>
        <v>405628</v>
      </c>
      <c r="E47" s="280">
        <f>(+C47-D47)/D47</f>
        <v>0.1502386423027996</v>
      </c>
      <c r="F47" s="41">
        <f>SUM(F44:F46)</f>
        <v>256515</v>
      </c>
      <c r="G47" s="41">
        <f>SUM(G44:G46)</f>
        <v>219133</v>
      </c>
      <c r="H47" s="42">
        <f>(+F47-G47)/G47</f>
        <v>0.17059046332592534</v>
      </c>
      <c r="I47" s="43">
        <f>K47/C47</f>
        <v>59.894100293847217</v>
      </c>
      <c r="J47" s="43">
        <f>K47/F47</f>
        <v>108.93994690368984</v>
      </c>
      <c r="K47" s="41">
        <f>SUM(K44:K46)</f>
        <v>27944730.48</v>
      </c>
      <c r="L47" s="41">
        <f>SUM(L44:L46)</f>
        <v>23501426.509999998</v>
      </c>
      <c r="M47" s="44">
        <f>(+K47-L47)/L47</f>
        <v>0.18906528793515365</v>
      </c>
      <c r="N47" s="10"/>
      <c r="R47" s="2"/>
    </row>
    <row r="48" spans="1:18" ht="15.75" customHeight="1" thickTop="1" x14ac:dyDescent="0.2">
      <c r="A48" s="54"/>
      <c r="B48" s="55"/>
      <c r="C48" s="55"/>
      <c r="D48" s="55"/>
      <c r="E48" s="56"/>
      <c r="F48" s="55"/>
      <c r="G48" s="55"/>
      <c r="H48" s="56"/>
      <c r="I48" s="55"/>
      <c r="J48" s="55"/>
      <c r="K48" s="196"/>
      <c r="L48" s="196"/>
      <c r="M48" s="57"/>
      <c r="N48" s="10"/>
      <c r="R48" s="2"/>
    </row>
    <row r="49" spans="1:18" ht="15.75" customHeight="1" x14ac:dyDescent="0.25">
      <c r="A49" s="19" t="s">
        <v>16</v>
      </c>
      <c r="B49" s="20">
        <f>DATE(2021,7,1)</f>
        <v>44378</v>
      </c>
      <c r="C49" s="21">
        <v>292626</v>
      </c>
      <c r="D49" s="21">
        <v>211446</v>
      </c>
      <c r="E49" s="23">
        <f>(+C49-D49)/D49</f>
        <v>0.38392781135609094</v>
      </c>
      <c r="F49" s="21">
        <f>+C49-144119</f>
        <v>148507</v>
      </c>
      <c r="G49" s="21">
        <f>+D49-102823</f>
        <v>108623</v>
      </c>
      <c r="H49" s="23">
        <f>(+F49-G49)/G49</f>
        <v>0.36717822192353367</v>
      </c>
      <c r="I49" s="24">
        <f>K49/C49</f>
        <v>61.884126359243538</v>
      </c>
      <c r="J49" s="24">
        <f>K49/F49</f>
        <v>121.93973590470482</v>
      </c>
      <c r="K49" s="21">
        <v>18108904.359999999</v>
      </c>
      <c r="L49" s="21">
        <v>13827445.609999999</v>
      </c>
      <c r="M49" s="25">
        <f>(+K49-L49)/L49</f>
        <v>0.3096348284967147</v>
      </c>
      <c r="N49" s="10"/>
      <c r="R49" s="2"/>
    </row>
    <row r="50" spans="1:18" ht="15.75" customHeight="1" x14ac:dyDescent="0.25">
      <c r="A50" s="19"/>
      <c r="B50" s="20">
        <f>DATE(2021,8,1)</f>
        <v>44409</v>
      </c>
      <c r="C50" s="21">
        <v>252812</v>
      </c>
      <c r="D50" s="21">
        <v>225551</v>
      </c>
      <c r="E50" s="23">
        <f>(+C50-D50)/D50</f>
        <v>0.12086401745059876</v>
      </c>
      <c r="F50" s="21">
        <f>+C50-122587</f>
        <v>130225</v>
      </c>
      <c r="G50" s="21">
        <f>+D50-110461</f>
        <v>115090</v>
      </c>
      <c r="H50" s="23">
        <f>(+F50-G50)/G50</f>
        <v>0.13150577808671474</v>
      </c>
      <c r="I50" s="24">
        <f>K50/C50</f>
        <v>64.409354381912252</v>
      </c>
      <c r="J50" s="24">
        <f>K50/F50</f>
        <v>125.04094989441352</v>
      </c>
      <c r="K50" s="21">
        <v>16283457.699999999</v>
      </c>
      <c r="L50" s="21">
        <v>14343284.68</v>
      </c>
      <c r="M50" s="25">
        <f>(+K50-L50)/L50</f>
        <v>0.13526699520266369</v>
      </c>
      <c r="N50" s="10"/>
      <c r="R50" s="2"/>
    </row>
    <row r="51" spans="1:18" ht="15.75" customHeight="1" thickBot="1" x14ac:dyDescent="0.3">
      <c r="A51" s="19"/>
      <c r="B51" s="45"/>
      <c r="C51" s="21"/>
      <c r="D51" s="21"/>
      <c r="E51" s="23"/>
      <c r="F51" s="21"/>
      <c r="G51" s="21"/>
      <c r="H51" s="23"/>
      <c r="I51" s="24"/>
      <c r="J51" s="24"/>
      <c r="K51" s="21"/>
      <c r="L51" s="21"/>
      <c r="M51" s="25"/>
      <c r="N51" s="10"/>
      <c r="R51" s="2"/>
    </row>
    <row r="52" spans="1:18" ht="17.25" thickTop="1" thickBot="1" x14ac:dyDescent="0.3">
      <c r="A52" s="39" t="s">
        <v>14</v>
      </c>
      <c r="B52" s="40"/>
      <c r="C52" s="41">
        <f>SUM(C49:C51)</f>
        <v>545438</v>
      </c>
      <c r="D52" s="41">
        <f>SUM(D49:D51)</f>
        <v>436997</v>
      </c>
      <c r="E52" s="280">
        <f>(+C52-D52)/D52</f>
        <v>0.24815044496872976</v>
      </c>
      <c r="F52" s="41">
        <f>SUM(F49:F51)</f>
        <v>278732</v>
      </c>
      <c r="G52" s="41">
        <f>SUM(G49:G51)</f>
        <v>223713</v>
      </c>
      <c r="H52" s="42">
        <f>(+F52-G52)/G52</f>
        <v>0.24593564075400179</v>
      </c>
      <c r="I52" s="43">
        <f>K52/C52</f>
        <v>63.054576432151777</v>
      </c>
      <c r="J52" s="43">
        <f>K52/F52</f>
        <v>123.38863876411752</v>
      </c>
      <c r="K52" s="41">
        <f>SUM(K49:K51)</f>
        <v>34392362.060000002</v>
      </c>
      <c r="L52" s="41">
        <f>SUM(L49:L51)</f>
        <v>28170730.289999999</v>
      </c>
      <c r="M52" s="44">
        <f>(+K52-L52)/L52</f>
        <v>0.22085447221112858</v>
      </c>
      <c r="N52" s="10"/>
      <c r="R52" s="2"/>
    </row>
    <row r="53" spans="1:18" ht="15.75" customHeight="1" thickTop="1" x14ac:dyDescent="0.2">
      <c r="A53" s="54"/>
      <c r="B53" s="55"/>
      <c r="C53" s="55"/>
      <c r="D53" s="55"/>
      <c r="E53" s="56"/>
      <c r="F53" s="55"/>
      <c r="G53" s="55"/>
      <c r="H53" s="56"/>
      <c r="I53" s="55"/>
      <c r="J53" s="55"/>
      <c r="K53" s="196"/>
      <c r="L53" s="196"/>
      <c r="M53" s="57"/>
      <c r="N53" s="10"/>
      <c r="R53" s="2"/>
    </row>
    <row r="54" spans="1:18" ht="15.75" customHeight="1" x14ac:dyDescent="0.25">
      <c r="A54" s="19" t="s">
        <v>54</v>
      </c>
      <c r="B54" s="20">
        <f>DATE(2021,7,1)</f>
        <v>44378</v>
      </c>
      <c r="C54" s="21">
        <v>338901</v>
      </c>
      <c r="D54" s="21">
        <v>223492</v>
      </c>
      <c r="E54" s="23">
        <f>(+C54-D54)/D54</f>
        <v>0.51638984840620694</v>
      </c>
      <c r="F54" s="21">
        <f>+C54-160819</f>
        <v>178082</v>
      </c>
      <c r="G54" s="21">
        <f>+D54-109534</f>
        <v>113958</v>
      </c>
      <c r="H54" s="23">
        <f>(+F54-G54)/G54</f>
        <v>0.56269853805788095</v>
      </c>
      <c r="I54" s="24">
        <f>K54/C54</f>
        <v>59.424074818309769</v>
      </c>
      <c r="J54" s="24">
        <f>K54/F54</f>
        <v>113.08766961287496</v>
      </c>
      <c r="K54" s="21">
        <v>20138878.379999999</v>
      </c>
      <c r="L54" s="21">
        <v>15036571.48</v>
      </c>
      <c r="M54" s="25">
        <f>(+K54-L54)/L54</f>
        <v>0.33932648189027187</v>
      </c>
      <c r="N54" s="10"/>
      <c r="R54" s="2"/>
    </row>
    <row r="55" spans="1:18" ht="15.75" customHeight="1" x14ac:dyDescent="0.25">
      <c r="A55" s="19"/>
      <c r="B55" s="20">
        <f>DATE(2021,8,1)</f>
        <v>44409</v>
      </c>
      <c r="C55" s="21">
        <v>315503</v>
      </c>
      <c r="D55" s="21">
        <v>243172</v>
      </c>
      <c r="E55" s="23">
        <f>(+C55-D55)/D55</f>
        <v>0.29744789696182128</v>
      </c>
      <c r="F55" s="21">
        <f>+C55-149989</f>
        <v>165514</v>
      </c>
      <c r="G55" s="21">
        <f>+D55-117936</f>
        <v>125236</v>
      </c>
      <c r="H55" s="23">
        <f>(+F55-G55)/G55</f>
        <v>0.32161678750519018</v>
      </c>
      <c r="I55" s="24">
        <f>K55/C55</f>
        <v>60.83894787054323</v>
      </c>
      <c r="J55" s="24">
        <f>K55/F55</f>
        <v>115.97128079799896</v>
      </c>
      <c r="K55" s="21">
        <v>19194870.57</v>
      </c>
      <c r="L55" s="21">
        <v>15861571.800000001</v>
      </c>
      <c r="M55" s="25">
        <f>(+K55-L55)/L55</f>
        <v>0.21014933526323032</v>
      </c>
      <c r="N55" s="10"/>
      <c r="R55" s="2"/>
    </row>
    <row r="56" spans="1:18" ht="15.75" customHeight="1" thickBot="1" x14ac:dyDescent="0.3">
      <c r="A56" s="19"/>
      <c r="B56" s="45"/>
      <c r="C56" s="21"/>
      <c r="D56" s="21"/>
      <c r="E56" s="23"/>
      <c r="F56" s="21"/>
      <c r="G56" s="21"/>
      <c r="H56" s="23"/>
      <c r="I56" s="24"/>
      <c r="J56" s="24"/>
      <c r="K56" s="21"/>
      <c r="L56" s="21"/>
      <c r="M56" s="25"/>
      <c r="N56" s="10"/>
      <c r="R56" s="2"/>
    </row>
    <row r="57" spans="1:18" ht="17.25" thickTop="1" thickBot="1" x14ac:dyDescent="0.3">
      <c r="A57" s="39" t="s">
        <v>14</v>
      </c>
      <c r="B57" s="40"/>
      <c r="C57" s="41">
        <f>SUM(C54:C56)</f>
        <v>654404</v>
      </c>
      <c r="D57" s="41">
        <f>SUM(D54:D56)</f>
        <v>466664</v>
      </c>
      <c r="E57" s="280">
        <f>(+C57-D57)/D57</f>
        <v>0.40230229887027924</v>
      </c>
      <c r="F57" s="41">
        <f>SUM(F54:F56)</f>
        <v>343596</v>
      </c>
      <c r="G57" s="41">
        <f>SUM(G54:G56)</f>
        <v>239194</v>
      </c>
      <c r="H57" s="42">
        <f>(+F57-G57)/G57</f>
        <v>0.43647415905081233</v>
      </c>
      <c r="I57" s="43">
        <f>K57/C57</f>
        <v>60.106217183880297</v>
      </c>
      <c r="J57" s="43">
        <f>K57/F57</f>
        <v>114.47673706911607</v>
      </c>
      <c r="K57" s="41">
        <f>SUM(K54:K56)</f>
        <v>39333748.950000003</v>
      </c>
      <c r="L57" s="41">
        <f>SUM(L54:L56)</f>
        <v>30898143.280000001</v>
      </c>
      <c r="M57" s="44">
        <f>(+K57-L57)/L57</f>
        <v>0.27301335208255922</v>
      </c>
      <c r="N57" s="10"/>
      <c r="R57" s="2"/>
    </row>
    <row r="58" spans="1:18" ht="15.75" customHeight="1" thickTop="1" x14ac:dyDescent="0.2">
      <c r="A58" s="58"/>
      <c r="B58" s="59"/>
      <c r="C58" s="59"/>
      <c r="D58" s="59"/>
      <c r="E58" s="60"/>
      <c r="F58" s="59"/>
      <c r="G58" s="59"/>
      <c r="H58" s="60"/>
      <c r="I58" s="59"/>
      <c r="J58" s="59"/>
      <c r="K58" s="197"/>
      <c r="L58" s="197"/>
      <c r="M58" s="61"/>
      <c r="N58" s="10"/>
      <c r="R58" s="2"/>
    </row>
    <row r="59" spans="1:18" ht="15" customHeight="1" x14ac:dyDescent="0.25">
      <c r="A59" s="19" t="s">
        <v>55</v>
      </c>
      <c r="B59" s="20">
        <f>DATE(2021,7,1)</f>
        <v>44378</v>
      </c>
      <c r="C59" s="21">
        <v>54523</v>
      </c>
      <c r="D59" s="21">
        <v>43226</v>
      </c>
      <c r="E59" s="23">
        <f>(+C59-D59)/D59</f>
        <v>0.26134733725072873</v>
      </c>
      <c r="F59" s="21">
        <f>+C59-27936</f>
        <v>26587</v>
      </c>
      <c r="G59" s="21">
        <f>+D59-22161</f>
        <v>21065</v>
      </c>
      <c r="H59" s="23">
        <f>(+F59-G59)/G59</f>
        <v>0.26214099216710185</v>
      </c>
      <c r="I59" s="24">
        <f>K59/C59</f>
        <v>66.702283806833819</v>
      </c>
      <c r="J59" s="24">
        <f>K59/F59</f>
        <v>136.78898032873209</v>
      </c>
      <c r="K59" s="21">
        <v>3636808.62</v>
      </c>
      <c r="L59" s="21">
        <v>2973337.45</v>
      </c>
      <c r="M59" s="25">
        <f>(+K59-L59)/L59</f>
        <v>0.22314021908276838</v>
      </c>
      <c r="N59" s="10"/>
      <c r="R59" s="2"/>
    </row>
    <row r="60" spans="1:18" ht="15" customHeight="1" x14ac:dyDescent="0.25">
      <c r="A60" s="19"/>
      <c r="B60" s="20">
        <f>DATE(2021,8,1)</f>
        <v>44409</v>
      </c>
      <c r="C60" s="21">
        <v>47684</v>
      </c>
      <c r="D60" s="21">
        <v>46706</v>
      </c>
      <c r="E60" s="23">
        <f>(+C60-D60)/D60</f>
        <v>2.0939493855179205E-2</v>
      </c>
      <c r="F60" s="21">
        <f>+C60-24640</f>
        <v>23044</v>
      </c>
      <c r="G60" s="21">
        <f>+D60-23797</f>
        <v>22909</v>
      </c>
      <c r="H60" s="23">
        <f>(+F60-G60)/G60</f>
        <v>5.8928805273036795E-3</v>
      </c>
      <c r="I60" s="24">
        <f>K60/C60</f>
        <v>67.626973198557167</v>
      </c>
      <c r="J60" s="24">
        <f>K60/F60</f>
        <v>139.93771003298039</v>
      </c>
      <c r="K60" s="21">
        <v>3224724.59</v>
      </c>
      <c r="L60" s="21">
        <v>3072719.82</v>
      </c>
      <c r="M60" s="25">
        <f>(+K60-L60)/L60</f>
        <v>4.9469127972754781E-2</v>
      </c>
      <c r="N60" s="10"/>
      <c r="R60" s="2"/>
    </row>
    <row r="61" spans="1:18" ht="15.75" thickBot="1" x14ac:dyDescent="0.25">
      <c r="A61" s="38"/>
      <c r="B61" s="20"/>
      <c r="C61" s="21"/>
      <c r="D61" s="21"/>
      <c r="E61" s="23"/>
      <c r="F61" s="21"/>
      <c r="G61" s="21"/>
      <c r="H61" s="23"/>
      <c r="I61" s="24"/>
      <c r="J61" s="24"/>
      <c r="K61" s="21"/>
      <c r="L61" s="21"/>
      <c r="M61" s="25"/>
      <c r="N61" s="10"/>
      <c r="R61" s="2"/>
    </row>
    <row r="62" spans="1:18" ht="17.25" thickTop="1" thickBot="1" x14ac:dyDescent="0.3">
      <c r="A62" s="62" t="s">
        <v>14</v>
      </c>
      <c r="B62" s="52"/>
      <c r="C62" s="48">
        <f>SUM(C59:C61)</f>
        <v>102207</v>
      </c>
      <c r="D62" s="48">
        <f>SUM(D59:D61)</f>
        <v>89932</v>
      </c>
      <c r="E62" s="280">
        <f>(+C62-D62)/D62</f>
        <v>0.13649201619001022</v>
      </c>
      <c r="F62" s="48">
        <f>SUM(F59:F61)</f>
        <v>49631</v>
      </c>
      <c r="G62" s="48">
        <f>SUM(G59:G61)</f>
        <v>43974</v>
      </c>
      <c r="H62" s="42">
        <f>(+F62-G62)/G62</f>
        <v>0.12864419884477191</v>
      </c>
      <c r="I62" s="50">
        <f>K62/C62</f>
        <v>67.133691527977533</v>
      </c>
      <c r="J62" s="50">
        <f>K62/F62</f>
        <v>138.25095625717796</v>
      </c>
      <c r="K62" s="48">
        <f>SUM(K59:K61)</f>
        <v>6861533.21</v>
      </c>
      <c r="L62" s="48">
        <f>SUM(L59:L61)</f>
        <v>6046057.2699999996</v>
      </c>
      <c r="M62" s="44">
        <f>(+K62-L62)/L62</f>
        <v>0.13487730988694396</v>
      </c>
      <c r="N62" s="10"/>
      <c r="R62" s="2"/>
    </row>
    <row r="63" spans="1:18" ht="15.75" customHeight="1" thickTop="1" x14ac:dyDescent="0.25">
      <c r="A63" s="19"/>
      <c r="B63" s="45"/>
      <c r="C63" s="21"/>
      <c r="D63" s="21"/>
      <c r="E63" s="23"/>
      <c r="F63" s="21"/>
      <c r="G63" s="21"/>
      <c r="H63" s="23"/>
      <c r="I63" s="24"/>
      <c r="J63" s="24"/>
      <c r="K63" s="21"/>
      <c r="L63" s="21"/>
      <c r="M63" s="25"/>
      <c r="N63" s="10"/>
      <c r="R63" s="2"/>
    </row>
    <row r="64" spans="1:18" ht="15.75" x14ac:dyDescent="0.25">
      <c r="A64" s="19" t="s">
        <v>17</v>
      </c>
      <c r="B64" s="20">
        <f>DATE(2021,7,1)</f>
        <v>44378</v>
      </c>
      <c r="C64" s="21">
        <v>395405</v>
      </c>
      <c r="D64" s="21">
        <v>316439</v>
      </c>
      <c r="E64" s="23">
        <f>(+C64-D64)/D64</f>
        <v>0.24954572603250547</v>
      </c>
      <c r="F64" s="21">
        <f>+C64-202613</f>
        <v>192792</v>
      </c>
      <c r="G64" s="21">
        <f>+D64-163690</f>
        <v>152749</v>
      </c>
      <c r="H64" s="23">
        <f>(+F64-G64)/G64</f>
        <v>0.26214901570550381</v>
      </c>
      <c r="I64" s="24">
        <f>K64/C64</f>
        <v>66.968329004438488</v>
      </c>
      <c r="J64" s="24">
        <f>K64/F64</f>
        <v>137.34808565708121</v>
      </c>
      <c r="K64" s="21">
        <v>26479612.129999999</v>
      </c>
      <c r="L64" s="21">
        <v>22725911.809999999</v>
      </c>
      <c r="M64" s="25">
        <f>(+K64-L64)/L64</f>
        <v>0.1651727046810185</v>
      </c>
      <c r="N64" s="10"/>
      <c r="R64" s="2"/>
    </row>
    <row r="65" spans="1:18" ht="15.75" x14ac:dyDescent="0.25">
      <c r="A65" s="19"/>
      <c r="B65" s="20">
        <f>DATE(2021,8,1)</f>
        <v>44409</v>
      </c>
      <c r="C65" s="21">
        <v>371664</v>
      </c>
      <c r="D65" s="21">
        <v>305395</v>
      </c>
      <c r="E65" s="23">
        <f>(+C65-D65)/D65</f>
        <v>0.21699438432194371</v>
      </c>
      <c r="F65" s="21">
        <f>+C65-197312</f>
        <v>174352</v>
      </c>
      <c r="G65" s="21">
        <f>+D65-155433</f>
        <v>149962</v>
      </c>
      <c r="H65" s="23">
        <f>(+F65-G65)/G65</f>
        <v>0.16264120243795094</v>
      </c>
      <c r="I65" s="24">
        <f>K65/C65</f>
        <v>65.714444659692617</v>
      </c>
      <c r="J65" s="24">
        <f>K65/F65</f>
        <v>140.08266816555016</v>
      </c>
      <c r="K65" s="21">
        <v>24423693.359999999</v>
      </c>
      <c r="L65" s="21">
        <v>20775703.289999999</v>
      </c>
      <c r="M65" s="25">
        <f>(+K65-L65)/L65</f>
        <v>0.17558924572030699</v>
      </c>
      <c r="N65" s="10"/>
      <c r="R65" s="2"/>
    </row>
    <row r="66" spans="1:18" ht="15.75" thickBot="1" x14ac:dyDescent="0.25">
      <c r="A66" s="38"/>
      <c r="B66" s="45"/>
      <c r="C66" s="21"/>
      <c r="D66" s="21"/>
      <c r="E66" s="23"/>
      <c r="F66" s="21"/>
      <c r="G66" s="21"/>
      <c r="H66" s="23"/>
      <c r="I66" s="24"/>
      <c r="J66" s="24"/>
      <c r="K66" s="21"/>
      <c r="L66" s="21"/>
      <c r="M66" s="25"/>
      <c r="N66" s="10"/>
      <c r="R66" s="2"/>
    </row>
    <row r="67" spans="1:18" ht="17.25" thickTop="1" thickBot="1" x14ac:dyDescent="0.3">
      <c r="A67" s="39" t="s">
        <v>14</v>
      </c>
      <c r="B67" s="40"/>
      <c r="C67" s="41">
        <f>SUM(C64:C66)</f>
        <v>767069</v>
      </c>
      <c r="D67" s="41">
        <f>SUM(D64:D66)</f>
        <v>621834</v>
      </c>
      <c r="E67" s="280">
        <f>(+C67-D67)/D67</f>
        <v>0.23355911706339635</v>
      </c>
      <c r="F67" s="41">
        <f>SUM(F64:F66)</f>
        <v>367144</v>
      </c>
      <c r="G67" s="41">
        <f>SUM(G64:G66)</f>
        <v>302711</v>
      </c>
      <c r="H67" s="42">
        <f>(+F67-G67)/G67</f>
        <v>0.21285318339934789</v>
      </c>
      <c r="I67" s="43">
        <f>K67/C67</f>
        <v>66.360790867575133</v>
      </c>
      <c r="J67" s="43">
        <f>K67/F67</f>
        <v>138.6467039908047</v>
      </c>
      <c r="K67" s="41">
        <f>SUM(K64:K66)</f>
        <v>50903305.489999995</v>
      </c>
      <c r="L67" s="41">
        <f>SUM(L64:L66)</f>
        <v>43501615.099999994</v>
      </c>
      <c r="M67" s="44">
        <f>(+K67-L67)/L67</f>
        <v>0.17014748470798735</v>
      </c>
      <c r="N67" s="10"/>
      <c r="R67" s="2"/>
    </row>
    <row r="68" spans="1:18" ht="15.75" customHeight="1" thickTop="1" x14ac:dyDescent="0.25">
      <c r="A68" s="19"/>
      <c r="B68" s="45"/>
      <c r="C68" s="21"/>
      <c r="D68" s="21"/>
      <c r="E68" s="23"/>
      <c r="F68" s="21"/>
      <c r="G68" s="21"/>
      <c r="H68" s="23"/>
      <c r="I68" s="24"/>
      <c r="J68" s="24"/>
      <c r="K68" s="21"/>
      <c r="L68" s="21"/>
      <c r="M68" s="25"/>
      <c r="N68" s="10"/>
      <c r="R68" s="2"/>
    </row>
    <row r="69" spans="1:18" ht="15.75" x14ac:dyDescent="0.25">
      <c r="A69" s="19" t="s">
        <v>57</v>
      </c>
      <c r="B69" s="20">
        <f>DATE(2021,7,1)</f>
        <v>44378</v>
      </c>
      <c r="C69" s="21">
        <v>70527</v>
      </c>
      <c r="D69" s="21">
        <v>61338</v>
      </c>
      <c r="E69" s="23">
        <f>(+C69-D69)/D69</f>
        <v>0.14980925364374451</v>
      </c>
      <c r="F69" s="21">
        <f>+C69-30135</f>
        <v>40392</v>
      </c>
      <c r="G69" s="21">
        <f>+D69-27914</f>
        <v>33424</v>
      </c>
      <c r="H69" s="23">
        <f>(+F69-G69)/G69</f>
        <v>0.20847295356629966</v>
      </c>
      <c r="I69" s="24">
        <f>K69/C69</f>
        <v>58.011039318275266</v>
      </c>
      <c r="J69" s="24">
        <f>K69/F69</f>
        <v>101.29096281441869</v>
      </c>
      <c r="K69" s="21">
        <v>4091344.57</v>
      </c>
      <c r="L69" s="21">
        <v>3513092.29</v>
      </c>
      <c r="M69" s="25">
        <f>(+K69-L69)/L69</f>
        <v>0.16459922833396437</v>
      </c>
      <c r="N69" s="10"/>
      <c r="R69" s="2"/>
    </row>
    <row r="70" spans="1:18" ht="15.75" x14ac:dyDescent="0.25">
      <c r="A70" s="19"/>
      <c r="B70" s="20">
        <f>DATE(2021,8,1)</f>
        <v>44409</v>
      </c>
      <c r="C70" s="21">
        <v>69916</v>
      </c>
      <c r="D70" s="21">
        <v>61855</v>
      </c>
      <c r="E70" s="23">
        <f>(+C70-D70)/D70</f>
        <v>0.13032091180987795</v>
      </c>
      <c r="F70" s="21">
        <f>+C70-30124</f>
        <v>39792</v>
      </c>
      <c r="G70" s="21">
        <f>+D70-27562</f>
        <v>34293</v>
      </c>
      <c r="H70" s="23">
        <f>(+F70-G70)/G70</f>
        <v>0.16035342489720936</v>
      </c>
      <c r="I70" s="24">
        <f>K70/C70</f>
        <v>56.214888723611196</v>
      </c>
      <c r="J70" s="24">
        <f>K70/F70</f>
        <v>98.771616405307597</v>
      </c>
      <c r="K70" s="21">
        <v>3930320.16</v>
      </c>
      <c r="L70" s="21">
        <v>3548299.04</v>
      </c>
      <c r="M70" s="25">
        <f>(+K70-L70)/L70</f>
        <v>0.10766316922375294</v>
      </c>
      <c r="N70" s="10"/>
      <c r="R70" s="2"/>
    </row>
    <row r="71" spans="1:18" ht="15.75" thickBot="1" x14ac:dyDescent="0.25">
      <c r="A71" s="38"/>
      <c r="B71" s="45"/>
      <c r="C71" s="21"/>
      <c r="D71" s="21"/>
      <c r="E71" s="23"/>
      <c r="F71" s="21"/>
      <c r="G71" s="21"/>
      <c r="H71" s="23"/>
      <c r="I71" s="24"/>
      <c r="J71" s="24"/>
      <c r="K71" s="21"/>
      <c r="L71" s="21"/>
      <c r="M71" s="25"/>
      <c r="N71" s="10"/>
      <c r="R71" s="2"/>
    </row>
    <row r="72" spans="1:18" ht="17.25" thickTop="1" thickBot="1" x14ac:dyDescent="0.3">
      <c r="A72" s="26" t="s">
        <v>14</v>
      </c>
      <c r="B72" s="27"/>
      <c r="C72" s="28">
        <f>SUM(C69:C71)</f>
        <v>140443</v>
      </c>
      <c r="D72" s="28">
        <f>SUM(D69:D71)</f>
        <v>123193</v>
      </c>
      <c r="E72" s="280">
        <f>(+C72-D72)/D72</f>
        <v>0.14002418968610231</v>
      </c>
      <c r="F72" s="28">
        <f>SUM(F69:F71)</f>
        <v>80184</v>
      </c>
      <c r="G72" s="28">
        <f>SUM(G69:G71)</f>
        <v>67717</v>
      </c>
      <c r="H72" s="42">
        <f>(+F72-G72)/G72</f>
        <v>0.18410443463236706</v>
      </c>
      <c r="I72" s="43">
        <f>K72/C72</f>
        <v>57.116871114971914</v>
      </c>
      <c r="J72" s="43">
        <f>K72/F72</f>
        <v>100.04071547939739</v>
      </c>
      <c r="K72" s="28">
        <f>SUM(K69:K71)</f>
        <v>8021664.7300000004</v>
      </c>
      <c r="L72" s="28">
        <f>SUM(L69:L71)</f>
        <v>7061391.3300000001</v>
      </c>
      <c r="M72" s="44">
        <f>(+K72-L72)/L72</f>
        <v>0.13598926261462418</v>
      </c>
      <c r="N72" s="10"/>
      <c r="R72" s="2"/>
    </row>
    <row r="73" spans="1:18" ht="16.5" thickTop="1" thickBot="1" x14ac:dyDescent="0.25">
      <c r="A73" s="63"/>
      <c r="B73" s="34"/>
      <c r="C73" s="35"/>
      <c r="D73" s="35"/>
      <c r="E73" s="29"/>
      <c r="F73" s="35"/>
      <c r="G73" s="35"/>
      <c r="H73" s="29"/>
      <c r="I73" s="36"/>
      <c r="J73" s="36"/>
      <c r="K73" s="35"/>
      <c r="L73" s="35"/>
      <c r="M73" s="37"/>
      <c r="N73" s="10"/>
      <c r="R73" s="2"/>
    </row>
    <row r="74" spans="1:18" ht="17.25" thickTop="1" thickBot="1" x14ac:dyDescent="0.3">
      <c r="A74" s="64" t="s">
        <v>18</v>
      </c>
      <c r="B74" s="65"/>
      <c r="C74" s="28">
        <f>C72+C67+C32+C42+C47+C22+C12+C52+C57+C27+C62+C17+C37</f>
        <v>5281198</v>
      </c>
      <c r="D74" s="28">
        <f>D72+D67+D32+D42+D47+D22+D12+D52+D57+D27+D62+D17+D37</f>
        <v>4134489</v>
      </c>
      <c r="E74" s="279">
        <f>(+C74-D74)/D74</f>
        <v>0.27735205003568758</v>
      </c>
      <c r="F74" s="28">
        <f>F72+F67+F32+F42+F47+F22+F12+F52+F57+F27+F62+F17+F37</f>
        <v>2667036</v>
      </c>
      <c r="G74" s="28">
        <f>G72+G67+G32+G42+G47+G22+G12+G52+G57+G27+G62+G17+G37</f>
        <v>2111892</v>
      </c>
      <c r="H74" s="30">
        <f>(+F74-G74)/G74</f>
        <v>0.2628657147240484</v>
      </c>
      <c r="I74" s="31">
        <f>K74/C74</f>
        <v>60.591167674455676</v>
      </c>
      <c r="J74" s="31">
        <f>K74/F74</f>
        <v>119.98111519304575</v>
      </c>
      <c r="K74" s="28">
        <f>K72+K67+K32+K42+K47+K22+K12+K52+K57+K27+K62+K17+K37</f>
        <v>319993953.53999996</v>
      </c>
      <c r="L74" s="28">
        <f>L72+L67+L32+L42+L47+L22+L12+L52+L57+L27+L62+L17+L37</f>
        <v>263781740.07999998</v>
      </c>
      <c r="M74" s="32">
        <f>(+K74-L74)/L74</f>
        <v>0.21310123074839024</v>
      </c>
      <c r="N74" s="10"/>
      <c r="R74" s="2"/>
    </row>
    <row r="75" spans="1:18" ht="17.25" thickTop="1" thickBot="1" x14ac:dyDescent="0.3">
      <c r="A75" s="64"/>
      <c r="B75" s="65"/>
      <c r="C75" s="28"/>
      <c r="D75" s="28"/>
      <c r="E75" s="29"/>
      <c r="F75" s="28"/>
      <c r="G75" s="28"/>
      <c r="H75" s="30"/>
      <c r="I75" s="31"/>
      <c r="J75" s="31"/>
      <c r="K75" s="28"/>
      <c r="L75" s="28"/>
      <c r="M75" s="32"/>
      <c r="N75" s="10"/>
      <c r="R75" s="2"/>
    </row>
    <row r="76" spans="1:18" ht="17.25" thickTop="1" thickBot="1" x14ac:dyDescent="0.3">
      <c r="A76" s="64" t="s">
        <v>19</v>
      </c>
      <c r="B76" s="65"/>
      <c r="C76" s="28">
        <f>SUM(C10+C15+C20+C25+C30+C35+C40+C45+C50+C55+C60+C65+C70)</f>
        <v>2539939</v>
      </c>
      <c r="D76" s="28">
        <f>SUM(D10+D15+D20+D25+D30+D35+D40+D45+D50+D55+D60+D65+D70)</f>
        <v>2106400</v>
      </c>
      <c r="E76" s="279">
        <f>(+C76-D76)/D76</f>
        <v>0.20581988226357767</v>
      </c>
      <c r="F76" s="28">
        <f>SUM(F10+F15+F20+F25+F30+F35+F40+F45+F50+F55+F60+F65+F70)</f>
        <v>1276436</v>
      </c>
      <c r="G76" s="28">
        <f>SUM(G10+G15+G20+G25+G30+G35+G40+G45+G50+G55+G60+G65+G70)</f>
        <v>1076955</v>
      </c>
      <c r="H76" s="30">
        <f>(+F76-G76)/G76</f>
        <v>0.18522686648931477</v>
      </c>
      <c r="I76" s="31">
        <f>K76/C76</f>
        <v>60.090596191483328</v>
      </c>
      <c r="J76" s="31">
        <f>K76/F76</f>
        <v>119.57234737973543</v>
      </c>
      <c r="K76" s="28">
        <f>SUM(K10+K15+K20+K25+K30+K35+K40+K45+K50+K55+K60+K65+K70)</f>
        <v>152626448.79999998</v>
      </c>
      <c r="L76" s="28">
        <f>SUM(L10+L15+L20+L25+L30+L35+L40+L45+L50+L55+L60+L65+L70)</f>
        <v>131648819.58999999</v>
      </c>
      <c r="M76" s="32">
        <f>(+K76-L76)/L76</f>
        <v>0.15934536500465096</v>
      </c>
      <c r="N76" s="10"/>
      <c r="R76" s="2"/>
    </row>
    <row r="77" spans="1:18" ht="15.75" thickTop="1" x14ac:dyDescent="0.2">
      <c r="A77" s="66"/>
      <c r="B77" s="67"/>
      <c r="C77" s="68"/>
      <c r="D77" s="67"/>
      <c r="E77" s="67"/>
      <c r="F77" s="67"/>
      <c r="G77" s="67"/>
      <c r="H77" s="67"/>
      <c r="I77" s="67"/>
      <c r="J77" s="67"/>
      <c r="K77" s="68"/>
      <c r="L77" s="68"/>
      <c r="M77" s="67"/>
      <c r="R77" s="2"/>
    </row>
    <row r="78" spans="1:18" ht="18.75" x14ac:dyDescent="0.3">
      <c r="A78" s="264" t="s">
        <v>20</v>
      </c>
      <c r="B78" s="70"/>
      <c r="C78" s="71"/>
      <c r="D78" s="71"/>
      <c r="E78" s="71"/>
      <c r="F78" s="71"/>
      <c r="G78" s="71"/>
      <c r="H78" s="71"/>
      <c r="I78" s="71"/>
      <c r="J78" s="71"/>
      <c r="K78" s="198"/>
      <c r="L78" s="198"/>
      <c r="M78" s="71"/>
      <c r="N78" s="2"/>
      <c r="O78" s="2"/>
      <c r="P78" s="2"/>
      <c r="Q78" s="2"/>
      <c r="R78" s="2"/>
    </row>
    <row r="79" spans="1:18" ht="18" x14ac:dyDescent="0.25">
      <c r="A79" s="69"/>
      <c r="B79" s="70"/>
      <c r="C79" s="71"/>
      <c r="D79" s="71"/>
      <c r="E79" s="71"/>
      <c r="F79" s="71"/>
      <c r="G79" s="71"/>
      <c r="H79" s="71"/>
      <c r="I79" s="71"/>
      <c r="J79" s="71"/>
      <c r="K79" s="198"/>
      <c r="L79" s="198"/>
      <c r="M79" s="71"/>
      <c r="N79" s="2"/>
      <c r="O79" s="2"/>
      <c r="P79" s="2"/>
      <c r="Q79" s="2"/>
      <c r="R79" s="2"/>
    </row>
    <row r="80" spans="1:18" ht="15.75" x14ac:dyDescent="0.25">
      <c r="A80" s="72"/>
      <c r="B80" s="73"/>
      <c r="C80" s="74"/>
      <c r="D80" s="74"/>
      <c r="E80" s="74"/>
      <c r="F80" s="74"/>
      <c r="G80" s="74"/>
      <c r="H80" s="74"/>
      <c r="I80" s="74"/>
      <c r="J80" s="74"/>
      <c r="K80" s="192"/>
      <c r="L80" s="192"/>
      <c r="M80" s="75"/>
      <c r="N80" s="2"/>
      <c r="O80" s="2"/>
      <c r="P80" s="2"/>
      <c r="Q80" s="2"/>
      <c r="R80" s="2"/>
    </row>
    <row r="81" spans="1:18" x14ac:dyDescent="0.2">
      <c r="A81" s="2"/>
      <c r="B81" s="73"/>
      <c r="C81" s="74"/>
      <c r="D81" s="74"/>
      <c r="E81" s="74"/>
      <c r="F81" s="74"/>
      <c r="G81" s="74"/>
      <c r="H81" s="74"/>
      <c r="I81" s="74"/>
      <c r="J81" s="74"/>
      <c r="K81" s="192"/>
      <c r="L81" s="192"/>
      <c r="M81" s="75"/>
      <c r="N81" s="2"/>
      <c r="O81" s="2"/>
      <c r="P81" s="2"/>
      <c r="Q81" s="2"/>
      <c r="R81" s="2"/>
    </row>
    <row r="82" spans="1:18" x14ac:dyDescent="0.2">
      <c r="A82" s="2"/>
      <c r="B82" s="73"/>
      <c r="C82" s="74"/>
      <c r="D82" s="74"/>
      <c r="E82" s="74"/>
      <c r="F82" s="74"/>
      <c r="G82" s="74"/>
      <c r="H82" s="74"/>
      <c r="I82" s="74"/>
      <c r="J82" s="74"/>
      <c r="K82" s="192"/>
      <c r="L82" s="192"/>
      <c r="M82" s="75"/>
      <c r="N82" s="2"/>
      <c r="O82" s="2"/>
      <c r="P82" s="2"/>
      <c r="Q82" s="2"/>
      <c r="R82" s="2"/>
    </row>
    <row r="83" spans="1:18" x14ac:dyDescent="0.2">
      <c r="A83" s="2"/>
      <c r="B83" s="73"/>
      <c r="C83" s="74"/>
      <c r="D83" s="74"/>
      <c r="E83" s="74"/>
      <c r="F83" s="74"/>
      <c r="G83" s="74"/>
      <c r="H83" s="74"/>
      <c r="I83" s="74"/>
      <c r="J83" s="74"/>
      <c r="K83" s="192"/>
      <c r="L83" s="192"/>
      <c r="M83" s="75"/>
      <c r="N83" s="2"/>
      <c r="O83" s="2"/>
      <c r="P83" s="2"/>
      <c r="Q83" s="2"/>
      <c r="R83" s="2"/>
    </row>
    <row r="84" spans="1:18" x14ac:dyDescent="0.2">
      <c r="A84" s="2"/>
      <c r="B84" s="73"/>
      <c r="C84" s="74"/>
      <c r="D84" s="74"/>
      <c r="E84" s="74"/>
      <c r="F84" s="74"/>
      <c r="G84" s="74"/>
      <c r="H84" s="74"/>
      <c r="I84" s="74"/>
      <c r="J84" s="74"/>
      <c r="K84" s="192"/>
      <c r="L84" s="192"/>
      <c r="M84" s="75"/>
      <c r="N84" s="2"/>
      <c r="O84" s="2"/>
      <c r="P84" s="2"/>
      <c r="Q84" s="2"/>
      <c r="R84" s="2"/>
    </row>
    <row r="85" spans="1:18" x14ac:dyDescent="0.2">
      <c r="A85" s="2"/>
      <c r="B85" s="73"/>
      <c r="C85" s="74"/>
      <c r="D85" s="74"/>
      <c r="E85" s="74"/>
      <c r="F85" s="74"/>
      <c r="G85" s="74"/>
      <c r="H85" s="74"/>
      <c r="I85" s="74"/>
      <c r="J85" s="74"/>
      <c r="K85" s="192"/>
      <c r="L85" s="192"/>
      <c r="M85" s="75"/>
      <c r="N85" s="2"/>
      <c r="O85" s="2"/>
      <c r="P85" s="2"/>
      <c r="Q85" s="2"/>
      <c r="R85" s="2"/>
    </row>
    <row r="86" spans="1:18" x14ac:dyDescent="0.2">
      <c r="A86" s="2"/>
      <c r="B86" s="73"/>
      <c r="C86" s="74"/>
      <c r="D86" s="74"/>
      <c r="E86" s="74"/>
      <c r="F86" s="74"/>
      <c r="G86" s="74"/>
      <c r="H86" s="74"/>
      <c r="I86" s="74"/>
      <c r="J86" s="74"/>
      <c r="K86" s="192"/>
      <c r="L86" s="192"/>
      <c r="M86" s="75"/>
      <c r="N86" s="2"/>
      <c r="O86" s="2"/>
      <c r="P86" s="2"/>
      <c r="Q86" s="2"/>
      <c r="R86" s="2"/>
    </row>
    <row r="87" spans="1:18" x14ac:dyDescent="0.2">
      <c r="A87" s="2"/>
      <c r="B87" s="73"/>
      <c r="C87" s="74"/>
      <c r="D87" s="74"/>
      <c r="E87" s="74"/>
      <c r="F87" s="74"/>
      <c r="G87" s="74"/>
      <c r="H87" s="74"/>
      <c r="I87" s="74"/>
      <c r="J87" s="74"/>
      <c r="K87" s="192"/>
      <c r="L87" s="192"/>
      <c r="M87" s="75"/>
      <c r="N87" s="2"/>
      <c r="O87" s="2"/>
      <c r="P87" s="2"/>
      <c r="Q87" s="2"/>
      <c r="R87" s="2"/>
    </row>
    <row r="88" spans="1:18" x14ac:dyDescent="0.2">
      <c r="A88" s="2"/>
      <c r="B88" s="73"/>
      <c r="C88" s="74"/>
      <c r="D88" s="74"/>
      <c r="E88" s="74"/>
      <c r="F88" s="74"/>
      <c r="G88" s="74"/>
      <c r="H88" s="74"/>
      <c r="I88" s="74"/>
      <c r="J88" s="74"/>
      <c r="K88" s="192"/>
      <c r="L88" s="192"/>
      <c r="M88" s="75"/>
      <c r="N88" s="2"/>
      <c r="O88" s="2"/>
      <c r="P88" s="2"/>
      <c r="Q88" s="2"/>
      <c r="R88" s="2"/>
    </row>
    <row r="89" spans="1:18" x14ac:dyDescent="0.2">
      <c r="A89" s="2"/>
      <c r="B89" s="73"/>
      <c r="C89" s="74"/>
      <c r="D89" s="74"/>
      <c r="E89" s="74"/>
      <c r="F89" s="74"/>
      <c r="G89" s="74"/>
      <c r="H89" s="74"/>
      <c r="I89" s="74"/>
      <c r="J89" s="74"/>
      <c r="K89" s="192"/>
      <c r="L89" s="192"/>
      <c r="M89" s="74"/>
      <c r="N89" s="2"/>
      <c r="O89" s="2"/>
      <c r="P89" s="2"/>
      <c r="Q89" s="2"/>
      <c r="R89" s="2"/>
    </row>
    <row r="90" spans="1:18" x14ac:dyDescent="0.2">
      <c r="A90" s="2"/>
      <c r="B90" s="73"/>
      <c r="C90" s="74"/>
      <c r="D90" s="74"/>
      <c r="E90" s="74"/>
      <c r="F90" s="74"/>
      <c r="G90" s="74"/>
      <c r="H90" s="74"/>
      <c r="I90" s="74"/>
      <c r="J90" s="74"/>
      <c r="K90" s="192"/>
      <c r="L90" s="192"/>
      <c r="M90" s="74"/>
      <c r="N90" s="2"/>
      <c r="O90" s="2"/>
      <c r="P90" s="2"/>
      <c r="Q90" s="2"/>
      <c r="R90" s="2"/>
    </row>
    <row r="91" spans="1:18" x14ac:dyDescent="0.2">
      <c r="A91" s="2"/>
      <c r="B91" s="70"/>
      <c r="C91" s="74"/>
      <c r="D91" s="74"/>
      <c r="E91" s="74"/>
      <c r="F91" s="74"/>
      <c r="G91" s="74"/>
      <c r="H91" s="74"/>
      <c r="I91" s="74"/>
      <c r="J91" s="74"/>
      <c r="K91" s="192"/>
      <c r="L91" s="192"/>
      <c r="M91" s="74"/>
      <c r="N91" s="2"/>
      <c r="O91" s="2"/>
      <c r="P91" s="2"/>
      <c r="Q91" s="2"/>
      <c r="R91" s="2"/>
    </row>
    <row r="92" spans="1:18" ht="15.75" x14ac:dyDescent="0.25">
      <c r="A92" s="76"/>
      <c r="B92" s="70"/>
      <c r="C92" s="74"/>
      <c r="D92" s="74"/>
      <c r="E92" s="74"/>
      <c r="F92" s="74"/>
      <c r="G92" s="74"/>
      <c r="H92" s="74"/>
      <c r="I92" s="74"/>
      <c r="J92" s="74"/>
      <c r="K92" s="192"/>
      <c r="L92" s="192"/>
      <c r="M92" s="75"/>
      <c r="N92" s="2"/>
      <c r="O92" s="2"/>
      <c r="P92" s="2"/>
      <c r="Q92" s="2"/>
      <c r="R92" s="2"/>
    </row>
    <row r="93" spans="1:18" ht="15.75" x14ac:dyDescent="0.25">
      <c r="A93" s="76"/>
      <c r="B93" s="70"/>
      <c r="C93" s="74"/>
      <c r="D93" s="74"/>
      <c r="E93" s="74"/>
      <c r="F93" s="74"/>
      <c r="G93" s="74"/>
      <c r="H93" s="74"/>
      <c r="I93" s="74"/>
      <c r="J93" s="74"/>
      <c r="K93" s="192"/>
      <c r="L93" s="192"/>
      <c r="M93" s="75"/>
      <c r="N93" s="2"/>
      <c r="O93" s="2"/>
      <c r="P93" s="2"/>
      <c r="Q93" s="2"/>
      <c r="R93" s="2"/>
    </row>
    <row r="94" spans="1:18" ht="15.75" x14ac:dyDescent="0.25">
      <c r="A94" s="76"/>
      <c r="B94" s="70"/>
      <c r="C94" s="74"/>
      <c r="D94" s="74"/>
      <c r="E94" s="74"/>
      <c r="F94" s="74"/>
      <c r="G94" s="74"/>
      <c r="H94" s="74"/>
      <c r="I94" s="74"/>
      <c r="J94" s="74"/>
      <c r="K94" s="192"/>
      <c r="L94" s="192"/>
      <c r="M94" s="75"/>
      <c r="N94" s="2"/>
      <c r="O94" s="2"/>
      <c r="P94" s="2"/>
      <c r="Q94" s="2"/>
      <c r="R94" s="2"/>
    </row>
    <row r="95" spans="1:18" x14ac:dyDescent="0.2">
      <c r="A95" s="2"/>
      <c r="B95" s="70"/>
      <c r="C95" s="74"/>
      <c r="D95" s="74"/>
      <c r="E95" s="74"/>
      <c r="F95" s="74"/>
      <c r="G95" s="74"/>
      <c r="H95" s="74"/>
      <c r="I95" s="74"/>
      <c r="J95" s="74"/>
      <c r="K95" s="192"/>
      <c r="L95" s="192"/>
      <c r="M95" s="75"/>
      <c r="N95" s="2"/>
      <c r="O95" s="2"/>
      <c r="P95" s="2"/>
      <c r="Q95" s="2"/>
      <c r="R95" s="2"/>
    </row>
    <row r="96" spans="1:18" ht="15.75" x14ac:dyDescent="0.25">
      <c r="A96" s="76"/>
      <c r="B96" s="73"/>
      <c r="C96" s="74"/>
      <c r="D96" s="74"/>
      <c r="E96" s="74"/>
      <c r="F96" s="74"/>
      <c r="G96" s="74"/>
      <c r="H96" s="74"/>
      <c r="I96" s="74"/>
      <c r="J96" s="74"/>
      <c r="K96" s="192"/>
      <c r="L96" s="192"/>
      <c r="M96" s="75"/>
      <c r="N96" s="2"/>
      <c r="O96" s="2"/>
      <c r="P96" s="2"/>
      <c r="Q96" s="2"/>
      <c r="R96" s="2"/>
    </row>
    <row r="97" spans="1:18" x14ac:dyDescent="0.2">
      <c r="A97" s="2"/>
      <c r="B97" s="73"/>
      <c r="C97" s="74"/>
      <c r="D97" s="74"/>
      <c r="E97" s="74"/>
      <c r="F97" s="74"/>
      <c r="G97" s="74"/>
      <c r="H97" s="74"/>
      <c r="I97" s="74"/>
      <c r="J97" s="74"/>
      <c r="K97" s="192"/>
      <c r="L97" s="192"/>
      <c r="M97" s="75"/>
      <c r="N97" s="2"/>
      <c r="O97" s="2"/>
      <c r="P97" s="2"/>
      <c r="Q97" s="2"/>
      <c r="R97" s="2"/>
    </row>
    <row r="98" spans="1:18" x14ac:dyDescent="0.2">
      <c r="A98" s="2"/>
      <c r="B98" s="73"/>
      <c r="C98" s="74"/>
      <c r="D98" s="74"/>
      <c r="E98" s="74"/>
      <c r="F98" s="74"/>
      <c r="G98" s="74"/>
      <c r="H98" s="74"/>
      <c r="I98" s="74"/>
      <c r="J98" s="74"/>
      <c r="K98" s="192"/>
      <c r="L98" s="192"/>
      <c r="M98" s="75"/>
      <c r="N98" s="2"/>
      <c r="O98" s="2"/>
      <c r="P98" s="2"/>
      <c r="Q98" s="2"/>
      <c r="R98" s="2"/>
    </row>
    <row r="99" spans="1:18" x14ac:dyDescent="0.2">
      <c r="A99" s="2"/>
      <c r="B99" s="77"/>
      <c r="C99" s="74"/>
      <c r="D99" s="74"/>
      <c r="E99" s="74"/>
      <c r="F99" s="74"/>
      <c r="G99" s="74"/>
      <c r="H99" s="74"/>
      <c r="I99" s="74"/>
      <c r="J99" s="74"/>
      <c r="K99" s="192"/>
      <c r="L99" s="192"/>
      <c r="M99" s="75"/>
      <c r="N99" s="2"/>
      <c r="O99" s="2"/>
      <c r="P99" s="2"/>
      <c r="Q99" s="2"/>
      <c r="R99" s="2"/>
    </row>
    <row r="100" spans="1:18" x14ac:dyDescent="0.2">
      <c r="A100" s="2"/>
      <c r="B100" s="77"/>
      <c r="C100" s="74"/>
      <c r="D100" s="74"/>
      <c r="E100" s="74"/>
      <c r="F100" s="74"/>
      <c r="G100" s="74"/>
      <c r="H100" s="74"/>
      <c r="I100" s="74"/>
      <c r="J100" s="74"/>
      <c r="K100" s="192"/>
      <c r="L100" s="192"/>
      <c r="M100" s="75"/>
      <c r="N100" s="2"/>
      <c r="O100" s="2"/>
      <c r="P100" s="2"/>
      <c r="Q100" s="2"/>
      <c r="R100" s="2"/>
    </row>
    <row r="101" spans="1:18" x14ac:dyDescent="0.2">
      <c r="A101" s="2"/>
      <c r="B101" s="77"/>
      <c r="C101" s="74"/>
      <c r="D101" s="74"/>
      <c r="E101" s="74"/>
      <c r="F101" s="74"/>
      <c r="G101" s="74"/>
      <c r="H101" s="74"/>
      <c r="I101" s="74"/>
      <c r="J101" s="74"/>
      <c r="K101" s="192"/>
      <c r="L101" s="192"/>
      <c r="M101" s="75"/>
      <c r="N101" s="2"/>
      <c r="O101" s="2"/>
      <c r="P101" s="2"/>
      <c r="Q101" s="2"/>
      <c r="R101" s="2"/>
    </row>
    <row r="102" spans="1:18" x14ac:dyDescent="0.2">
      <c r="A102" s="2"/>
      <c r="B102" s="77"/>
      <c r="C102" s="74"/>
      <c r="D102" s="74"/>
      <c r="E102" s="74"/>
      <c r="F102" s="74"/>
      <c r="G102" s="74"/>
      <c r="H102" s="74"/>
      <c r="I102" s="74"/>
      <c r="J102" s="74"/>
      <c r="K102" s="192"/>
      <c r="L102" s="192"/>
      <c r="M102" s="75"/>
      <c r="N102" s="2"/>
      <c r="O102" s="2"/>
      <c r="P102" s="2"/>
      <c r="Q102" s="2"/>
      <c r="R102" s="2"/>
    </row>
    <row r="103" spans="1:18" x14ac:dyDescent="0.2">
      <c r="A103" s="2"/>
      <c r="B103" s="77"/>
      <c r="C103" s="74"/>
      <c r="D103" s="74"/>
      <c r="E103" s="74"/>
      <c r="F103" s="74"/>
      <c r="G103" s="74"/>
      <c r="H103" s="74"/>
      <c r="I103" s="74"/>
      <c r="J103" s="74"/>
      <c r="K103" s="192"/>
      <c r="L103" s="192"/>
      <c r="M103" s="75"/>
      <c r="N103" s="2"/>
      <c r="O103" s="2"/>
      <c r="P103" s="2"/>
      <c r="Q103" s="2"/>
      <c r="R103" s="2"/>
    </row>
    <row r="104" spans="1:18" x14ac:dyDescent="0.2">
      <c r="A104" s="2"/>
      <c r="B104" s="77"/>
      <c r="C104" s="74"/>
      <c r="D104" s="74"/>
      <c r="E104" s="74"/>
      <c r="F104" s="74"/>
      <c r="G104" s="74"/>
      <c r="H104" s="74"/>
      <c r="I104" s="74"/>
      <c r="J104" s="74"/>
      <c r="K104" s="192"/>
      <c r="L104" s="192"/>
      <c r="M104" s="75"/>
      <c r="N104" s="2"/>
      <c r="O104" s="2"/>
      <c r="P104" s="2"/>
      <c r="Q104" s="2"/>
      <c r="R104" s="2"/>
    </row>
    <row r="105" spans="1:18" x14ac:dyDescent="0.2">
      <c r="A105" s="2"/>
      <c r="B105" s="77"/>
      <c r="C105" s="74"/>
      <c r="D105" s="74"/>
      <c r="E105" s="74"/>
      <c r="F105" s="74"/>
      <c r="G105" s="74"/>
      <c r="H105" s="74"/>
      <c r="I105" s="74"/>
      <c r="J105" s="74"/>
      <c r="K105" s="192"/>
      <c r="L105" s="192"/>
      <c r="M105" s="75"/>
      <c r="N105" s="2"/>
      <c r="O105" s="2"/>
      <c r="P105" s="2"/>
      <c r="Q105" s="2"/>
      <c r="R105" s="2"/>
    </row>
    <row r="106" spans="1:18" x14ac:dyDescent="0.2">
      <c r="A106" s="2"/>
      <c r="B106" s="77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x14ac:dyDescent="0.2">
      <c r="A107" s="2"/>
      <c r="B107" s="77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x14ac:dyDescent="0.2">
      <c r="A108" s="2"/>
      <c r="B108" s="2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.75" x14ac:dyDescent="0.25">
      <c r="A109" s="76"/>
      <c r="B109" s="2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x14ac:dyDescent="0.2">
      <c r="A110" s="2"/>
      <c r="B110" s="2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x14ac:dyDescent="0.2">
      <c r="A111" s="2"/>
      <c r="B111" s="2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.75" x14ac:dyDescent="0.25">
      <c r="A112" s="76"/>
      <c r="B112" s="2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.75" x14ac:dyDescent="0.25">
      <c r="A113" s="76"/>
      <c r="B113" s="2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.75" x14ac:dyDescent="0.25">
      <c r="A114" s="76"/>
      <c r="B114" s="77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x14ac:dyDescent="0.2">
      <c r="A115" s="2"/>
      <c r="B115" s="77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5"/>
      <c r="N115" s="2"/>
      <c r="O115" s="2"/>
      <c r="P115" s="2"/>
      <c r="Q115" s="2"/>
      <c r="R115" s="2"/>
    </row>
    <row r="116" spans="1:18" x14ac:dyDescent="0.2">
      <c r="A116" s="2"/>
      <c r="B116" s="77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5"/>
      <c r="N116" s="2"/>
      <c r="O116" s="2"/>
      <c r="P116" s="2"/>
      <c r="Q116" s="2"/>
      <c r="R116" s="2"/>
    </row>
    <row r="117" spans="1:18" x14ac:dyDescent="0.2">
      <c r="A117" s="2"/>
      <c r="B117" s="77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5"/>
      <c r="N117" s="2"/>
      <c r="O117" s="2"/>
      <c r="P117" s="2"/>
      <c r="Q117" s="2"/>
      <c r="R117" s="2"/>
    </row>
    <row r="118" spans="1:18" x14ac:dyDescent="0.2">
      <c r="A118" s="2"/>
      <c r="B118" s="77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x14ac:dyDescent="0.2">
      <c r="A119" s="2"/>
      <c r="B119" s="77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x14ac:dyDescent="0.2">
      <c r="A120" s="2"/>
      <c r="B120" s="77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x14ac:dyDescent="0.2">
      <c r="A121" s="2"/>
      <c r="B121" s="77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x14ac:dyDescent="0.2">
      <c r="A122" s="2"/>
      <c r="B122" s="77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x14ac:dyDescent="0.2">
      <c r="A123" s="2"/>
      <c r="B123" s="77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x14ac:dyDescent="0.2">
      <c r="A124" s="2"/>
      <c r="B124" s="77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x14ac:dyDescent="0.2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x14ac:dyDescent="0.2">
      <c r="A126" s="2"/>
      <c r="B126" s="2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.75" x14ac:dyDescent="0.25">
      <c r="A127" s="76"/>
      <c r="B127" s="2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x14ac:dyDescent="0.2">
      <c r="A128" s="2"/>
      <c r="B128" s="2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x14ac:dyDescent="0.2">
      <c r="A129" s="2"/>
      <c r="B129" s="2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.75" x14ac:dyDescent="0.25">
      <c r="A130" s="76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x14ac:dyDescent="0.2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x14ac:dyDescent="0.2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x14ac:dyDescent="0.2">
      <c r="A133" s="2"/>
      <c r="B133" s="2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x14ac:dyDescent="0.2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x14ac:dyDescent="0.2">
      <c r="A135" s="2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.75" x14ac:dyDescent="0.25">
      <c r="A136" s="76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x14ac:dyDescent="0.2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x14ac:dyDescent="0.2">
      <c r="A138" s="2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 x14ac:dyDescent="0.25">
      <c r="A139" s="76"/>
      <c r="B139" s="76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x14ac:dyDescent="0.2">
      <c r="A140" s="2"/>
      <c r="B140" s="2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x14ac:dyDescent="0.2">
      <c r="A141" s="2"/>
      <c r="B141" s="2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x14ac:dyDescent="0.2">
      <c r="A142" s="2"/>
      <c r="B142" s="2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x14ac:dyDescent="0.2">
      <c r="A143" s="2"/>
      <c r="B143" s="2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x14ac:dyDescent="0.2">
      <c r="A144" s="2"/>
      <c r="B144" s="2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x14ac:dyDescent="0.2">
      <c r="A145" s="2"/>
      <c r="B145" s="2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x14ac:dyDescent="0.2">
      <c r="A146" s="2"/>
      <c r="B146" s="2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x14ac:dyDescent="0.2">
      <c r="A147" s="2"/>
      <c r="B147" s="2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x14ac:dyDescent="0.2">
      <c r="A148" s="2"/>
      <c r="B148" s="2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x14ac:dyDescent="0.2">
      <c r="A149" s="2"/>
      <c r="B149" s="2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x14ac:dyDescent="0.2">
      <c r="A150" s="2"/>
      <c r="B150" s="2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x14ac:dyDescent="0.2">
      <c r="A151" s="2"/>
      <c r="B151" s="2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x14ac:dyDescent="0.2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x14ac:dyDescent="0.2">
      <c r="A153" s="2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x14ac:dyDescent="0.2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x14ac:dyDescent="0.2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x14ac:dyDescent="0.2">
      <c r="A156" s="2"/>
      <c r="B156" s="2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x14ac:dyDescent="0.2">
      <c r="A157" s="2"/>
      <c r="B157" s="2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x14ac:dyDescent="0.2">
      <c r="A158" s="2"/>
      <c r="B158" s="2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x14ac:dyDescent="0.2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x14ac:dyDescent="0.2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x14ac:dyDescent="0.2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x14ac:dyDescent="0.2">
      <c r="A162" s="2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x14ac:dyDescent="0.2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x14ac:dyDescent="0.2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x14ac:dyDescent="0.2">
      <c r="A165" s="2"/>
      <c r="B165" s="2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x14ac:dyDescent="0.2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x14ac:dyDescent="0.2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x14ac:dyDescent="0.2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x14ac:dyDescent="0.2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x14ac:dyDescent="0.2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x14ac:dyDescent="0.2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x14ac:dyDescent="0.2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x14ac:dyDescent="0.2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x14ac:dyDescent="0.2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x14ac:dyDescent="0.2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x14ac:dyDescent="0.2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x14ac:dyDescent="0.2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x14ac:dyDescent="0.2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x14ac:dyDescent="0.2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x14ac:dyDescent="0.2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x14ac:dyDescent="0.2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x14ac:dyDescent="0.2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x14ac:dyDescent="0.2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x14ac:dyDescent="0.2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x14ac:dyDescent="0.2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x14ac:dyDescent="0.2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x14ac:dyDescent="0.2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x14ac:dyDescent="0.2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x14ac:dyDescent="0.2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x14ac:dyDescent="0.2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x14ac:dyDescent="0.2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x14ac:dyDescent="0.2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x14ac:dyDescent="0.2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x14ac:dyDescent="0.2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x14ac:dyDescent="0.2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x14ac:dyDescent="0.2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x14ac:dyDescent="0.2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x14ac:dyDescent="0.2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x14ac:dyDescent="0.2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x14ac:dyDescent="0.2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x14ac:dyDescent="0.2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x14ac:dyDescent="0.2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x14ac:dyDescent="0.2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x14ac:dyDescent="0.2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x14ac:dyDescent="0.2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x14ac:dyDescent="0.2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x14ac:dyDescent="0.2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x14ac:dyDescent="0.2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x14ac:dyDescent="0.2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x14ac:dyDescent="0.2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x14ac:dyDescent="0.2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x14ac:dyDescent="0.2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x14ac:dyDescent="0.2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x14ac:dyDescent="0.2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x14ac:dyDescent="0.2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x14ac:dyDescent="0.2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x14ac:dyDescent="0.2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x14ac:dyDescent="0.2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x14ac:dyDescent="0.2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x14ac:dyDescent="0.2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x14ac:dyDescent="0.2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x14ac:dyDescent="0.2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192"/>
      <c r="L223" s="192"/>
      <c r="M223" s="75"/>
      <c r="N223" s="2"/>
      <c r="O223" s="2"/>
      <c r="P223" s="2"/>
      <c r="Q223" s="2"/>
      <c r="R223" s="2"/>
    </row>
    <row r="224" spans="1:18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192"/>
      <c r="L224" s="192"/>
      <c r="M224" s="75"/>
      <c r="N224" s="2"/>
      <c r="O224" s="2"/>
      <c r="P224" s="2"/>
      <c r="Q224" s="2"/>
      <c r="R224" s="2"/>
    </row>
    <row r="225" spans="1:18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192"/>
      <c r="L225" s="192"/>
      <c r="M225" s="75"/>
      <c r="N225" s="2"/>
      <c r="O225" s="2"/>
      <c r="P225" s="2"/>
      <c r="Q225" s="2"/>
      <c r="R225" s="2"/>
    </row>
    <row r="226" spans="1:18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192"/>
      <c r="L226" s="192"/>
      <c r="M226" s="75"/>
      <c r="N226" s="2"/>
      <c r="O226" s="2"/>
      <c r="P226" s="2"/>
      <c r="Q226" s="2"/>
      <c r="R226" s="2"/>
    </row>
    <row r="227" spans="1:18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192"/>
      <c r="L227" s="192"/>
      <c r="M227" s="75"/>
      <c r="N227" s="2"/>
      <c r="O227" s="2"/>
      <c r="P227" s="2"/>
      <c r="Q227" s="2"/>
      <c r="R227" s="2"/>
    </row>
    <row r="228" spans="1:18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192"/>
      <c r="L228" s="192"/>
      <c r="M228" s="75"/>
      <c r="N228" s="2"/>
      <c r="O228" s="2"/>
      <c r="P228" s="2"/>
      <c r="Q228" s="2"/>
      <c r="R228" s="2"/>
    </row>
    <row r="229" spans="1:18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192"/>
      <c r="L229" s="192"/>
      <c r="M229" s="75"/>
      <c r="N229" s="2"/>
      <c r="O229" s="2"/>
      <c r="P229" s="2"/>
      <c r="Q229" s="2"/>
      <c r="R229" s="2"/>
    </row>
    <row r="230" spans="1:18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192"/>
      <c r="L230" s="192"/>
      <c r="M230" s="75"/>
      <c r="N230" s="2"/>
      <c r="O230" s="2"/>
      <c r="P230" s="2"/>
      <c r="Q230" s="2"/>
      <c r="R230" s="2"/>
    </row>
    <row r="231" spans="1:18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192"/>
      <c r="L231" s="192"/>
      <c r="M231" s="75"/>
      <c r="N231" s="2"/>
      <c r="O231" s="2"/>
      <c r="P231" s="2"/>
      <c r="Q231" s="2"/>
      <c r="R231" s="2"/>
    </row>
    <row r="232" spans="1:18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192"/>
      <c r="L232" s="192"/>
      <c r="M232" s="75"/>
      <c r="N232" s="2"/>
      <c r="O232" s="2"/>
      <c r="P232" s="2"/>
      <c r="Q232" s="2"/>
      <c r="R232" s="2"/>
    </row>
    <row r="233" spans="1:18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192"/>
      <c r="L233" s="192"/>
      <c r="M233" s="75"/>
      <c r="N233" s="2"/>
      <c r="O233" s="2"/>
      <c r="P233" s="2"/>
      <c r="Q233" s="2"/>
      <c r="R233" s="2"/>
    </row>
    <row r="234" spans="1:18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192"/>
      <c r="L234" s="192"/>
      <c r="M234" s="75"/>
      <c r="N234" s="2"/>
      <c r="O234" s="2"/>
      <c r="P234" s="2"/>
      <c r="Q234" s="2"/>
      <c r="R234" s="2"/>
    </row>
    <row r="235" spans="1:18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192"/>
      <c r="L235" s="192"/>
      <c r="M235" s="75"/>
      <c r="N235" s="2"/>
      <c r="O235" s="2"/>
      <c r="P235" s="2"/>
      <c r="Q235" s="2"/>
      <c r="R235" s="2"/>
    </row>
    <row r="236" spans="1:18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192"/>
      <c r="L236" s="192"/>
      <c r="M236" s="75"/>
      <c r="N236" s="2"/>
      <c r="O236" s="2"/>
      <c r="P236" s="2"/>
      <c r="Q236" s="2"/>
      <c r="R236" s="2"/>
    </row>
    <row r="237" spans="1:18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192"/>
      <c r="L237" s="192"/>
      <c r="M237" s="75"/>
      <c r="N237" s="2"/>
      <c r="O237" s="2"/>
      <c r="P237" s="2"/>
      <c r="Q237" s="2"/>
      <c r="R237" s="2"/>
    </row>
    <row r="238" spans="1:18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192"/>
      <c r="L238" s="192"/>
      <c r="M238" s="75"/>
      <c r="N238" s="2"/>
      <c r="O238" s="2"/>
      <c r="P238" s="2"/>
      <c r="Q238" s="2"/>
      <c r="R238" s="2"/>
    </row>
    <row r="239" spans="1:18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192"/>
      <c r="L239" s="192"/>
      <c r="M239" s="75"/>
      <c r="N239" s="2"/>
      <c r="O239" s="2"/>
      <c r="P239" s="2"/>
      <c r="Q239" s="2"/>
      <c r="R239" s="2"/>
    </row>
    <row r="240" spans="1:18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192"/>
      <c r="L240" s="192"/>
      <c r="M240" s="75"/>
      <c r="N240" s="2"/>
      <c r="O240" s="2"/>
      <c r="P240" s="2"/>
      <c r="Q240" s="2"/>
      <c r="R240" s="2"/>
    </row>
    <row r="241" spans="1:18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192"/>
      <c r="L241" s="192"/>
      <c r="M241" s="75"/>
      <c r="N241" s="2"/>
      <c r="O241" s="2"/>
      <c r="P241" s="2"/>
      <c r="Q241" s="2"/>
      <c r="R241" s="2"/>
    </row>
    <row r="242" spans="1:18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192"/>
      <c r="L242" s="192"/>
      <c r="M242" s="75"/>
      <c r="N242" s="2"/>
      <c r="O242" s="2"/>
      <c r="P242" s="2"/>
      <c r="Q242" s="2"/>
      <c r="R242" s="2"/>
    </row>
    <row r="243" spans="1:18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192"/>
      <c r="L243" s="192"/>
      <c r="M243" s="75"/>
      <c r="N243" s="2"/>
      <c r="O243" s="2"/>
      <c r="P243" s="2"/>
      <c r="Q243" s="2"/>
      <c r="R243" s="2"/>
    </row>
    <row r="244" spans="1:18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192"/>
      <c r="L244" s="192"/>
      <c r="M244" s="75"/>
      <c r="N244" s="2"/>
      <c r="O244" s="2"/>
      <c r="P244" s="2"/>
      <c r="Q244" s="2"/>
      <c r="R244" s="2"/>
    </row>
    <row r="245" spans="1:18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192"/>
      <c r="L245" s="192"/>
      <c r="M245" s="75"/>
      <c r="N245" s="2"/>
      <c r="O245" s="2"/>
      <c r="P245" s="2"/>
      <c r="Q245" s="2"/>
      <c r="R245" s="2"/>
    </row>
    <row r="246" spans="1:18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192"/>
      <c r="L246" s="192"/>
      <c r="M246" s="75"/>
      <c r="N246" s="2"/>
      <c r="O246" s="2"/>
      <c r="P246" s="2"/>
      <c r="Q246" s="2"/>
      <c r="R246" s="2"/>
    </row>
    <row r="247" spans="1:18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192"/>
      <c r="L247" s="192"/>
      <c r="M247" s="75"/>
      <c r="N247" s="2"/>
      <c r="O247" s="2"/>
      <c r="P247" s="2"/>
      <c r="Q247" s="2"/>
      <c r="R247" s="2"/>
    </row>
    <row r="248" spans="1:18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192"/>
      <c r="L248" s="192"/>
      <c r="M248" s="75"/>
      <c r="N248" s="2"/>
      <c r="O248" s="2"/>
      <c r="P248" s="2"/>
      <c r="Q248" s="2"/>
      <c r="R248" s="2"/>
    </row>
    <row r="249" spans="1:18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P50"/>
  <sheetViews>
    <sheetView showOutlineSymbols="0" zoomScaleNormal="100" workbookViewId="0">
      <selection activeCell="H29" sqref="H29"/>
    </sheetView>
  </sheetViews>
  <sheetFormatPr defaultColWidth="9.6640625" defaultRowHeight="15" x14ac:dyDescent="0.2"/>
  <cols>
    <col min="1" max="1" width="10.21875" style="80" customWidth="1"/>
    <col min="2" max="2" width="9.77734375" style="80" customWidth="1"/>
    <col min="3" max="3" width="16.109375" style="80" customWidth="1"/>
    <col min="4" max="4" width="26.21875" style="80" customWidth="1"/>
    <col min="5" max="6" width="13.6640625" style="80" customWidth="1"/>
    <col min="7" max="7" width="16" style="80" customWidth="1"/>
    <col min="8" max="8" width="12.44140625" style="80" customWidth="1"/>
    <col min="9" max="9" width="15.4414062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9.44140625" style="80" customWidth="1"/>
    <col min="15" max="15" width="13.88671875" style="80" customWidth="1"/>
    <col min="16" max="16" width="3.77734375" style="80" customWidth="1"/>
    <col min="17" max="16384" width="9.6640625" style="80"/>
  </cols>
  <sheetData>
    <row r="1" spans="1:16" ht="23.25" x14ac:dyDescent="0.3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6" ht="23.25" x14ac:dyDescent="0.3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6" ht="23.25" x14ac:dyDescent="0.35">
      <c r="A3" s="282" t="s">
        <v>72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6" ht="23.25" x14ac:dyDescent="0.3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6" ht="24" thickBot="1" x14ac:dyDescent="0.4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 x14ac:dyDescent="0.2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 x14ac:dyDescent="0.25">
      <c r="A7" s="105" t="s">
        <v>24</v>
      </c>
      <c r="B7" s="84" t="s">
        <v>13</v>
      </c>
      <c r="C7" s="84" t="s">
        <v>15</v>
      </c>
      <c r="D7" s="84" t="s">
        <v>64</v>
      </c>
      <c r="E7" s="275" t="s">
        <v>56</v>
      </c>
      <c r="F7" s="84" t="s">
        <v>62</v>
      </c>
      <c r="G7" s="84" t="s">
        <v>65</v>
      </c>
      <c r="H7" s="84" t="s">
        <v>74</v>
      </c>
      <c r="I7" s="84" t="s">
        <v>52</v>
      </c>
      <c r="J7" s="84" t="s">
        <v>25</v>
      </c>
      <c r="K7" s="84" t="s">
        <v>53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 x14ac:dyDescent="0.3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 x14ac:dyDescent="0.2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 x14ac:dyDescent="0.25">
      <c r="A10" s="88">
        <f>DATE(2021,7,1)</f>
        <v>44378</v>
      </c>
      <c r="B10" s="89">
        <f>'MONTHLY STATS'!$C$9*2</f>
        <v>465606</v>
      </c>
      <c r="C10" s="89">
        <f>'MONTHLY STATS'!$C$14*2</f>
        <v>232214</v>
      </c>
      <c r="D10" s="89">
        <f>'MONTHLY STATS'!$C$19*2</f>
        <v>133674</v>
      </c>
      <c r="E10" s="89">
        <f>'MONTHLY STATS'!$C$24*2</f>
        <v>674450</v>
      </c>
      <c r="F10" s="89">
        <f>'MONTHLY STATS'!$C$29*2</f>
        <v>512458</v>
      </c>
      <c r="G10" s="89">
        <f>'MONTHLY STATS'!$C$34*2</f>
        <v>208586</v>
      </c>
      <c r="H10" s="89">
        <f>'MONTHLY STATS'!$C$39*2</f>
        <v>449386</v>
      </c>
      <c r="I10" s="89">
        <f>'MONTHLY STATS'!$C$44*2</f>
        <v>502180</v>
      </c>
      <c r="J10" s="89">
        <f>'MONTHLY STATS'!$C$49*2</f>
        <v>585252</v>
      </c>
      <c r="K10" s="89">
        <f>'MONTHLY STATS'!$C$54*2</f>
        <v>677802</v>
      </c>
      <c r="L10" s="89">
        <f>'MONTHLY STATS'!$C$59*2</f>
        <v>109046</v>
      </c>
      <c r="M10" s="89">
        <f>'MONTHLY STATS'!$C$64*2</f>
        <v>790810</v>
      </c>
      <c r="N10" s="89">
        <f>'MONTHLY STATS'!$C$69*2</f>
        <v>141054</v>
      </c>
      <c r="O10" s="90">
        <f>SUM(B10:N10)</f>
        <v>5482518</v>
      </c>
      <c r="P10" s="83"/>
    </row>
    <row r="11" spans="1:16" ht="15.75" x14ac:dyDescent="0.25">
      <c r="A11" s="88">
        <f>DATE(2021,8,1)</f>
        <v>44409</v>
      </c>
      <c r="B11" s="89">
        <f>'MONTHLY STATS'!$C$10*2</f>
        <v>450908</v>
      </c>
      <c r="C11" s="89">
        <f>'MONTHLY STATS'!$C$15*2</f>
        <v>206706</v>
      </c>
      <c r="D11" s="89">
        <f>'MONTHLY STATS'!$C$20*2</f>
        <v>112224</v>
      </c>
      <c r="E11" s="89">
        <f>'MONTHLY STATS'!$C$25*2</f>
        <v>604600</v>
      </c>
      <c r="F11" s="89">
        <f>'MONTHLY STATS'!$C$30*2</f>
        <v>465706</v>
      </c>
      <c r="G11" s="89">
        <f>'MONTHLY STATS'!$C$35*2</f>
        <v>186244</v>
      </c>
      <c r="H11" s="89">
        <f>'MONTHLY STATS'!$C$40*2</f>
        <v>507374</v>
      </c>
      <c r="I11" s="89">
        <f>'MONTHLY STATS'!$C$45*2</f>
        <v>430958</v>
      </c>
      <c r="J11" s="89">
        <f>'MONTHLY STATS'!$C$50*2</f>
        <v>505624</v>
      </c>
      <c r="K11" s="89">
        <f>'MONTHLY STATS'!$C$55*2</f>
        <v>631006</v>
      </c>
      <c r="L11" s="89">
        <f>'MONTHLY STATS'!$C$60*2</f>
        <v>95368</v>
      </c>
      <c r="M11" s="89">
        <f>'MONTHLY STATS'!$C$65*2</f>
        <v>743328</v>
      </c>
      <c r="N11" s="89">
        <f>'MONTHLY STATS'!$C$70*2</f>
        <v>139832</v>
      </c>
      <c r="O11" s="90">
        <f>SUM(B11:N11)</f>
        <v>5079878</v>
      </c>
      <c r="P11" s="83"/>
    </row>
    <row r="12" spans="1:16" ht="15.75" x14ac:dyDescent="0.25">
      <c r="A12" s="88"/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90"/>
      <c r="P12" s="83"/>
    </row>
    <row r="13" spans="1:16" ht="15.75" x14ac:dyDescent="0.25">
      <c r="A13" s="88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83"/>
    </row>
    <row r="14" spans="1:16" ht="15.75" x14ac:dyDescent="0.2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 x14ac:dyDescent="0.2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 x14ac:dyDescent="0.2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 x14ac:dyDescent="0.2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 x14ac:dyDescent="0.2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 x14ac:dyDescent="0.2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 x14ac:dyDescent="0.2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 x14ac:dyDescent="0.2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 x14ac:dyDescent="0.2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 x14ac:dyDescent="0.25">
      <c r="A23" s="91" t="s">
        <v>27</v>
      </c>
      <c r="B23" s="90">
        <f t="shared" ref="B23:O23" si="0">SUM(B10:B21)</f>
        <v>916514</v>
      </c>
      <c r="C23" s="90">
        <f t="shared" si="0"/>
        <v>438920</v>
      </c>
      <c r="D23" s="90">
        <f t="shared" si="0"/>
        <v>245898</v>
      </c>
      <c r="E23" s="90">
        <f t="shared" si="0"/>
        <v>1279050</v>
      </c>
      <c r="F23" s="90">
        <f t="shared" si="0"/>
        <v>978164</v>
      </c>
      <c r="G23" s="90">
        <f>SUM(G10:G21)</f>
        <v>394830</v>
      </c>
      <c r="H23" s="90">
        <f t="shared" si="0"/>
        <v>956760</v>
      </c>
      <c r="I23" s="90">
        <f>SUM(I10:I21)</f>
        <v>933138</v>
      </c>
      <c r="J23" s="90">
        <f t="shared" si="0"/>
        <v>1090876</v>
      </c>
      <c r="K23" s="90">
        <f>SUM(K10:K21)</f>
        <v>1308808</v>
      </c>
      <c r="L23" s="90">
        <f t="shared" si="0"/>
        <v>204414</v>
      </c>
      <c r="M23" s="90">
        <f t="shared" si="0"/>
        <v>1534138</v>
      </c>
      <c r="N23" s="90">
        <f t="shared" si="0"/>
        <v>280886</v>
      </c>
      <c r="O23" s="90">
        <f t="shared" si="0"/>
        <v>10562396</v>
      </c>
      <c r="P23" s="83"/>
    </row>
    <row r="24" spans="1:16" ht="16.5" thickBot="1" x14ac:dyDescent="0.3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6" ht="15.75" thickTop="1" x14ac:dyDescent="0.2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6" ht="24" thickBot="1" x14ac:dyDescent="0.4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 x14ac:dyDescent="0.25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 x14ac:dyDescent="0.25">
      <c r="A28" s="105" t="s">
        <v>24</v>
      </c>
      <c r="B28" s="84" t="s">
        <v>13</v>
      </c>
      <c r="C28" s="84" t="s">
        <v>15</v>
      </c>
      <c r="D28" s="84" t="s">
        <v>64</v>
      </c>
      <c r="E28" s="275" t="s">
        <v>56</v>
      </c>
      <c r="F28" s="84" t="s">
        <v>62</v>
      </c>
      <c r="G28" s="84" t="s">
        <v>65</v>
      </c>
      <c r="H28" s="84" t="s">
        <v>74</v>
      </c>
      <c r="I28" s="84" t="s">
        <v>52</v>
      </c>
      <c r="J28" s="84" t="s">
        <v>25</v>
      </c>
      <c r="K28" s="106" t="s">
        <v>53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 x14ac:dyDescent="0.3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 x14ac:dyDescent="0.2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 x14ac:dyDescent="0.25">
      <c r="A31" s="88">
        <f>DATE(2021,7,1)</f>
        <v>44378</v>
      </c>
      <c r="B31" s="89">
        <f>'MONTHLY STATS'!$K$9*0.21</f>
        <v>3347290.5080999997</v>
      </c>
      <c r="C31" s="89">
        <f>'MONTHLY STATS'!$K$14*0.21</f>
        <v>1692376.4865000001</v>
      </c>
      <c r="D31" s="89">
        <f>'MONTHLY STATS'!$K$19*0.21</f>
        <v>966002.71950000001</v>
      </c>
      <c r="E31" s="89">
        <f>'MONTHLY STATS'!$K$24*0.21</f>
        <v>4051465.2297</v>
      </c>
      <c r="F31" s="89">
        <f>'MONTHLY STATS'!$K$29*0.21</f>
        <v>3404376.3956999998</v>
      </c>
      <c r="G31" s="89">
        <f>'MONTHLY STATS'!$K$34*0.21</f>
        <v>1359356.1113999998</v>
      </c>
      <c r="H31" s="89">
        <f>'MONTHLY STATS'!$K$39*0.21</f>
        <v>1998001.6497</v>
      </c>
      <c r="I31" s="89">
        <f>'MONTHLY STATS'!$K$44*0.21</f>
        <v>3112641.8021999998</v>
      </c>
      <c r="J31" s="89">
        <f>'MONTHLY STATS'!$K$49*0.21</f>
        <v>3802869.9155999999</v>
      </c>
      <c r="K31" s="89">
        <f>'MONTHLY STATS'!$K$54*0.21</f>
        <v>4229164.4597999994</v>
      </c>
      <c r="L31" s="89">
        <f>'MONTHLY STATS'!$K$59*0.21</f>
        <v>763729.81019999995</v>
      </c>
      <c r="M31" s="89">
        <f>'MONTHLY STATS'!$K$64*0.21</f>
        <v>5560718.5472999997</v>
      </c>
      <c r="N31" s="89">
        <f>'MONTHLY STATS'!$K$69*0.21</f>
        <v>859182.35969999991</v>
      </c>
      <c r="O31" s="90">
        <f>SUM(B31:N31)</f>
        <v>35147175.995400004</v>
      </c>
      <c r="P31" s="83"/>
    </row>
    <row r="32" spans="1:16" ht="15.75" x14ac:dyDescent="0.25">
      <c r="A32" s="88">
        <f>DATE(2021,8,1)</f>
        <v>44409</v>
      </c>
      <c r="B32" s="89">
        <f>'MONTHLY STATS'!$K$10*0.21</f>
        <v>3166069.3196999999</v>
      </c>
      <c r="C32" s="89">
        <f>'MONTHLY STATS'!$K$15*0.21</f>
        <v>1509930.7881</v>
      </c>
      <c r="D32" s="89">
        <f>'MONTHLY STATS'!$K$20*0.21</f>
        <v>806000.47290000005</v>
      </c>
      <c r="E32" s="89">
        <f>'MONTHLY STATS'!$K$25*0.21</f>
        <v>3699418.1552999998</v>
      </c>
      <c r="F32" s="89">
        <f>'MONTHLY STATS'!$K$30*0.21</f>
        <v>2811660.0855</v>
      </c>
      <c r="G32" s="89">
        <f>'MONTHLY STATS'!$K$35*0.21</f>
        <v>1231968.5007</v>
      </c>
      <c r="H32" s="89">
        <f>'MONTHLY STATS'!$K$40*0.21</f>
        <v>1988771.3873999999</v>
      </c>
      <c r="I32" s="89">
        <f>'MONTHLY STATS'!$K$45*0.21</f>
        <v>2755751.5986000001</v>
      </c>
      <c r="J32" s="89">
        <f>'MONTHLY STATS'!$K$50*0.21</f>
        <v>3419526.1169999996</v>
      </c>
      <c r="K32" s="89">
        <f>'MONTHLY STATS'!$K$55*0.21</f>
        <v>4030922.8196999999</v>
      </c>
      <c r="L32" s="89">
        <f>'MONTHLY STATS'!$K$60*0.21</f>
        <v>677192.16389999993</v>
      </c>
      <c r="M32" s="89">
        <f>'MONTHLY STATS'!$K$65*0.21</f>
        <v>5128975.6055999994</v>
      </c>
      <c r="N32" s="89">
        <f>'MONTHLY STATS'!$K$70*0.21</f>
        <v>825367.23360000004</v>
      </c>
      <c r="O32" s="90">
        <f>SUM(B32:N32)</f>
        <v>32051554.248</v>
      </c>
      <c r="P32" s="83"/>
    </row>
    <row r="33" spans="1:16" ht="15.75" x14ac:dyDescent="0.25">
      <c r="A33" s="88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90"/>
      <c r="P33" s="83"/>
    </row>
    <row r="34" spans="1:16" ht="15.75" x14ac:dyDescent="0.25">
      <c r="A34" s="88"/>
      <c r="B34" s="89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90"/>
      <c r="P34" s="83"/>
    </row>
    <row r="35" spans="1:16" ht="15.75" x14ac:dyDescent="0.2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 x14ac:dyDescent="0.2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 x14ac:dyDescent="0.2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 x14ac:dyDescent="0.2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 x14ac:dyDescent="0.2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 x14ac:dyDescent="0.2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 x14ac:dyDescent="0.2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 x14ac:dyDescent="0.2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 x14ac:dyDescent="0.2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 x14ac:dyDescent="0.25">
      <c r="A44" s="91" t="s">
        <v>27</v>
      </c>
      <c r="B44" s="90">
        <f t="shared" ref="B44:O44" si="1">SUM(B31:B42)</f>
        <v>6513359.8278000001</v>
      </c>
      <c r="C44" s="90">
        <f t="shared" si="1"/>
        <v>3202307.2746000001</v>
      </c>
      <c r="D44" s="90">
        <f t="shared" si="1"/>
        <v>1772003.1924000001</v>
      </c>
      <c r="E44" s="90">
        <f t="shared" si="1"/>
        <v>7750883.3849999998</v>
      </c>
      <c r="F44" s="90">
        <f t="shared" si="1"/>
        <v>6216036.4812000003</v>
      </c>
      <c r="G44" s="90">
        <f t="shared" si="1"/>
        <v>2591324.6120999996</v>
      </c>
      <c r="H44" s="90">
        <f t="shared" si="1"/>
        <v>3986773.0370999998</v>
      </c>
      <c r="I44" s="90">
        <f>SUM(I31:I42)</f>
        <v>5868393.4007999999</v>
      </c>
      <c r="J44" s="90">
        <f t="shared" si="1"/>
        <v>7222396.0325999996</v>
      </c>
      <c r="K44" s="90">
        <f>SUM(K31:K42)</f>
        <v>8260087.2794999992</v>
      </c>
      <c r="L44" s="90">
        <f t="shared" si="1"/>
        <v>1440921.9740999998</v>
      </c>
      <c r="M44" s="90">
        <f t="shared" si="1"/>
        <v>10689694.152899999</v>
      </c>
      <c r="N44" s="90">
        <f t="shared" si="1"/>
        <v>1684549.5932999998</v>
      </c>
      <c r="O44" s="90">
        <f t="shared" si="1"/>
        <v>67198730.243400007</v>
      </c>
      <c r="P44" s="83"/>
    </row>
    <row r="45" spans="1:16" ht="16.5" thickBot="1" x14ac:dyDescent="0.3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6" ht="15.75" thickTop="1" x14ac:dyDescent="0.2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6" x14ac:dyDescent="0.2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16" ht="15.75" x14ac:dyDescent="0.2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 x14ac:dyDescent="0.25">
      <c r="A49" s="115"/>
      <c r="B49" s="98"/>
      <c r="C49" s="98"/>
      <c r="D49" s="98"/>
      <c r="E49" s="98"/>
      <c r="F49" s="98"/>
      <c r="G49" s="98"/>
      <c r="H49" s="98"/>
      <c r="I49" s="98"/>
    </row>
    <row r="50" spans="1:9" ht="15.75" x14ac:dyDescent="0.25">
      <c r="A50" s="72"/>
    </row>
  </sheetData>
  <phoneticPr fontId="0" type="noConversion"/>
  <printOptions horizontalCentered="1"/>
  <pageMargins left="0.3" right="0.05" top="0.31944444444444398" bottom="0.25" header="0.5" footer="0.5"/>
  <pageSetup scale="5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H79"/>
  <sheetViews>
    <sheetView showOutlineSymbols="0" zoomScaleNormal="100" workbookViewId="0">
      <selection activeCell="A5" sqref="A5"/>
    </sheetView>
  </sheetViews>
  <sheetFormatPr defaultColWidth="9.6640625" defaultRowHeight="15" x14ac:dyDescent="0.2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/>
  </cols>
  <sheetData>
    <row r="1" spans="1:8" ht="18" x14ac:dyDescent="0.25">
      <c r="A1" s="116" t="s">
        <v>0</v>
      </c>
      <c r="B1" s="117"/>
      <c r="C1" s="200"/>
      <c r="D1" s="200"/>
      <c r="E1" s="200"/>
      <c r="F1" s="117"/>
      <c r="G1" s="210"/>
    </row>
    <row r="2" spans="1:8" ht="18" customHeight="1" x14ac:dyDescent="0.3">
      <c r="A2" s="119" t="s">
        <v>30</v>
      </c>
      <c r="B2" s="117"/>
      <c r="C2" s="200"/>
      <c r="D2" s="200"/>
      <c r="E2" s="200"/>
      <c r="F2" s="117"/>
      <c r="G2" s="210"/>
    </row>
    <row r="3" spans="1:8" ht="18" customHeight="1" x14ac:dyDescent="0.25">
      <c r="A3" s="283" t="s">
        <v>75</v>
      </c>
      <c r="B3" s="117"/>
      <c r="C3" s="200"/>
      <c r="D3" s="200"/>
      <c r="E3" s="200"/>
      <c r="F3" s="117"/>
      <c r="G3" s="210"/>
    </row>
    <row r="4" spans="1:8" x14ac:dyDescent="0.2">
      <c r="A4" s="284" t="s">
        <v>76</v>
      </c>
      <c r="B4" s="117"/>
      <c r="C4" s="200"/>
      <c r="D4" s="200"/>
      <c r="E4" s="200"/>
      <c r="F4" s="117"/>
      <c r="G4" s="210"/>
    </row>
    <row r="5" spans="1:8" ht="15.75" x14ac:dyDescent="0.25">
      <c r="A5" s="117"/>
      <c r="B5" s="117"/>
      <c r="C5" s="200"/>
      <c r="D5" s="200"/>
      <c r="E5" s="200"/>
      <c r="F5" s="117"/>
      <c r="G5" s="211" t="s">
        <v>1</v>
      </c>
    </row>
    <row r="6" spans="1:8" ht="16.5" thickTop="1" x14ac:dyDescent="0.25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 x14ac:dyDescent="0.3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 x14ac:dyDescent="0.25">
      <c r="A8" s="127"/>
      <c r="B8" s="128"/>
      <c r="C8" s="203"/>
      <c r="D8" s="203"/>
      <c r="E8" s="203"/>
      <c r="F8" s="129"/>
      <c r="G8" s="214"/>
      <c r="H8" s="123"/>
    </row>
    <row r="9" spans="1:8" ht="15.75" x14ac:dyDescent="0.25">
      <c r="A9" s="130" t="s">
        <v>36</v>
      </c>
      <c r="B9" s="131">
        <f>DATE(2021,7,1)</f>
        <v>44378</v>
      </c>
      <c r="C9" s="204">
        <v>13122165.060000001</v>
      </c>
      <c r="D9" s="204">
        <v>2401856.06</v>
      </c>
      <c r="E9" s="204">
        <v>1959351.91</v>
      </c>
      <c r="F9" s="132">
        <f>(+D9-E9)/E9</f>
        <v>0.22584210000336294</v>
      </c>
      <c r="G9" s="215">
        <f>D9/C9</f>
        <v>0.18303809234358159</v>
      </c>
      <c r="H9" s="123"/>
    </row>
    <row r="10" spans="1:8" ht="15.75" x14ac:dyDescent="0.25">
      <c r="A10" s="130"/>
      <c r="B10" s="131">
        <f>DATE(2021,8,1)</f>
        <v>44409</v>
      </c>
      <c r="C10" s="204">
        <v>12766088.5</v>
      </c>
      <c r="D10" s="204">
        <v>2504601.5</v>
      </c>
      <c r="E10" s="204">
        <v>1563543</v>
      </c>
      <c r="F10" s="132">
        <f>(+D10-E10)/E10</f>
        <v>0.60187567594879066</v>
      </c>
      <c r="G10" s="215">
        <f>D10/C10</f>
        <v>0.19619177009465349</v>
      </c>
      <c r="H10" s="123"/>
    </row>
    <row r="11" spans="1:8" ht="15.75" thickBot="1" x14ac:dyDescent="0.25">
      <c r="A11" s="133"/>
      <c r="B11" s="134"/>
      <c r="C11" s="204"/>
      <c r="D11" s="204"/>
      <c r="E11" s="204"/>
      <c r="F11" s="132"/>
      <c r="G11" s="215"/>
      <c r="H11" s="123"/>
    </row>
    <row r="12" spans="1:8" ht="17.25" thickTop="1" thickBot="1" x14ac:dyDescent="0.3">
      <c r="A12" s="135" t="s">
        <v>14</v>
      </c>
      <c r="B12" s="136"/>
      <c r="C12" s="201">
        <f>SUM(C9:C11)</f>
        <v>25888253.560000002</v>
      </c>
      <c r="D12" s="201">
        <f>SUM(D9:D11)</f>
        <v>4906457.5600000005</v>
      </c>
      <c r="E12" s="201">
        <f>SUM(E9:E11)</f>
        <v>3522894.91</v>
      </c>
      <c r="F12" s="137">
        <f>(+D12-E12)/E12</f>
        <v>0.39273457918731963</v>
      </c>
      <c r="G12" s="212">
        <f>D12/C12</f>
        <v>0.18952447095855779</v>
      </c>
      <c r="H12" s="123"/>
    </row>
    <row r="13" spans="1:8" ht="15.75" customHeight="1" thickTop="1" x14ac:dyDescent="0.25">
      <c r="A13" s="138"/>
      <c r="B13" s="139"/>
      <c r="C13" s="205"/>
      <c r="D13" s="205"/>
      <c r="E13" s="205"/>
      <c r="F13" s="140"/>
      <c r="G13" s="216"/>
      <c r="H13" s="123"/>
    </row>
    <row r="14" spans="1:8" ht="15.75" x14ac:dyDescent="0.25">
      <c r="A14" s="19" t="s">
        <v>15</v>
      </c>
      <c r="B14" s="131">
        <f>DATE(2021,7,1)</f>
        <v>44378</v>
      </c>
      <c r="C14" s="204">
        <v>2659715</v>
      </c>
      <c r="D14" s="204">
        <v>753311.5</v>
      </c>
      <c r="E14" s="204">
        <v>547209</v>
      </c>
      <c r="F14" s="132">
        <f>(+D14-E14)/E14</f>
        <v>0.37664311076754953</v>
      </c>
      <c r="G14" s="215">
        <f>D14/C14</f>
        <v>0.28323015811844504</v>
      </c>
      <c r="H14" s="123"/>
    </row>
    <row r="15" spans="1:8" ht="15.75" x14ac:dyDescent="0.25">
      <c r="A15" s="19"/>
      <c r="B15" s="131">
        <f>DATE(2021,8,1)</f>
        <v>44409</v>
      </c>
      <c r="C15" s="204">
        <v>2802417</v>
      </c>
      <c r="D15" s="204">
        <v>615974.5</v>
      </c>
      <c r="E15" s="204">
        <v>526001.5</v>
      </c>
      <c r="F15" s="132">
        <f>(+D15-E15)/E15</f>
        <v>0.17105084301090395</v>
      </c>
      <c r="G15" s="215">
        <f>D15/C15</f>
        <v>0.21980115735809483</v>
      </c>
      <c r="H15" s="123"/>
    </row>
    <row r="16" spans="1:8" ht="15.75" thickBot="1" x14ac:dyDescent="0.25">
      <c r="A16" s="133"/>
      <c r="B16" s="131"/>
      <c r="C16" s="204"/>
      <c r="D16" s="204"/>
      <c r="E16" s="204"/>
      <c r="F16" s="132"/>
      <c r="G16" s="215"/>
      <c r="H16" s="123"/>
    </row>
    <row r="17" spans="1:8" ht="17.25" thickTop="1" thickBot="1" x14ac:dyDescent="0.3">
      <c r="A17" s="135" t="s">
        <v>14</v>
      </c>
      <c r="B17" s="136"/>
      <c r="C17" s="201">
        <f>SUM(C14:C16)</f>
        <v>5462132</v>
      </c>
      <c r="D17" s="201">
        <f>SUM(D14:D16)</f>
        <v>1369286</v>
      </c>
      <c r="E17" s="201">
        <f>SUM(E14:E16)</f>
        <v>1073210.5</v>
      </c>
      <c r="F17" s="137">
        <f>(+D17-E17)/E17</f>
        <v>0.27587831091850107</v>
      </c>
      <c r="G17" s="212">
        <f>D17/C17</f>
        <v>0.25068709434338093</v>
      </c>
      <c r="H17" s="123"/>
    </row>
    <row r="18" spans="1:8" ht="15.75" customHeight="1" thickTop="1" x14ac:dyDescent="0.25">
      <c r="A18" s="255"/>
      <c r="B18" s="139"/>
      <c r="C18" s="205"/>
      <c r="D18" s="205"/>
      <c r="E18" s="205"/>
      <c r="F18" s="140"/>
      <c r="G18" s="219"/>
      <c r="H18" s="123"/>
    </row>
    <row r="19" spans="1:8" ht="15.75" x14ac:dyDescent="0.25">
      <c r="A19" s="19" t="s">
        <v>64</v>
      </c>
      <c r="B19" s="131">
        <f>DATE(2021,7,1)</f>
        <v>44378</v>
      </c>
      <c r="C19" s="204">
        <v>1594658</v>
      </c>
      <c r="D19" s="204">
        <v>420154</v>
      </c>
      <c r="E19" s="204">
        <v>362069</v>
      </c>
      <c r="F19" s="132">
        <f>(+D19-E19)/E19</f>
        <v>0.16042522281664545</v>
      </c>
      <c r="G19" s="215">
        <f>D19/C19</f>
        <v>0.26347593026216282</v>
      </c>
      <c r="H19" s="123"/>
    </row>
    <row r="20" spans="1:8" ht="15.75" x14ac:dyDescent="0.25">
      <c r="A20" s="19"/>
      <c r="B20" s="131">
        <f>DATE(2021,8,1)</f>
        <v>44409</v>
      </c>
      <c r="C20" s="204">
        <v>1384308</v>
      </c>
      <c r="D20" s="204">
        <v>283741.5</v>
      </c>
      <c r="E20" s="204">
        <v>264520</v>
      </c>
      <c r="F20" s="132">
        <f>(+D20-E20)/E20</f>
        <v>7.2665582942688642E-2</v>
      </c>
      <c r="G20" s="215">
        <f>D20/C20</f>
        <v>0.20496991998890421</v>
      </c>
      <c r="H20" s="123"/>
    </row>
    <row r="21" spans="1:8" ht="15.75" thickBot="1" x14ac:dyDescent="0.25">
      <c r="A21" s="133"/>
      <c r="B21" s="131"/>
      <c r="C21" s="204"/>
      <c r="D21" s="204"/>
      <c r="E21" s="204"/>
      <c r="F21" s="132"/>
      <c r="G21" s="215"/>
      <c r="H21" s="123"/>
    </row>
    <row r="22" spans="1:8" ht="17.25" thickTop="1" thickBot="1" x14ac:dyDescent="0.3">
      <c r="A22" s="141" t="s">
        <v>14</v>
      </c>
      <c r="B22" s="142"/>
      <c r="C22" s="206">
        <f>SUM(C19:C21)</f>
        <v>2978966</v>
      </c>
      <c r="D22" s="206">
        <f>SUM(D19:D21)</f>
        <v>703895.5</v>
      </c>
      <c r="E22" s="206">
        <f>SUM(E19:E21)</f>
        <v>626589</v>
      </c>
      <c r="F22" s="143">
        <f>(+D22-E22)/E22</f>
        <v>0.12337672700925167</v>
      </c>
      <c r="G22" s="217">
        <f>D22/C22</f>
        <v>0.23628853098692634</v>
      </c>
      <c r="H22" s="123"/>
    </row>
    <row r="23" spans="1:8" ht="15.75" thickTop="1" x14ac:dyDescent="0.2">
      <c r="A23" s="133"/>
      <c r="B23" s="134"/>
      <c r="C23" s="204"/>
      <c r="D23" s="204"/>
      <c r="E23" s="204"/>
      <c r="F23" s="132"/>
      <c r="G23" s="218"/>
      <c r="H23" s="123"/>
    </row>
    <row r="24" spans="1:8" ht="15.75" x14ac:dyDescent="0.25">
      <c r="A24" s="177" t="s">
        <v>59</v>
      </c>
      <c r="B24" s="131">
        <f>DATE(2021,7,1)</f>
        <v>44378</v>
      </c>
      <c r="C24" s="204">
        <v>13087616</v>
      </c>
      <c r="D24" s="204">
        <v>2503983</v>
      </c>
      <c r="E24" s="204">
        <v>1708169.06</v>
      </c>
      <c r="F24" s="132">
        <f>(+D24-E24)/E24</f>
        <v>0.4658871060455807</v>
      </c>
      <c r="G24" s="215">
        <f>D24/C24</f>
        <v>0.19132460793470712</v>
      </c>
      <c r="H24" s="123"/>
    </row>
    <row r="25" spans="1:8" ht="15.75" x14ac:dyDescent="0.25">
      <c r="A25" s="177"/>
      <c r="B25" s="131">
        <f>DATE(2021,8,1)</f>
        <v>44409</v>
      </c>
      <c r="C25" s="204">
        <v>12295504</v>
      </c>
      <c r="D25" s="204">
        <v>2387806</v>
      </c>
      <c r="E25" s="204">
        <v>2028826.5</v>
      </c>
      <c r="F25" s="132">
        <f>(+D25-E25)/E25</f>
        <v>0.1769394770819486</v>
      </c>
      <c r="G25" s="215">
        <f>D25/C25</f>
        <v>0.1942015553002138</v>
      </c>
      <c r="H25" s="123"/>
    </row>
    <row r="26" spans="1:8" ht="15.75" customHeight="1" thickBot="1" x14ac:dyDescent="0.25">
      <c r="A26" s="133"/>
      <c r="B26" s="134"/>
      <c r="C26" s="204"/>
      <c r="D26" s="204"/>
      <c r="E26" s="204"/>
      <c r="F26" s="132"/>
      <c r="G26" s="215"/>
      <c r="H26" s="123"/>
    </row>
    <row r="27" spans="1:8" ht="17.25" customHeight="1" thickTop="1" thickBot="1" x14ac:dyDescent="0.3">
      <c r="A27" s="141" t="s">
        <v>14</v>
      </c>
      <c r="B27" s="142"/>
      <c r="C27" s="206">
        <f>SUM(C24:C26)</f>
        <v>25383120</v>
      </c>
      <c r="D27" s="206">
        <f>SUM(D24:D26)</f>
        <v>4891789</v>
      </c>
      <c r="E27" s="206">
        <f>SUM(E24:E26)</f>
        <v>3736995.56</v>
      </c>
      <c r="F27" s="143">
        <f>(+D27-E27)/E27</f>
        <v>0.30901654054948891</v>
      </c>
      <c r="G27" s="217">
        <f>D27/C27</f>
        <v>0.19271819224744632</v>
      </c>
      <c r="H27" s="123"/>
    </row>
    <row r="28" spans="1:8" ht="15.75" customHeight="1" thickTop="1" x14ac:dyDescent="0.2">
      <c r="A28" s="133"/>
      <c r="B28" s="134"/>
      <c r="C28" s="204"/>
      <c r="D28" s="204"/>
      <c r="E28" s="204"/>
      <c r="F28" s="132"/>
      <c r="G28" s="218"/>
      <c r="H28" s="123"/>
    </row>
    <row r="29" spans="1:8" ht="15" customHeight="1" x14ac:dyDescent="0.25">
      <c r="A29" s="130" t="s">
        <v>62</v>
      </c>
      <c r="B29" s="131">
        <f>DATE(2021,7,1)</f>
        <v>44378</v>
      </c>
      <c r="C29" s="204">
        <v>14071705.5</v>
      </c>
      <c r="D29" s="204">
        <v>3475895.5</v>
      </c>
      <c r="E29" s="204">
        <v>2410424.5</v>
      </c>
      <c r="F29" s="132">
        <f>(+D29-E29)/E29</f>
        <v>0.44202629038992924</v>
      </c>
      <c r="G29" s="215">
        <f>D29/C29</f>
        <v>0.2470130930468947</v>
      </c>
      <c r="H29" s="123"/>
    </row>
    <row r="30" spans="1:8" ht="15" customHeight="1" x14ac:dyDescent="0.25">
      <c r="A30" s="130"/>
      <c r="B30" s="131">
        <f>DATE(2021,8,1)</f>
        <v>44409</v>
      </c>
      <c r="C30" s="204">
        <v>13718026</v>
      </c>
      <c r="D30" s="204">
        <v>1742952</v>
      </c>
      <c r="E30" s="204">
        <v>3089213</v>
      </c>
      <c r="F30" s="132">
        <f>(+D30-E30)/E30</f>
        <v>-0.43579416505109875</v>
      </c>
      <c r="G30" s="215">
        <f>D30/C30</f>
        <v>0.1270555982325737</v>
      </c>
      <c r="H30" s="123"/>
    </row>
    <row r="31" spans="1:8" ht="15.75" thickBot="1" x14ac:dyDescent="0.25">
      <c r="A31" s="133"/>
      <c r="B31" s="131"/>
      <c r="C31" s="204"/>
      <c r="D31" s="204"/>
      <c r="E31" s="204"/>
      <c r="F31" s="132"/>
      <c r="G31" s="215"/>
      <c r="H31" s="123"/>
    </row>
    <row r="32" spans="1:8" ht="17.25" customHeight="1" thickTop="1" thickBot="1" x14ac:dyDescent="0.3">
      <c r="A32" s="141" t="s">
        <v>14</v>
      </c>
      <c r="B32" s="142"/>
      <c r="C32" s="207">
        <f>SUM(C29:C31)</f>
        <v>27789731.5</v>
      </c>
      <c r="D32" s="261">
        <f>SUM(D29:D31)</f>
        <v>5218847.5</v>
      </c>
      <c r="E32" s="206">
        <f>SUM(E29:E31)</f>
        <v>5499637.5</v>
      </c>
      <c r="F32" s="268">
        <f>(+D32-E32)/E32</f>
        <v>-5.1056092333358338E-2</v>
      </c>
      <c r="G32" s="267">
        <f>D32/C32</f>
        <v>0.1877976942670353</v>
      </c>
      <c r="H32" s="123"/>
    </row>
    <row r="33" spans="1:8" ht="15.75" customHeight="1" thickTop="1" x14ac:dyDescent="0.25">
      <c r="A33" s="130"/>
      <c r="B33" s="134"/>
      <c r="C33" s="204"/>
      <c r="D33" s="204"/>
      <c r="E33" s="204"/>
      <c r="F33" s="132"/>
      <c r="G33" s="218"/>
      <c r="H33" s="123"/>
    </row>
    <row r="34" spans="1:8" ht="15.75" x14ac:dyDescent="0.25">
      <c r="A34" s="130" t="s">
        <v>66</v>
      </c>
      <c r="B34" s="131">
        <f>DATE(2021,7,1)</f>
        <v>44378</v>
      </c>
      <c r="C34" s="204">
        <v>3514368</v>
      </c>
      <c r="D34" s="204">
        <v>729030</v>
      </c>
      <c r="E34" s="204">
        <v>572750</v>
      </c>
      <c r="F34" s="132">
        <f>(+D34-E34)/E34</f>
        <v>0.27285901353120906</v>
      </c>
      <c r="G34" s="215">
        <f>D34/C34</f>
        <v>0.2074427037805944</v>
      </c>
      <c r="H34" s="123"/>
    </row>
    <row r="35" spans="1:8" ht="15.75" x14ac:dyDescent="0.25">
      <c r="A35" s="130"/>
      <c r="B35" s="131">
        <f>DATE(2021,8,1)</f>
        <v>44409</v>
      </c>
      <c r="C35" s="204">
        <v>2699849</v>
      </c>
      <c r="D35" s="204">
        <v>844084.5</v>
      </c>
      <c r="E35" s="204">
        <v>629353.5</v>
      </c>
      <c r="F35" s="132">
        <f>(+D35-E35)/E35</f>
        <v>0.34119298613577265</v>
      </c>
      <c r="G35" s="215">
        <f>D35/C35</f>
        <v>0.31264137364719286</v>
      </c>
      <c r="H35" s="123"/>
    </row>
    <row r="36" spans="1:8" ht="15.75" customHeight="1" thickBot="1" x14ac:dyDescent="0.3">
      <c r="A36" s="130"/>
      <c r="B36" s="131"/>
      <c r="C36" s="204"/>
      <c r="D36" s="204"/>
      <c r="E36" s="204"/>
      <c r="F36" s="132"/>
      <c r="G36" s="215"/>
      <c r="H36" s="123"/>
    </row>
    <row r="37" spans="1:8" ht="17.25" thickTop="1" thickBot="1" x14ac:dyDescent="0.3">
      <c r="A37" s="141" t="s">
        <v>14</v>
      </c>
      <c r="B37" s="142"/>
      <c r="C37" s="207">
        <f>SUM(C34:C36)</f>
        <v>6214217</v>
      </c>
      <c r="D37" s="261">
        <f>SUM(D34:D36)</f>
        <v>1573114.5</v>
      </c>
      <c r="E37" s="207">
        <f>SUM(E34:E36)</f>
        <v>1202103.5</v>
      </c>
      <c r="F37" s="268">
        <f>(+D37-E37)/E37</f>
        <v>0.3086348222095685</v>
      </c>
      <c r="G37" s="267">
        <f>D37/C37</f>
        <v>0.25314766124195537</v>
      </c>
      <c r="H37" s="123"/>
    </row>
    <row r="38" spans="1:8" ht="15.75" customHeight="1" thickTop="1" x14ac:dyDescent="0.25">
      <c r="A38" s="130"/>
      <c r="B38" s="134"/>
      <c r="C38" s="204"/>
      <c r="D38" s="204"/>
      <c r="E38" s="204"/>
      <c r="F38" s="132"/>
      <c r="G38" s="218"/>
      <c r="H38" s="123"/>
    </row>
    <row r="39" spans="1:8" ht="15.75" x14ac:dyDescent="0.25">
      <c r="A39" s="130" t="s">
        <v>73</v>
      </c>
      <c r="B39" s="131">
        <f>DATE(2021,7,1)</f>
        <v>44378</v>
      </c>
      <c r="C39" s="204">
        <v>6154700</v>
      </c>
      <c r="D39" s="204">
        <v>1067621</v>
      </c>
      <c r="E39" s="204">
        <v>248731.5</v>
      </c>
      <c r="F39" s="132">
        <f>(+D39-E39)/E39</f>
        <v>3.2922629421685632</v>
      </c>
      <c r="G39" s="215">
        <f>D39/C39</f>
        <v>0.17346434432222529</v>
      </c>
      <c r="H39" s="123"/>
    </row>
    <row r="40" spans="1:8" ht="15.75" x14ac:dyDescent="0.25">
      <c r="A40" s="130"/>
      <c r="B40" s="131">
        <f>DATE(2021,8,1)</f>
        <v>44409</v>
      </c>
      <c r="C40" s="204">
        <v>5891930</v>
      </c>
      <c r="D40" s="204">
        <v>666603.5</v>
      </c>
      <c r="E40" s="204">
        <v>268487</v>
      </c>
      <c r="F40" s="132">
        <f>(+D40-E40)/E40</f>
        <v>1.4828148104005037</v>
      </c>
      <c r="G40" s="215">
        <f>D40/C40</f>
        <v>0.11313839438010974</v>
      </c>
      <c r="H40" s="123"/>
    </row>
    <row r="41" spans="1:8" ht="15.75" customHeight="1" thickBot="1" x14ac:dyDescent="0.3">
      <c r="A41" s="130"/>
      <c r="B41" s="131"/>
      <c r="C41" s="204"/>
      <c r="D41" s="204"/>
      <c r="E41" s="204"/>
      <c r="F41" s="132"/>
      <c r="G41" s="215"/>
      <c r="H41" s="123"/>
    </row>
    <row r="42" spans="1:8" ht="17.25" thickTop="1" thickBot="1" x14ac:dyDescent="0.3">
      <c r="A42" s="141" t="s">
        <v>14</v>
      </c>
      <c r="B42" s="142"/>
      <c r="C42" s="207">
        <f>SUM(C39:C41)</f>
        <v>12046630</v>
      </c>
      <c r="D42" s="261">
        <f>SUM(D39:D41)</f>
        <v>1734224.5</v>
      </c>
      <c r="E42" s="207">
        <f>SUM(E39:E41)</f>
        <v>517218.5</v>
      </c>
      <c r="F42" s="269">
        <f>(+D42-E42)/E42</f>
        <v>2.3529823469191453</v>
      </c>
      <c r="G42" s="267">
        <f>D42/C42</f>
        <v>0.14395930646164115</v>
      </c>
      <c r="H42" s="123"/>
    </row>
    <row r="43" spans="1:8" ht="15.75" customHeight="1" thickTop="1" x14ac:dyDescent="0.25">
      <c r="A43" s="130"/>
      <c r="B43" s="139"/>
      <c r="C43" s="205"/>
      <c r="D43" s="205"/>
      <c r="E43" s="205"/>
      <c r="F43" s="140"/>
      <c r="G43" s="216"/>
      <c r="H43" s="123"/>
    </row>
    <row r="44" spans="1:8" ht="15.75" x14ac:dyDescent="0.25">
      <c r="A44" s="130" t="s">
        <v>52</v>
      </c>
      <c r="B44" s="131">
        <f>DATE(2021,7,1)</f>
        <v>44378</v>
      </c>
      <c r="C44" s="204">
        <v>6084758</v>
      </c>
      <c r="D44" s="204">
        <v>1287648</v>
      </c>
      <c r="E44" s="204">
        <v>671384</v>
      </c>
      <c r="F44" s="132">
        <f>(+D44-E44)/E44</f>
        <v>0.91790093299810538</v>
      </c>
      <c r="G44" s="215">
        <f>D44/C44</f>
        <v>0.21161860504559096</v>
      </c>
      <c r="H44" s="123"/>
    </row>
    <row r="45" spans="1:8" ht="15.75" x14ac:dyDescent="0.25">
      <c r="A45" s="130"/>
      <c r="B45" s="131">
        <f>DATE(2021,8,1)</f>
        <v>44409</v>
      </c>
      <c r="C45" s="204">
        <v>5252172</v>
      </c>
      <c r="D45" s="204">
        <v>1323019.5</v>
      </c>
      <c r="E45" s="204">
        <v>647438.06000000006</v>
      </c>
      <c r="F45" s="132">
        <f>(+D45-E45)/E45</f>
        <v>1.043468837775771</v>
      </c>
      <c r="G45" s="215">
        <f>D45/C45</f>
        <v>0.25189949986405624</v>
      </c>
      <c r="H45" s="123"/>
    </row>
    <row r="46" spans="1:8" ht="15.75" customHeight="1" thickBot="1" x14ac:dyDescent="0.3">
      <c r="A46" s="130"/>
      <c r="B46" s="131"/>
      <c r="C46" s="204"/>
      <c r="D46" s="204"/>
      <c r="E46" s="204"/>
      <c r="F46" s="132"/>
      <c r="G46" s="215"/>
      <c r="H46" s="123"/>
    </row>
    <row r="47" spans="1:8" ht="17.25" thickTop="1" thickBot="1" x14ac:dyDescent="0.3">
      <c r="A47" s="141" t="s">
        <v>14</v>
      </c>
      <c r="B47" s="142"/>
      <c r="C47" s="206">
        <f>SUM(C44:C46)</f>
        <v>11336930</v>
      </c>
      <c r="D47" s="206">
        <f>SUM(D44:D46)</f>
        <v>2610667.5</v>
      </c>
      <c r="E47" s="206">
        <f>SUM(E44:E46)</f>
        <v>1318822.06</v>
      </c>
      <c r="F47" s="143">
        <f>(+D47-E47)/E47</f>
        <v>0.97954491298090651</v>
      </c>
      <c r="G47" s="217">
        <f>D47/C47</f>
        <v>0.23027993469131414</v>
      </c>
      <c r="H47" s="123"/>
    </row>
    <row r="48" spans="1:8" ht="15.75" customHeight="1" thickTop="1" x14ac:dyDescent="0.25">
      <c r="A48" s="138"/>
      <c r="B48" s="139"/>
      <c r="C48" s="205"/>
      <c r="D48" s="205"/>
      <c r="E48" s="205"/>
      <c r="F48" s="140"/>
      <c r="G48" s="216"/>
      <c r="H48" s="123"/>
    </row>
    <row r="49" spans="1:8" ht="15.75" x14ac:dyDescent="0.25">
      <c r="A49" s="130" t="s">
        <v>16</v>
      </c>
      <c r="B49" s="131">
        <f>DATE(2021,7,1)</f>
        <v>44378</v>
      </c>
      <c r="C49" s="204">
        <v>10188404</v>
      </c>
      <c r="D49" s="204">
        <v>1960105</v>
      </c>
      <c r="E49" s="204">
        <v>1702806.5</v>
      </c>
      <c r="F49" s="132">
        <f>(+D49-E49)/E49</f>
        <v>0.15110260619747459</v>
      </c>
      <c r="G49" s="215">
        <f>D49/C49</f>
        <v>0.19238587319466327</v>
      </c>
      <c r="H49" s="123"/>
    </row>
    <row r="50" spans="1:8" ht="15.75" x14ac:dyDescent="0.25">
      <c r="A50" s="130"/>
      <c r="B50" s="131">
        <f>DATE(2021,8,1)</f>
        <v>44409</v>
      </c>
      <c r="C50" s="204">
        <v>8876957</v>
      </c>
      <c r="D50" s="204">
        <v>2276188.5</v>
      </c>
      <c r="E50" s="204">
        <v>1570570.5</v>
      </c>
      <c r="F50" s="132">
        <f>(+D50-E50)/E50</f>
        <v>0.44927496091388447</v>
      </c>
      <c r="G50" s="215">
        <f>D50/C50</f>
        <v>0.25641540226003123</v>
      </c>
      <c r="H50" s="123"/>
    </row>
    <row r="51" spans="1:8" ht="15.75" customHeight="1" thickBot="1" x14ac:dyDescent="0.3">
      <c r="A51" s="130"/>
      <c r="B51" s="131"/>
      <c r="C51" s="204"/>
      <c r="D51" s="204"/>
      <c r="E51" s="204"/>
      <c r="F51" s="132"/>
      <c r="G51" s="215"/>
      <c r="H51" s="123"/>
    </row>
    <row r="52" spans="1:8" ht="17.25" thickTop="1" thickBot="1" x14ac:dyDescent="0.3">
      <c r="A52" s="141" t="s">
        <v>14</v>
      </c>
      <c r="B52" s="142"/>
      <c r="C52" s="206">
        <f>SUM(C49:C51)</f>
        <v>19065361</v>
      </c>
      <c r="D52" s="206">
        <f>SUM(D49:D51)</f>
        <v>4236293.5</v>
      </c>
      <c r="E52" s="206">
        <f>SUM(E49:E51)</f>
        <v>3273377</v>
      </c>
      <c r="F52" s="143">
        <f>(+D52-E52)/E52</f>
        <v>0.29416608597176552</v>
      </c>
      <c r="G52" s="217">
        <f>D52/C52</f>
        <v>0.22219844145620951</v>
      </c>
      <c r="H52" s="123"/>
    </row>
    <row r="53" spans="1:8" ht="15.75" customHeight="1" thickTop="1" x14ac:dyDescent="0.25">
      <c r="A53" s="138"/>
      <c r="B53" s="139"/>
      <c r="C53" s="205"/>
      <c r="D53" s="205"/>
      <c r="E53" s="205"/>
      <c r="F53" s="140"/>
      <c r="G53" s="216"/>
      <c r="H53" s="123"/>
    </row>
    <row r="54" spans="1:8" ht="15.75" x14ac:dyDescent="0.25">
      <c r="A54" s="130" t="s">
        <v>54</v>
      </c>
      <c r="B54" s="131">
        <f>DATE(2021,7,1)</f>
        <v>44378</v>
      </c>
      <c r="C54" s="204">
        <v>12892239.5</v>
      </c>
      <c r="D54" s="204">
        <v>2503594.66</v>
      </c>
      <c r="E54" s="204">
        <v>1922906.33</v>
      </c>
      <c r="F54" s="132">
        <f>(+D54-E54)/E54</f>
        <v>0.30198472018135175</v>
      </c>
      <c r="G54" s="215">
        <f>D54/C54</f>
        <v>0.19419393038734661</v>
      </c>
      <c r="H54" s="123"/>
    </row>
    <row r="55" spans="1:8" ht="15.75" x14ac:dyDescent="0.25">
      <c r="A55" s="130"/>
      <c r="B55" s="131">
        <f>DATE(2021,8,1)</f>
        <v>44409</v>
      </c>
      <c r="C55" s="204">
        <v>12937175</v>
      </c>
      <c r="D55" s="204">
        <v>2041955.48</v>
      </c>
      <c r="E55" s="204">
        <v>2698345.86</v>
      </c>
      <c r="F55" s="132">
        <f>(+D55-E55)/E55</f>
        <v>-0.24325657793919714</v>
      </c>
      <c r="G55" s="215">
        <f>D55/C55</f>
        <v>0.15783627260201705</v>
      </c>
      <c r="H55" s="123"/>
    </row>
    <row r="56" spans="1:8" ht="15.75" thickBot="1" x14ac:dyDescent="0.25">
      <c r="A56" s="133"/>
      <c r="B56" s="131"/>
      <c r="C56" s="204"/>
      <c r="D56" s="204"/>
      <c r="E56" s="204"/>
      <c r="F56" s="132"/>
      <c r="G56" s="215"/>
      <c r="H56" s="123"/>
    </row>
    <row r="57" spans="1:8" ht="17.25" thickTop="1" thickBot="1" x14ac:dyDescent="0.3">
      <c r="A57" s="141" t="s">
        <v>14</v>
      </c>
      <c r="B57" s="142"/>
      <c r="C57" s="207">
        <f>SUM(C54:C56)</f>
        <v>25829414.5</v>
      </c>
      <c r="D57" s="207">
        <f>SUM(D54:D56)</f>
        <v>4545550.1400000006</v>
      </c>
      <c r="E57" s="207">
        <f>SUM(E54:E56)</f>
        <v>4621252.1899999995</v>
      </c>
      <c r="F57" s="143">
        <f>(+D57-E57)/E57</f>
        <v>-1.6381285177167294E-2</v>
      </c>
      <c r="G57" s="267">
        <f>D57/C57</f>
        <v>0.17598347573848414</v>
      </c>
      <c r="H57" s="123"/>
    </row>
    <row r="58" spans="1:8" ht="15.75" customHeight="1" thickTop="1" x14ac:dyDescent="0.25">
      <c r="A58" s="138"/>
      <c r="B58" s="139"/>
      <c r="C58" s="205"/>
      <c r="D58" s="205"/>
      <c r="E58" s="205"/>
      <c r="F58" s="140"/>
      <c r="G58" s="219"/>
      <c r="H58" s="123"/>
    </row>
    <row r="59" spans="1:8" ht="15.75" x14ac:dyDescent="0.25">
      <c r="A59" s="130" t="s">
        <v>55</v>
      </c>
      <c r="B59" s="131">
        <f>DATE(2021,7,1)</f>
        <v>44378</v>
      </c>
      <c r="C59" s="204">
        <v>371140</v>
      </c>
      <c r="D59" s="204">
        <v>95940.5</v>
      </c>
      <c r="E59" s="204">
        <v>188605.5</v>
      </c>
      <c r="F59" s="132">
        <f>(+D59-E59)/E59</f>
        <v>-0.49131653106616724</v>
      </c>
      <c r="G59" s="215">
        <f>D59/C59</f>
        <v>0.25850218246483808</v>
      </c>
      <c r="H59" s="123"/>
    </row>
    <row r="60" spans="1:8" ht="15.75" x14ac:dyDescent="0.25">
      <c r="A60" s="130"/>
      <c r="B60" s="131">
        <f>DATE(2021,8,1)</f>
        <v>44409</v>
      </c>
      <c r="C60" s="204">
        <v>365006</v>
      </c>
      <c r="D60" s="204">
        <v>109429</v>
      </c>
      <c r="E60" s="204">
        <v>111546</v>
      </c>
      <c r="F60" s="132">
        <f>(+D60-E60)/E60</f>
        <v>-1.8978717300485899E-2</v>
      </c>
      <c r="G60" s="215">
        <f>D60/C60</f>
        <v>0.29980055122381549</v>
      </c>
      <c r="H60" s="123"/>
    </row>
    <row r="61" spans="1:8" ht="15.75" thickBot="1" x14ac:dyDescent="0.25">
      <c r="A61" s="133"/>
      <c r="B61" s="134"/>
      <c r="C61" s="204"/>
      <c r="D61" s="204"/>
      <c r="E61" s="204"/>
      <c r="F61" s="132"/>
      <c r="G61" s="215"/>
      <c r="H61" s="123"/>
    </row>
    <row r="62" spans="1:8" ht="17.25" thickTop="1" thickBot="1" x14ac:dyDescent="0.3">
      <c r="A62" s="144" t="s">
        <v>14</v>
      </c>
      <c r="B62" s="145"/>
      <c r="C62" s="207">
        <f>SUM(C59:C61)</f>
        <v>736146</v>
      </c>
      <c r="D62" s="207">
        <f>SUM(D59:D61)</f>
        <v>205369.5</v>
      </c>
      <c r="E62" s="207">
        <f>SUM(E59:E61)</f>
        <v>300151.5</v>
      </c>
      <c r="F62" s="143">
        <f>(+D62-E62)/E62</f>
        <v>-0.31578053083192986</v>
      </c>
      <c r="G62" s="217">
        <f>D62/C62</f>
        <v>0.27897930573554702</v>
      </c>
      <c r="H62" s="123"/>
    </row>
    <row r="63" spans="1:8" ht="15.75" customHeight="1" thickTop="1" x14ac:dyDescent="0.25">
      <c r="A63" s="130"/>
      <c r="B63" s="134"/>
      <c r="C63" s="204"/>
      <c r="D63" s="204"/>
      <c r="E63" s="204"/>
      <c r="F63" s="132"/>
      <c r="G63" s="218"/>
      <c r="H63" s="123"/>
    </row>
    <row r="64" spans="1:8" ht="15.75" x14ac:dyDescent="0.25">
      <c r="A64" s="130" t="s">
        <v>37</v>
      </c>
      <c r="B64" s="131">
        <f>DATE(2021,7,1)</f>
        <v>44378</v>
      </c>
      <c r="C64" s="204">
        <v>21135748</v>
      </c>
      <c r="D64" s="204">
        <v>4828759.4400000004</v>
      </c>
      <c r="E64" s="204">
        <v>4944391.55</v>
      </c>
      <c r="F64" s="132">
        <f>(+D64-E64)/E64</f>
        <v>-2.33865196214081E-2</v>
      </c>
      <c r="G64" s="215">
        <f>D64/C64</f>
        <v>0.22846409031750381</v>
      </c>
      <c r="H64" s="123"/>
    </row>
    <row r="65" spans="1:8" ht="15.75" x14ac:dyDescent="0.25">
      <c r="A65" s="130"/>
      <c r="B65" s="131">
        <f>DATE(2021,8,1)</f>
        <v>44409</v>
      </c>
      <c r="C65" s="204">
        <v>21125231</v>
      </c>
      <c r="D65" s="204">
        <v>4617763.22</v>
      </c>
      <c r="E65" s="204">
        <v>3489579.3</v>
      </c>
      <c r="F65" s="132">
        <f>(+D65-E65)/E65</f>
        <v>0.32330084030473244</v>
      </c>
      <c r="G65" s="215">
        <f>D65/C65</f>
        <v>0.21858995151342958</v>
      </c>
      <c r="H65" s="123"/>
    </row>
    <row r="66" spans="1:8" ht="15.75" thickBot="1" x14ac:dyDescent="0.25">
      <c r="A66" s="133"/>
      <c r="B66" s="134"/>
      <c r="C66" s="204"/>
      <c r="D66" s="204"/>
      <c r="E66" s="204"/>
      <c r="F66" s="132"/>
      <c r="G66" s="215"/>
      <c r="H66" s="123"/>
    </row>
    <row r="67" spans="1:8" ht="17.25" thickTop="1" thickBot="1" x14ac:dyDescent="0.3">
      <c r="A67" s="141" t="s">
        <v>14</v>
      </c>
      <c r="B67" s="142"/>
      <c r="C67" s="206">
        <f>SUM(C64:C66)</f>
        <v>42260979</v>
      </c>
      <c r="D67" s="207">
        <f>SUM(D64:D66)</f>
        <v>9446522.6600000001</v>
      </c>
      <c r="E67" s="206">
        <f>SUM(E64:E66)</f>
        <v>8433970.8499999996</v>
      </c>
      <c r="F67" s="143">
        <f>(+D67-E67)/E67</f>
        <v>0.12005635637215897</v>
      </c>
      <c r="G67" s="217">
        <f>D67/C67</f>
        <v>0.22352824954670358</v>
      </c>
      <c r="H67" s="123"/>
    </row>
    <row r="68" spans="1:8" ht="15.75" customHeight="1" thickTop="1" x14ac:dyDescent="0.25">
      <c r="A68" s="130"/>
      <c r="B68" s="134"/>
      <c r="C68" s="204"/>
      <c r="D68" s="204"/>
      <c r="E68" s="204"/>
      <c r="F68" s="132"/>
      <c r="G68" s="218"/>
      <c r="H68" s="123"/>
    </row>
    <row r="69" spans="1:8" ht="15.75" x14ac:dyDescent="0.25">
      <c r="A69" s="130" t="s">
        <v>58</v>
      </c>
      <c r="B69" s="131">
        <f>DATE(2021,7,1)</f>
        <v>44378</v>
      </c>
      <c r="C69" s="204">
        <v>576838</v>
      </c>
      <c r="D69" s="204">
        <v>127439.5</v>
      </c>
      <c r="E69" s="204">
        <v>155770.5</v>
      </c>
      <c r="F69" s="132">
        <f>(+D69-E69)/E69</f>
        <v>-0.18187654273434314</v>
      </c>
      <c r="G69" s="215">
        <f>D69/C69</f>
        <v>0.22092771280671522</v>
      </c>
      <c r="H69" s="123"/>
    </row>
    <row r="70" spans="1:8" ht="15.75" x14ac:dyDescent="0.25">
      <c r="A70" s="130"/>
      <c r="B70" s="131">
        <f>DATE(2021,8,1)</f>
        <v>44409</v>
      </c>
      <c r="C70" s="204">
        <v>465052</v>
      </c>
      <c r="D70" s="204">
        <v>132624</v>
      </c>
      <c r="E70" s="204">
        <v>187855</v>
      </c>
      <c r="F70" s="132">
        <f>(+D70-E70)/E70</f>
        <v>-0.29400867690505977</v>
      </c>
      <c r="G70" s="215">
        <f>D70/C70</f>
        <v>0.2851810120158606</v>
      </c>
      <c r="H70" s="123"/>
    </row>
    <row r="71" spans="1:8" ht="15.75" thickBot="1" x14ac:dyDescent="0.25">
      <c r="A71" s="133"/>
      <c r="B71" s="134"/>
      <c r="C71" s="204"/>
      <c r="D71" s="204"/>
      <c r="E71" s="204"/>
      <c r="F71" s="132"/>
      <c r="G71" s="215"/>
      <c r="H71" s="123"/>
    </row>
    <row r="72" spans="1:8" ht="17.25" thickTop="1" thickBot="1" x14ac:dyDescent="0.3">
      <c r="A72" s="135" t="s">
        <v>14</v>
      </c>
      <c r="B72" s="136"/>
      <c r="C72" s="201">
        <f>SUM(C69:C71)</f>
        <v>1041890</v>
      </c>
      <c r="D72" s="207">
        <f>SUM(D69:D71)</f>
        <v>260063.5</v>
      </c>
      <c r="E72" s="207">
        <f>SUM(E69:E71)</f>
        <v>343625.5</v>
      </c>
      <c r="F72" s="143">
        <f>(+D72-E72)/E72</f>
        <v>-0.24317752902505779</v>
      </c>
      <c r="G72" s="217">
        <f>D72/C72</f>
        <v>0.24960744416397124</v>
      </c>
      <c r="H72" s="123"/>
    </row>
    <row r="73" spans="1:8" ht="16.5" thickTop="1" thickBot="1" x14ac:dyDescent="0.25">
      <c r="A73" s="146"/>
      <c r="B73" s="139"/>
      <c r="C73" s="205"/>
      <c r="D73" s="205"/>
      <c r="E73" s="205"/>
      <c r="F73" s="140"/>
      <c r="G73" s="216"/>
      <c r="H73" s="123"/>
    </row>
    <row r="74" spans="1:8" ht="17.25" thickTop="1" thickBot="1" x14ac:dyDescent="0.3">
      <c r="A74" s="147" t="s">
        <v>38</v>
      </c>
      <c r="B74" s="121"/>
      <c r="C74" s="201">
        <f>C72+C67+C52+C42+C32+C22+C12+C27+C62+C17+C47+C57+C37</f>
        <v>206033770.56</v>
      </c>
      <c r="D74" s="201">
        <f>D72+D67+D52+D42+D32+D22+D12+D27+D62+D17+D47+D57+D37</f>
        <v>41702081.359999999</v>
      </c>
      <c r="E74" s="201">
        <f>E72+E67+E52+E42+E32+E22+E12+E27+E62+E17+E47+E57+E37</f>
        <v>34469848.57</v>
      </c>
      <c r="F74" s="137">
        <f>(+D74-E74)/E74</f>
        <v>0.20981330322101843</v>
      </c>
      <c r="G74" s="212">
        <f>D74/C74</f>
        <v>0.20240410708717169</v>
      </c>
      <c r="H74" s="123"/>
    </row>
    <row r="75" spans="1:8" ht="17.25" thickTop="1" thickBot="1" x14ac:dyDescent="0.3">
      <c r="A75" s="147"/>
      <c r="B75" s="121"/>
      <c r="C75" s="201"/>
      <c r="D75" s="201"/>
      <c r="E75" s="201"/>
      <c r="F75" s="137"/>
      <c r="G75" s="212"/>
      <c r="H75" s="123"/>
    </row>
    <row r="76" spans="1:8" ht="17.25" thickTop="1" thickBot="1" x14ac:dyDescent="0.3">
      <c r="A76" s="265" t="s">
        <v>39</v>
      </c>
      <c r="B76" s="266"/>
      <c r="C76" s="206">
        <f>SUM(C10+C15+C20+C25+C30+C35+C40+C45+C50+C55+C60+C65+C70)</f>
        <v>100579715.5</v>
      </c>
      <c r="D76" s="206">
        <f>SUM(D10+D15+D20+D25+D30+D35+D40+D45+D50+D55+D60+D65+D70)</f>
        <v>19546743.199999999</v>
      </c>
      <c r="E76" s="206">
        <f>SUM(E10+E15+E20+E25+E30+E35+E40+E45+E50+E55+E60+E65+E70)</f>
        <v>17075279.219999999</v>
      </c>
      <c r="F76" s="268">
        <f>(+D76-E76)/E76</f>
        <v>0.14473930107715102</v>
      </c>
      <c r="G76" s="217">
        <f>D76/C76</f>
        <v>0.19434080821196992</v>
      </c>
      <c r="H76" s="123"/>
    </row>
    <row r="77" spans="1:8" ht="16.5" thickTop="1" x14ac:dyDescent="0.25">
      <c r="A77" s="256"/>
      <c r="B77" s="258"/>
      <c r="C77" s="259"/>
      <c r="D77" s="259"/>
      <c r="E77" s="259"/>
      <c r="F77" s="260"/>
      <c r="G77" s="257"/>
      <c r="H77" s="257"/>
    </row>
    <row r="78" spans="1:8" ht="18.75" x14ac:dyDescent="0.3">
      <c r="A78" s="263" t="s">
        <v>40</v>
      </c>
      <c r="B78" s="117"/>
      <c r="C78" s="208"/>
      <c r="D78" s="208"/>
      <c r="E78" s="208"/>
      <c r="F78" s="148"/>
      <c r="G78" s="220"/>
    </row>
    <row r="79" spans="1:8" ht="15.75" x14ac:dyDescent="0.25">
      <c r="A79" s="72"/>
    </row>
  </sheetData>
  <phoneticPr fontId="0" type="noConversion"/>
  <printOptions horizontalCentered="1"/>
  <pageMargins left="0.45" right="0.25" top="0.31944444444444398" bottom="0.2" header="0.5" footer="0.5"/>
  <pageSetup scale="65" orientation="landscape" r:id="rId1"/>
  <headerFooter alignWithMargins="0"/>
  <rowBreaks count="1" manualBreakCount="1">
    <brk id="52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workbookViewId="0">
      <selection activeCell="A6" sqref="A6"/>
    </sheetView>
  </sheetViews>
  <sheetFormatPr defaultRowHeight="15" x14ac:dyDescent="0.2"/>
  <cols>
    <col min="1" max="1" width="27.6640625" customWidth="1"/>
    <col min="2" max="2" width="9.6640625" customWidth="1"/>
    <col min="3" max="3" width="18.33203125" customWidth="1"/>
    <col min="4" max="4" width="15.77734375" customWidth="1"/>
    <col min="5" max="5" width="15.6640625" customWidth="1"/>
    <col min="6" max="6" width="8.6640625" customWidth="1"/>
    <col min="7" max="7" width="9.6640625" customWidth="1"/>
    <col min="8" max="8" width="10.6640625" customWidth="1"/>
  </cols>
  <sheetData>
    <row r="1" spans="1:8" ht="18" x14ac:dyDescent="0.25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 x14ac:dyDescent="0.3">
      <c r="A2" s="153" t="s">
        <v>61</v>
      </c>
      <c r="B2" s="150"/>
      <c r="C2" s="222"/>
      <c r="D2" s="222"/>
      <c r="E2" s="222"/>
      <c r="F2" s="150"/>
      <c r="G2" s="234"/>
      <c r="H2" s="234"/>
    </row>
    <row r="3" spans="1:8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x14ac:dyDescent="0.2">
      <c r="A5" s="286" t="s">
        <v>71</v>
      </c>
      <c r="B5" s="150"/>
      <c r="C5" s="222"/>
      <c r="D5" s="222"/>
      <c r="E5" s="222"/>
      <c r="F5" s="150"/>
      <c r="G5" s="234"/>
      <c r="H5" s="234"/>
    </row>
    <row r="6" spans="1:8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 x14ac:dyDescent="0.25">
      <c r="A7" s="154"/>
      <c r="B7" s="155" t="s">
        <v>2</v>
      </c>
      <c r="C7" s="223" t="s">
        <v>67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 x14ac:dyDescent="0.3">
      <c r="A8" s="158" t="s">
        <v>5</v>
      </c>
      <c r="B8" s="159" t="s">
        <v>6</v>
      </c>
      <c r="C8" s="224" t="s">
        <v>45</v>
      </c>
      <c r="D8" s="224" t="s">
        <v>68</v>
      </c>
      <c r="E8" s="224" t="s">
        <v>68</v>
      </c>
      <c r="F8" s="160" t="s">
        <v>8</v>
      </c>
      <c r="G8" s="238" t="s">
        <v>35</v>
      </c>
      <c r="H8" s="254" t="s">
        <v>47</v>
      </c>
    </row>
    <row r="9" spans="1:8" ht="16.5" thickTop="1" x14ac:dyDescent="0.25">
      <c r="A9" s="161"/>
      <c r="B9" s="162"/>
      <c r="C9" s="225"/>
      <c r="D9" s="225"/>
      <c r="E9" s="225"/>
      <c r="F9" s="163"/>
      <c r="G9" s="239"/>
      <c r="H9" s="240"/>
    </row>
    <row r="10" spans="1:8" ht="15.75" x14ac:dyDescent="0.25">
      <c r="A10" s="164" t="s">
        <v>36</v>
      </c>
      <c r="B10" s="165">
        <f>DATE(21,7,1)</f>
        <v>7853</v>
      </c>
      <c r="C10" s="226">
        <v>0</v>
      </c>
      <c r="D10" s="226">
        <v>0</v>
      </c>
      <c r="E10" s="226">
        <v>0</v>
      </c>
      <c r="F10" s="166">
        <v>0</v>
      </c>
      <c r="G10" s="241">
        <v>0</v>
      </c>
      <c r="H10" s="242">
        <v>0</v>
      </c>
    </row>
    <row r="11" spans="1:8" ht="15.75" x14ac:dyDescent="0.25">
      <c r="A11" s="164"/>
      <c r="B11" s="165">
        <f>DATE(21,8,1)</f>
        <v>7884</v>
      </c>
      <c r="C11" s="226">
        <v>0</v>
      </c>
      <c r="D11" s="226">
        <v>0</v>
      </c>
      <c r="E11" s="226">
        <v>0</v>
      </c>
      <c r="F11" s="166">
        <v>0</v>
      </c>
      <c r="G11" s="241">
        <v>0</v>
      </c>
      <c r="H11" s="242">
        <v>0</v>
      </c>
    </row>
    <row r="12" spans="1:8" ht="15.75" thickBot="1" x14ac:dyDescent="0.25">
      <c r="A12" s="167"/>
      <c r="B12" s="168"/>
      <c r="C12" s="226"/>
      <c r="D12" s="226"/>
      <c r="E12" s="226"/>
      <c r="F12" s="166"/>
      <c r="G12" s="241"/>
      <c r="H12" s="242"/>
    </row>
    <row r="13" spans="1:8" ht="17.25" thickTop="1" thickBot="1" x14ac:dyDescent="0.3">
      <c r="A13" s="169" t="s">
        <v>14</v>
      </c>
      <c r="B13" s="155"/>
      <c r="C13" s="223">
        <f>SUM(C10:C12)</f>
        <v>0</v>
      </c>
      <c r="D13" s="223">
        <f>SUM(D10:D12)</f>
        <v>0</v>
      </c>
      <c r="E13" s="223">
        <f>SUM(E10:E12)</f>
        <v>0</v>
      </c>
      <c r="F13" s="170">
        <v>0</v>
      </c>
      <c r="G13" s="236">
        <v>0</v>
      </c>
      <c r="H13" s="237">
        <v>0</v>
      </c>
    </row>
    <row r="14" spans="1:8" ht="15.75" thickTop="1" x14ac:dyDescent="0.2">
      <c r="A14" s="171"/>
      <c r="B14" s="172"/>
      <c r="C14" s="227"/>
      <c r="D14" s="227"/>
      <c r="E14" s="227"/>
      <c r="F14" s="173"/>
      <c r="G14" s="243"/>
      <c r="H14" s="244"/>
    </row>
    <row r="15" spans="1:8" ht="15.75" x14ac:dyDescent="0.25">
      <c r="A15" s="19" t="s">
        <v>48</v>
      </c>
      <c r="B15" s="165">
        <f>DATE(21,7,1)</f>
        <v>7853</v>
      </c>
      <c r="C15" s="226">
        <v>0</v>
      </c>
      <c r="D15" s="226">
        <v>0</v>
      </c>
      <c r="E15" s="226">
        <v>0</v>
      </c>
      <c r="F15" s="166">
        <v>0</v>
      </c>
      <c r="G15" s="241">
        <v>0</v>
      </c>
      <c r="H15" s="242">
        <v>0</v>
      </c>
    </row>
    <row r="16" spans="1:8" ht="15.75" x14ac:dyDescent="0.25">
      <c r="A16" s="19"/>
      <c r="B16" s="165">
        <f>DATE(21,8,1)</f>
        <v>7884</v>
      </c>
      <c r="C16" s="226">
        <v>0</v>
      </c>
      <c r="D16" s="226">
        <v>0</v>
      </c>
      <c r="E16" s="226">
        <v>0</v>
      </c>
      <c r="F16" s="166">
        <v>0</v>
      </c>
      <c r="G16" s="241">
        <v>0</v>
      </c>
      <c r="H16" s="242">
        <v>0</v>
      </c>
    </row>
    <row r="17" spans="1:8" ht="15.75" thickBot="1" x14ac:dyDescent="0.25">
      <c r="A17" s="167"/>
      <c r="B17" s="165"/>
      <c r="C17" s="226"/>
      <c r="D17" s="226"/>
      <c r="E17" s="226"/>
      <c r="F17" s="166"/>
      <c r="G17" s="241"/>
      <c r="H17" s="242"/>
    </row>
    <row r="18" spans="1:8" ht="17.25" thickTop="1" thickBot="1" x14ac:dyDescent="0.3">
      <c r="A18" s="169" t="s">
        <v>14</v>
      </c>
      <c r="B18" s="155"/>
      <c r="C18" s="223">
        <f>SUM(C15:C17)</f>
        <v>0</v>
      </c>
      <c r="D18" s="223">
        <f>SUM(D15:D17)</f>
        <v>0</v>
      </c>
      <c r="E18" s="223">
        <f>SUM(E15:E17)</f>
        <v>0</v>
      </c>
      <c r="F18" s="170">
        <v>0</v>
      </c>
      <c r="G18" s="236">
        <v>0</v>
      </c>
      <c r="H18" s="237">
        <v>0</v>
      </c>
    </row>
    <row r="19" spans="1:8" ht="15.75" thickTop="1" x14ac:dyDescent="0.2">
      <c r="A19" s="171"/>
      <c r="B19" s="172"/>
      <c r="C19" s="227"/>
      <c r="D19" s="227"/>
      <c r="E19" s="227"/>
      <c r="F19" s="173"/>
      <c r="G19" s="243"/>
      <c r="H19" s="244"/>
    </row>
    <row r="20" spans="1:8" ht="15.75" x14ac:dyDescent="0.25">
      <c r="A20" s="19" t="s">
        <v>64</v>
      </c>
      <c r="B20" s="165">
        <f>DATE(21,7,1)</f>
        <v>7853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x14ac:dyDescent="0.25">
      <c r="A21" s="19"/>
      <c r="B21" s="165">
        <f>DATE(21,8,1)</f>
        <v>7884</v>
      </c>
      <c r="C21" s="226">
        <v>0</v>
      </c>
      <c r="D21" s="226">
        <v>0</v>
      </c>
      <c r="E21" s="226">
        <v>0</v>
      </c>
      <c r="F21" s="166">
        <v>0</v>
      </c>
      <c r="G21" s="241">
        <v>0</v>
      </c>
      <c r="H21" s="242">
        <v>0</v>
      </c>
    </row>
    <row r="22" spans="1:8" ht="15.75" thickBot="1" x14ac:dyDescent="0.25">
      <c r="A22" s="167"/>
      <c r="B22" s="165"/>
      <c r="C22" s="226"/>
      <c r="D22" s="226"/>
      <c r="E22" s="226"/>
      <c r="F22" s="166"/>
      <c r="G22" s="241"/>
      <c r="H22" s="242"/>
    </row>
    <row r="23" spans="1:8" ht="17.25" thickTop="1" thickBot="1" x14ac:dyDescent="0.3">
      <c r="A23" s="174" t="s">
        <v>14</v>
      </c>
      <c r="B23" s="175"/>
      <c r="C23" s="228">
        <f>SUM(C20:C22)</f>
        <v>0</v>
      </c>
      <c r="D23" s="228">
        <f>SUM(D20:D22)</f>
        <v>0</v>
      </c>
      <c r="E23" s="228">
        <f>SUM(E20:E22)</f>
        <v>0</v>
      </c>
      <c r="F23" s="176">
        <v>0</v>
      </c>
      <c r="G23" s="245">
        <v>0</v>
      </c>
      <c r="H23" s="246">
        <v>0</v>
      </c>
    </row>
    <row r="24" spans="1:8" ht="15.75" thickTop="1" x14ac:dyDescent="0.2">
      <c r="A24" s="167"/>
      <c r="B24" s="168"/>
      <c r="C24" s="226"/>
      <c r="D24" s="226"/>
      <c r="E24" s="226"/>
      <c r="F24" s="166"/>
      <c r="G24" s="241"/>
      <c r="H24" s="242"/>
    </row>
    <row r="25" spans="1:8" ht="15.75" x14ac:dyDescent="0.25">
      <c r="A25" s="177" t="s">
        <v>59</v>
      </c>
      <c r="B25" s="165">
        <f>DATE(21,7,1)</f>
        <v>7853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 x14ac:dyDescent="0.25">
      <c r="A26" s="177"/>
      <c r="B26" s="165">
        <f>DATE(21,8,1)</f>
        <v>7884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 thickBot="1" x14ac:dyDescent="0.25">
      <c r="A27" s="167"/>
      <c r="B27" s="168"/>
      <c r="C27" s="226"/>
      <c r="D27" s="226"/>
      <c r="E27" s="226"/>
      <c r="F27" s="166"/>
      <c r="G27" s="241"/>
      <c r="H27" s="242"/>
    </row>
    <row r="28" spans="1:8" ht="17.25" thickTop="1" thickBot="1" x14ac:dyDescent="0.3">
      <c r="A28" s="174" t="s">
        <v>14</v>
      </c>
      <c r="B28" s="178"/>
      <c r="C28" s="228">
        <f>SUM(C25:C27)</f>
        <v>0</v>
      </c>
      <c r="D28" s="228">
        <f>SUM(D25:D27)</f>
        <v>0</v>
      </c>
      <c r="E28" s="228">
        <f>SUM(E25:E27)</f>
        <v>0</v>
      </c>
      <c r="F28" s="176">
        <v>0</v>
      </c>
      <c r="G28" s="245">
        <v>0</v>
      </c>
      <c r="H28" s="246">
        <v>0</v>
      </c>
    </row>
    <row r="29" spans="1:8" ht="15.75" thickTop="1" x14ac:dyDescent="0.2">
      <c r="A29" s="167"/>
      <c r="B29" s="168"/>
      <c r="C29" s="226"/>
      <c r="D29" s="226"/>
      <c r="E29" s="226"/>
      <c r="F29" s="166"/>
      <c r="G29" s="241"/>
      <c r="H29" s="242"/>
    </row>
    <row r="30" spans="1:8" ht="15.75" x14ac:dyDescent="0.25">
      <c r="A30" s="164" t="s">
        <v>62</v>
      </c>
      <c r="B30" s="165">
        <f>DATE(21,7,1)</f>
        <v>7853</v>
      </c>
      <c r="C30" s="226">
        <v>0</v>
      </c>
      <c r="D30" s="226">
        <v>0</v>
      </c>
      <c r="E30" s="226">
        <v>0</v>
      </c>
      <c r="F30" s="166">
        <v>0</v>
      </c>
      <c r="G30" s="241">
        <v>0</v>
      </c>
      <c r="H30" s="242">
        <v>0</v>
      </c>
    </row>
    <row r="31" spans="1:8" ht="15.75" x14ac:dyDescent="0.25">
      <c r="A31" s="164"/>
      <c r="B31" s="165">
        <f>DATE(21,8,1)</f>
        <v>7884</v>
      </c>
      <c r="C31" s="226">
        <v>0</v>
      </c>
      <c r="D31" s="226">
        <v>0</v>
      </c>
      <c r="E31" s="226">
        <v>0</v>
      </c>
      <c r="F31" s="166">
        <v>0</v>
      </c>
      <c r="G31" s="241">
        <v>0</v>
      </c>
      <c r="H31" s="242">
        <v>0</v>
      </c>
    </row>
    <row r="32" spans="1:8" ht="15.75" thickBot="1" x14ac:dyDescent="0.25">
      <c r="A32" s="167"/>
      <c r="B32" s="165"/>
      <c r="C32" s="226"/>
      <c r="D32" s="226"/>
      <c r="E32" s="226"/>
      <c r="F32" s="166"/>
      <c r="G32" s="241"/>
      <c r="H32" s="242"/>
    </row>
    <row r="33" spans="1:8" ht="17.25" thickTop="1" thickBot="1" x14ac:dyDescent="0.3">
      <c r="A33" s="174" t="s">
        <v>14</v>
      </c>
      <c r="B33" s="175"/>
      <c r="C33" s="228">
        <f>SUM(C30:C32)</f>
        <v>0</v>
      </c>
      <c r="D33" s="230">
        <f>SUM(D30:D32)</f>
        <v>0</v>
      </c>
      <c r="E33" s="271">
        <f>SUM(E30:E32)</f>
        <v>0</v>
      </c>
      <c r="F33" s="176">
        <v>0</v>
      </c>
      <c r="G33" s="245">
        <v>0</v>
      </c>
      <c r="H33" s="246">
        <v>0</v>
      </c>
    </row>
    <row r="34" spans="1:8" ht="15.75" thickTop="1" x14ac:dyDescent="0.2">
      <c r="A34" s="167"/>
      <c r="B34" s="168"/>
      <c r="C34" s="226"/>
      <c r="D34" s="226"/>
      <c r="E34" s="226"/>
      <c r="F34" s="166"/>
      <c r="G34" s="241"/>
      <c r="H34" s="242"/>
    </row>
    <row r="35" spans="1:8" ht="15.75" x14ac:dyDescent="0.25">
      <c r="A35" s="164" t="s">
        <v>66</v>
      </c>
      <c r="B35" s="165">
        <f>DATE(21,7,1)</f>
        <v>7853</v>
      </c>
      <c r="C35" s="226">
        <v>0</v>
      </c>
      <c r="D35" s="226">
        <v>0</v>
      </c>
      <c r="E35" s="226">
        <v>0</v>
      </c>
      <c r="F35" s="166">
        <v>0</v>
      </c>
      <c r="G35" s="241">
        <v>0</v>
      </c>
      <c r="H35" s="242">
        <v>0</v>
      </c>
    </row>
    <row r="36" spans="1:8" ht="15.75" x14ac:dyDescent="0.25">
      <c r="A36" s="164"/>
      <c r="B36" s="165">
        <f>DATE(21,8,1)</f>
        <v>7884</v>
      </c>
      <c r="C36" s="226">
        <v>0</v>
      </c>
      <c r="D36" s="226">
        <v>0</v>
      </c>
      <c r="E36" s="226">
        <v>0</v>
      </c>
      <c r="F36" s="166">
        <v>0</v>
      </c>
      <c r="G36" s="241">
        <v>0</v>
      </c>
      <c r="H36" s="242">
        <v>0</v>
      </c>
    </row>
    <row r="37" spans="1:8" ht="15.75" thickBot="1" x14ac:dyDescent="0.25">
      <c r="A37" s="167"/>
      <c r="B37" s="165"/>
      <c r="C37" s="226"/>
      <c r="D37" s="226"/>
      <c r="E37" s="226"/>
      <c r="F37" s="166"/>
      <c r="G37" s="241"/>
      <c r="H37" s="242"/>
    </row>
    <row r="38" spans="1:8" ht="17.25" thickTop="1" thickBot="1" x14ac:dyDescent="0.3">
      <c r="A38" s="174" t="s">
        <v>14</v>
      </c>
      <c r="B38" s="175"/>
      <c r="C38" s="228">
        <f>SUM(C35:C37)</f>
        <v>0</v>
      </c>
      <c r="D38" s="230">
        <f>SUM(D35:D37)</f>
        <v>0</v>
      </c>
      <c r="E38" s="271">
        <f>SUM(E35:E37)</f>
        <v>0</v>
      </c>
      <c r="F38" s="176">
        <v>0</v>
      </c>
      <c r="G38" s="245">
        <v>0</v>
      </c>
      <c r="H38" s="246">
        <v>0</v>
      </c>
    </row>
    <row r="39" spans="1:8" ht="15.75" thickTop="1" x14ac:dyDescent="0.2">
      <c r="A39" s="167"/>
      <c r="B39" s="168"/>
      <c r="C39" s="226"/>
      <c r="D39" s="226"/>
      <c r="E39" s="226"/>
      <c r="F39" s="166"/>
      <c r="G39" s="241"/>
      <c r="H39" s="242"/>
    </row>
    <row r="40" spans="1:8" ht="15.75" x14ac:dyDescent="0.25">
      <c r="A40" s="164" t="s">
        <v>73</v>
      </c>
      <c r="B40" s="165">
        <f>DATE(21,7,1)</f>
        <v>7853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 x14ac:dyDescent="0.25">
      <c r="A41" s="164"/>
      <c r="B41" s="165">
        <f>DATE(21,8,1)</f>
        <v>7884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 x14ac:dyDescent="0.25">
      <c r="A42" s="167"/>
      <c r="B42" s="165"/>
      <c r="C42" s="226"/>
      <c r="D42" s="226"/>
      <c r="E42" s="226"/>
      <c r="F42" s="166"/>
      <c r="G42" s="241"/>
      <c r="H42" s="242"/>
    </row>
    <row r="43" spans="1:8" ht="17.25" thickTop="1" thickBot="1" x14ac:dyDescent="0.3">
      <c r="A43" s="174" t="s">
        <v>14</v>
      </c>
      <c r="B43" s="175"/>
      <c r="C43" s="228">
        <f>SUM(C40:C42)</f>
        <v>0</v>
      </c>
      <c r="D43" s="230">
        <f>SUM(D40:D42)</f>
        <v>0</v>
      </c>
      <c r="E43" s="271">
        <f>SUM(E40:E42)</f>
        <v>0</v>
      </c>
      <c r="F43" s="176">
        <v>0</v>
      </c>
      <c r="G43" s="245">
        <v>0</v>
      </c>
      <c r="H43" s="246">
        <v>0</v>
      </c>
    </row>
    <row r="44" spans="1:8" ht="15.75" thickTop="1" x14ac:dyDescent="0.2">
      <c r="A44" s="167"/>
      <c r="B44" s="168"/>
      <c r="C44" s="226"/>
      <c r="D44" s="226"/>
      <c r="E44" s="226"/>
      <c r="F44" s="166"/>
      <c r="G44" s="241"/>
      <c r="H44" s="242"/>
    </row>
    <row r="45" spans="1:8" ht="15.75" x14ac:dyDescent="0.25">
      <c r="A45" s="164" t="s">
        <v>60</v>
      </c>
      <c r="B45" s="165">
        <f>DATE(21,7,1)</f>
        <v>7853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 x14ac:dyDescent="0.25">
      <c r="A46" s="164"/>
      <c r="B46" s="165">
        <f>DATE(21,8,1)</f>
        <v>7884</v>
      </c>
      <c r="C46" s="226">
        <v>0</v>
      </c>
      <c r="D46" s="226">
        <v>0</v>
      </c>
      <c r="E46" s="226">
        <v>118455</v>
      </c>
      <c r="F46" s="166">
        <v>-1</v>
      </c>
      <c r="G46" s="241">
        <v>0</v>
      </c>
      <c r="H46" s="242">
        <v>0</v>
      </c>
    </row>
    <row r="47" spans="1:8" ht="15.75" thickBot="1" x14ac:dyDescent="0.25">
      <c r="A47" s="167"/>
      <c r="B47" s="165"/>
      <c r="C47" s="226"/>
      <c r="D47" s="226"/>
      <c r="E47" s="226"/>
      <c r="F47" s="166"/>
      <c r="G47" s="241"/>
      <c r="H47" s="242"/>
    </row>
    <row r="48" spans="1:8" ht="17.25" thickTop="1" thickBot="1" x14ac:dyDescent="0.3">
      <c r="A48" s="174" t="s">
        <v>14</v>
      </c>
      <c r="B48" s="175"/>
      <c r="C48" s="228">
        <f>SUM(C45:C47)</f>
        <v>0</v>
      </c>
      <c r="D48" s="230">
        <f>SUM(D45:D47)</f>
        <v>0</v>
      </c>
      <c r="E48" s="271">
        <f>SUM(E45:E47)</f>
        <v>118455</v>
      </c>
      <c r="F48" s="176">
        <v>0</v>
      </c>
      <c r="G48" s="249">
        <v>0</v>
      </c>
      <c r="H48" s="270">
        <v>0</v>
      </c>
    </row>
    <row r="49" spans="1:8" ht="15.75" thickTop="1" x14ac:dyDescent="0.2">
      <c r="A49" s="167"/>
      <c r="B49" s="179"/>
      <c r="C49" s="229"/>
      <c r="D49" s="229"/>
      <c r="E49" s="229"/>
      <c r="F49" s="180"/>
      <c r="G49" s="247"/>
      <c r="H49" s="248"/>
    </row>
    <row r="50" spans="1:8" ht="15.75" x14ac:dyDescent="0.25">
      <c r="A50" s="164" t="s">
        <v>16</v>
      </c>
      <c r="B50" s="165">
        <f>DATE(21,7,1)</f>
        <v>7853</v>
      </c>
      <c r="C50" s="226">
        <v>0</v>
      </c>
      <c r="D50" s="226">
        <v>0</v>
      </c>
      <c r="E50" s="226">
        <v>0</v>
      </c>
      <c r="F50" s="166">
        <v>0</v>
      </c>
      <c r="G50" s="241">
        <v>0</v>
      </c>
      <c r="H50" s="242">
        <v>0</v>
      </c>
    </row>
    <row r="51" spans="1:8" ht="15.75" x14ac:dyDescent="0.25">
      <c r="A51" s="164"/>
      <c r="B51" s="165">
        <f>DATE(21,8,1)</f>
        <v>7884</v>
      </c>
      <c r="C51" s="226">
        <v>0</v>
      </c>
      <c r="D51" s="226">
        <v>0</v>
      </c>
      <c r="E51" s="226">
        <v>0</v>
      </c>
      <c r="F51" s="166">
        <v>0</v>
      </c>
      <c r="G51" s="241">
        <v>0</v>
      </c>
      <c r="H51" s="242">
        <v>0</v>
      </c>
    </row>
    <row r="52" spans="1:8" ht="16.5" thickBot="1" x14ac:dyDescent="0.3">
      <c r="A52" s="164"/>
      <c r="B52" s="165"/>
      <c r="C52" s="226"/>
      <c r="D52" s="226"/>
      <c r="E52" s="226"/>
      <c r="F52" s="166"/>
      <c r="G52" s="241"/>
      <c r="H52" s="242"/>
    </row>
    <row r="53" spans="1:8" ht="17.25" thickTop="1" thickBot="1" x14ac:dyDescent="0.3">
      <c r="A53" s="174" t="s">
        <v>14</v>
      </c>
      <c r="B53" s="181"/>
      <c r="C53" s="228">
        <f>SUM(C50:C52)</f>
        <v>0</v>
      </c>
      <c r="D53" s="228">
        <f>SUM(D50:D52)</f>
        <v>0</v>
      </c>
      <c r="E53" s="228">
        <f>SUM(E50:E52)</f>
        <v>0</v>
      </c>
      <c r="F53" s="176">
        <v>0</v>
      </c>
      <c r="G53" s="245">
        <v>0</v>
      </c>
      <c r="H53" s="246">
        <v>0</v>
      </c>
    </row>
    <row r="54" spans="1:8" ht="15.75" thickTop="1" x14ac:dyDescent="0.2">
      <c r="A54" s="171"/>
      <c r="B54" s="172"/>
      <c r="C54" s="227"/>
      <c r="D54" s="227"/>
      <c r="E54" s="227"/>
      <c r="F54" s="173"/>
      <c r="G54" s="243"/>
      <c r="H54" s="244"/>
    </row>
    <row r="55" spans="1:8" ht="15.75" x14ac:dyDescent="0.25">
      <c r="A55" s="164" t="s">
        <v>54</v>
      </c>
      <c r="B55" s="165">
        <f>DATE(21,7,1)</f>
        <v>7853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x14ac:dyDescent="0.25">
      <c r="A56" s="164"/>
      <c r="B56" s="165">
        <f>DATE(21,8,1)</f>
        <v>7884</v>
      </c>
      <c r="C56" s="226">
        <v>0</v>
      </c>
      <c r="D56" s="226">
        <v>0</v>
      </c>
      <c r="E56" s="226">
        <v>0</v>
      </c>
      <c r="F56" s="166">
        <v>0</v>
      </c>
      <c r="G56" s="241">
        <v>0</v>
      </c>
      <c r="H56" s="242">
        <v>0</v>
      </c>
    </row>
    <row r="57" spans="1:8" ht="15.75" thickBot="1" x14ac:dyDescent="0.25">
      <c r="A57" s="167"/>
      <c r="B57" s="168"/>
      <c r="C57" s="226"/>
      <c r="D57" s="226"/>
      <c r="E57" s="226"/>
      <c r="F57" s="166"/>
      <c r="G57" s="241"/>
      <c r="H57" s="242"/>
    </row>
    <row r="58" spans="1:8" ht="17.25" thickTop="1" thickBot="1" x14ac:dyDescent="0.3">
      <c r="A58" s="174" t="s">
        <v>14</v>
      </c>
      <c r="B58" s="175"/>
      <c r="C58" s="228">
        <f>SUM(C55:C57)</f>
        <v>0</v>
      </c>
      <c r="D58" s="228">
        <f>SUM(D55:D57)</f>
        <v>0</v>
      </c>
      <c r="E58" s="228">
        <f>SUM(E55:E57)</f>
        <v>0</v>
      </c>
      <c r="F58" s="176">
        <v>0</v>
      </c>
      <c r="G58" s="245">
        <v>0</v>
      </c>
      <c r="H58" s="246">
        <v>0</v>
      </c>
    </row>
    <row r="59" spans="1:8" ht="15.75" thickTop="1" x14ac:dyDescent="0.2">
      <c r="A59" s="167"/>
      <c r="B59" s="168"/>
      <c r="C59" s="226"/>
      <c r="D59" s="226"/>
      <c r="E59" s="226"/>
      <c r="F59" s="166"/>
      <c r="G59" s="241"/>
      <c r="H59" s="242"/>
    </row>
    <row r="60" spans="1:8" ht="15.75" x14ac:dyDescent="0.25">
      <c r="A60" s="164" t="s">
        <v>55</v>
      </c>
      <c r="B60" s="165">
        <f>DATE(21,7,1)</f>
        <v>7853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 x14ac:dyDescent="0.25">
      <c r="A61" s="164"/>
      <c r="B61" s="165">
        <f>DATE(21,8,1)</f>
        <v>7884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 thickBot="1" x14ac:dyDescent="0.25">
      <c r="A62" s="167"/>
      <c r="B62" s="168"/>
      <c r="C62" s="226"/>
      <c r="D62" s="226"/>
      <c r="E62" s="226"/>
      <c r="F62" s="166"/>
      <c r="G62" s="241"/>
      <c r="H62" s="242"/>
    </row>
    <row r="63" spans="1:8" ht="17.25" thickTop="1" thickBot="1" x14ac:dyDescent="0.3">
      <c r="A63" s="182" t="s">
        <v>14</v>
      </c>
      <c r="B63" s="183"/>
      <c r="C63" s="230">
        <f>SUM(C60:C62)</f>
        <v>0</v>
      </c>
      <c r="D63" s="230">
        <f>SUM(D60:D62)</f>
        <v>0</v>
      </c>
      <c r="E63" s="230">
        <f>SUM(E60:E62)</f>
        <v>0</v>
      </c>
      <c r="F63" s="176">
        <v>0</v>
      </c>
      <c r="G63" s="245">
        <v>0</v>
      </c>
      <c r="H63" s="246">
        <v>0</v>
      </c>
    </row>
    <row r="64" spans="1:8" ht="15.75" thickTop="1" x14ac:dyDescent="0.2">
      <c r="A64" s="167"/>
      <c r="B64" s="168"/>
      <c r="C64" s="226"/>
      <c r="D64" s="226"/>
      <c r="E64" s="226"/>
      <c r="F64" s="166"/>
      <c r="G64" s="241"/>
      <c r="H64" s="242"/>
    </row>
    <row r="65" spans="1:8" ht="15.75" x14ac:dyDescent="0.25">
      <c r="A65" s="164" t="s">
        <v>37</v>
      </c>
      <c r="B65" s="165">
        <f>DATE(21,7,1)</f>
        <v>7853</v>
      </c>
      <c r="C65" s="226">
        <v>4521310.28</v>
      </c>
      <c r="D65" s="226">
        <v>209181.95</v>
      </c>
      <c r="E65" s="226">
        <v>0</v>
      </c>
      <c r="F65" s="166">
        <v>1</v>
      </c>
      <c r="G65" s="241">
        <f>+D65/C65</f>
        <v>4.6265780724078068E-2</v>
      </c>
      <c r="H65" s="289">
        <f>1-G65</f>
        <v>0.95373421927592195</v>
      </c>
    </row>
    <row r="66" spans="1:8" ht="15.75" x14ac:dyDescent="0.25">
      <c r="A66" s="164"/>
      <c r="B66" s="165">
        <f>DATE(21,8,1)</f>
        <v>7884</v>
      </c>
      <c r="C66" s="226">
        <v>3704866.99</v>
      </c>
      <c r="D66" s="226">
        <v>126701.54</v>
      </c>
      <c r="E66" s="226">
        <v>0</v>
      </c>
      <c r="F66" s="166">
        <v>1</v>
      </c>
      <c r="G66" s="241">
        <f>+D66/C66</f>
        <v>3.4198674430684486E-2</v>
      </c>
      <c r="H66" s="289">
        <f>1-G66</f>
        <v>0.96580132556931553</v>
      </c>
    </row>
    <row r="67" spans="1:8" ht="15.75" thickBot="1" x14ac:dyDescent="0.25">
      <c r="A67" s="167"/>
      <c r="B67" s="168"/>
      <c r="C67" s="226"/>
      <c r="D67" s="226"/>
      <c r="E67" s="226"/>
      <c r="F67" s="166"/>
      <c r="G67" s="241"/>
      <c r="H67" s="242"/>
    </row>
    <row r="68" spans="1:8" ht="17.25" thickTop="1" thickBot="1" x14ac:dyDescent="0.3">
      <c r="A68" s="174" t="s">
        <v>14</v>
      </c>
      <c r="B68" s="175"/>
      <c r="C68" s="228">
        <f>SUM(C65:C67)</f>
        <v>8226177.2700000005</v>
      </c>
      <c r="D68" s="228">
        <f>SUM(D65:D67)</f>
        <v>335883.49</v>
      </c>
      <c r="E68" s="228">
        <f>SUM(E65:E67)</f>
        <v>0</v>
      </c>
      <c r="F68" s="176">
        <v>1</v>
      </c>
      <c r="G68" s="245">
        <f>+D68/C68</f>
        <v>4.0831054203625247E-2</v>
      </c>
      <c r="H68" s="246">
        <f>1-G68</f>
        <v>0.95916894579637479</v>
      </c>
    </row>
    <row r="69" spans="1:8" ht="15.75" thickTop="1" x14ac:dyDescent="0.2">
      <c r="A69" s="167"/>
      <c r="B69" s="168"/>
      <c r="C69" s="226"/>
      <c r="D69" s="226"/>
      <c r="E69" s="226"/>
      <c r="F69" s="166"/>
      <c r="G69" s="241"/>
      <c r="H69" s="242"/>
    </row>
    <row r="70" spans="1:8" ht="15.75" x14ac:dyDescent="0.25">
      <c r="A70" s="164" t="s">
        <v>58</v>
      </c>
      <c r="B70" s="165">
        <f>DATE(21,7,1)</f>
        <v>7853</v>
      </c>
      <c r="C70" s="226">
        <v>0</v>
      </c>
      <c r="D70" s="226">
        <v>0</v>
      </c>
      <c r="E70" s="226">
        <v>0</v>
      </c>
      <c r="F70" s="166">
        <v>0</v>
      </c>
      <c r="G70" s="241">
        <v>0</v>
      </c>
      <c r="H70" s="242">
        <v>0</v>
      </c>
    </row>
    <row r="71" spans="1:8" ht="15.75" x14ac:dyDescent="0.25">
      <c r="A71" s="164"/>
      <c r="B71" s="165">
        <f>DATE(21,8,1)</f>
        <v>7884</v>
      </c>
      <c r="C71" s="226">
        <v>0</v>
      </c>
      <c r="D71" s="226">
        <v>0</v>
      </c>
      <c r="E71" s="226">
        <v>0</v>
      </c>
      <c r="F71" s="166">
        <v>0</v>
      </c>
      <c r="G71" s="241">
        <v>0</v>
      </c>
      <c r="H71" s="242">
        <v>0</v>
      </c>
    </row>
    <row r="72" spans="1:8" ht="15.75" thickBot="1" x14ac:dyDescent="0.25">
      <c r="A72" s="167"/>
      <c r="B72" s="168"/>
      <c r="C72" s="226"/>
      <c r="D72" s="226"/>
      <c r="E72" s="226"/>
      <c r="F72" s="166"/>
      <c r="G72" s="241"/>
      <c r="H72" s="242"/>
    </row>
    <row r="73" spans="1:8" ht="17.25" thickTop="1" thickBot="1" x14ac:dyDescent="0.3">
      <c r="A73" s="169" t="s">
        <v>14</v>
      </c>
      <c r="B73" s="155"/>
      <c r="C73" s="223">
        <f>SUM(C70:C72)</f>
        <v>0</v>
      </c>
      <c r="D73" s="223">
        <f>SUM(D70:D72)</f>
        <v>0</v>
      </c>
      <c r="E73" s="223">
        <f>SUM(E70:E72)</f>
        <v>0</v>
      </c>
      <c r="F73" s="176">
        <v>0</v>
      </c>
      <c r="G73" s="245">
        <v>0</v>
      </c>
      <c r="H73" s="246">
        <v>0</v>
      </c>
    </row>
    <row r="74" spans="1:8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</row>
    <row r="75" spans="1:8" ht="17.25" thickTop="1" thickBot="1" x14ac:dyDescent="0.3">
      <c r="A75" s="184" t="s">
        <v>38</v>
      </c>
      <c r="B75" s="155"/>
      <c r="C75" s="223">
        <f>C73+C68+C53+C43+C33+C23+C13+C28+C63+C18+C48+C58+C38</f>
        <v>8226177.2700000005</v>
      </c>
      <c r="D75" s="223">
        <f>D73+D68+D53+D43+D33+D23+D13+D28+D63+D18+D48+D58+D38</f>
        <v>335883.49</v>
      </c>
      <c r="E75" s="223">
        <f>E73+E68+E53+E43+E33+E23+E13+E28+E63+E18+E48+E58+E38</f>
        <v>118455</v>
      </c>
      <c r="F75" s="170">
        <v>1</v>
      </c>
      <c r="G75" s="236">
        <f>D75/C75</f>
        <v>4.0831054203625247E-2</v>
      </c>
      <c r="H75" s="237">
        <f>1-G75</f>
        <v>0.95916894579637479</v>
      </c>
    </row>
    <row r="76" spans="1:8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</row>
    <row r="77" spans="1:8" ht="17.25" thickTop="1" thickBot="1" x14ac:dyDescent="0.3">
      <c r="A77" s="184" t="s">
        <v>39</v>
      </c>
      <c r="B77" s="155"/>
      <c r="C77" s="223">
        <f>SUM(C11+C16+C21+C26+C31+C36+C41+C46+C51+C56+C61+C66+C71)</f>
        <v>3704866.99</v>
      </c>
      <c r="D77" s="223">
        <f>SUM(D11+D16+D21+D26+D31+D36+D41+D46+D51+D56+D61+D66+D71)</f>
        <v>126701.54</v>
      </c>
      <c r="E77" s="223">
        <f>SUM(E11+E16+E21+E26+E31+E36+E41+E46+E51+E56+E61+E66+E71)</f>
        <v>118455</v>
      </c>
      <c r="F77" s="170">
        <v>1</v>
      </c>
      <c r="G77" s="236">
        <f>D77/C77</f>
        <v>3.4198674430684486E-2</v>
      </c>
      <c r="H77" s="246">
        <f>1-G77</f>
        <v>0.96580132556931553</v>
      </c>
    </row>
    <row r="78" spans="1:8" ht="16.5" thickTop="1" x14ac:dyDescent="0.25">
      <c r="A78" s="185"/>
      <c r="B78" s="186"/>
      <c r="C78" s="231"/>
      <c r="D78" s="231"/>
      <c r="E78" s="231"/>
      <c r="F78" s="187"/>
      <c r="G78" s="250"/>
      <c r="H78" s="250"/>
    </row>
    <row r="79" spans="1:8" ht="18.75" x14ac:dyDescent="0.3">
      <c r="A79" s="188" t="s">
        <v>49</v>
      </c>
      <c r="B79" s="189"/>
      <c r="C79" s="232"/>
      <c r="D79" s="232"/>
      <c r="E79" s="232"/>
      <c r="F79" s="190"/>
      <c r="G79" s="251"/>
      <c r="H79" s="251"/>
    </row>
    <row r="80" spans="1:8" ht="15.75" x14ac:dyDescent="0.25">
      <c r="A80" s="191"/>
      <c r="B80" s="189"/>
      <c r="C80" s="232"/>
      <c r="D80" s="232"/>
      <c r="E80" s="232"/>
      <c r="F80" s="190"/>
      <c r="G80" s="257"/>
      <c r="H80" s="257"/>
    </row>
  </sheetData>
  <printOptions horizontalCentered="1"/>
  <pageMargins left="0.7" right="0.45" top="0.25" bottom="0.25" header="0.3" footer="0.3"/>
  <pageSetup scale="65" orientation="landscape" r:id="rId1"/>
  <rowBreaks count="1" manualBreakCount="1">
    <brk id="5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I81"/>
  <sheetViews>
    <sheetView showOutlineSymbols="0" zoomScaleNormal="100" workbookViewId="0">
      <selection activeCell="A6" sqref="A6"/>
    </sheetView>
  </sheetViews>
  <sheetFormatPr defaultColWidth="9.6640625" defaultRowHeight="15" x14ac:dyDescent="0.2"/>
  <cols>
    <col min="1" max="1" width="27.6640625" style="152" customWidth="1"/>
    <col min="2" max="2" width="9.6640625" style="152" customWidth="1"/>
    <col min="3" max="3" width="18.33203125" style="233" customWidth="1"/>
    <col min="4" max="4" width="16.441406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40625" style="152" customWidth="1"/>
    <col min="10" max="16384" width="9.6640625" style="152"/>
  </cols>
  <sheetData>
    <row r="1" spans="1:9" ht="18" x14ac:dyDescent="0.25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 x14ac:dyDescent="0.3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 x14ac:dyDescent="0.25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 x14ac:dyDescent="0.25">
      <c r="A4" s="285" t="s">
        <v>77</v>
      </c>
      <c r="B4" s="150"/>
      <c r="C4" s="222"/>
      <c r="D4" s="222"/>
      <c r="E4" s="222"/>
      <c r="F4" s="150"/>
      <c r="G4" s="234"/>
      <c r="H4" s="234"/>
      <c r="I4" s="151"/>
    </row>
    <row r="5" spans="1:9" x14ac:dyDescent="0.2">
      <c r="A5" s="286" t="s">
        <v>71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 x14ac:dyDescent="0.3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 x14ac:dyDescent="0.25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 x14ac:dyDescent="0.3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 x14ac:dyDescent="0.25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 x14ac:dyDescent="0.25">
      <c r="A10" s="164" t="s">
        <v>36</v>
      </c>
      <c r="B10" s="165">
        <f>DATE(21,7,1)</f>
        <v>7853</v>
      </c>
      <c r="C10" s="226">
        <v>137710679.78</v>
      </c>
      <c r="D10" s="226">
        <v>13537622.550000001</v>
      </c>
      <c r="E10" s="226">
        <v>11655862.98</v>
      </c>
      <c r="F10" s="166">
        <f>(+D10-E10)/E10</f>
        <v>0.16144317870147099</v>
      </c>
      <c r="G10" s="241">
        <f>D10/C10</f>
        <v>9.830481246354357E-2</v>
      </c>
      <c r="H10" s="242">
        <f>1-G10</f>
        <v>0.90169518753645639</v>
      </c>
      <c r="I10" s="157"/>
    </row>
    <row r="11" spans="1:9" ht="15.75" x14ac:dyDescent="0.25">
      <c r="A11" s="164"/>
      <c r="B11" s="165">
        <f>DATE(21,8,1)</f>
        <v>7884</v>
      </c>
      <c r="C11" s="226">
        <v>128391630.95</v>
      </c>
      <c r="D11" s="226">
        <v>12571919.07</v>
      </c>
      <c r="E11" s="226">
        <v>11056944.539999999</v>
      </c>
      <c r="F11" s="166">
        <f>(+D11-E11)/E11</f>
        <v>0.13701565785370226</v>
      </c>
      <c r="G11" s="241">
        <f>D11/C11</f>
        <v>9.7918524571869683E-2</v>
      </c>
      <c r="H11" s="242">
        <f>1-G11</f>
        <v>0.90208147542813033</v>
      </c>
      <c r="I11" s="157"/>
    </row>
    <row r="12" spans="1:9" ht="15.75" thickBot="1" x14ac:dyDescent="0.25">
      <c r="A12" s="167"/>
      <c r="B12" s="168"/>
      <c r="C12" s="226"/>
      <c r="D12" s="226"/>
      <c r="E12" s="226"/>
      <c r="F12" s="166"/>
      <c r="G12" s="241"/>
      <c r="H12" s="242"/>
      <c r="I12" s="157"/>
    </row>
    <row r="13" spans="1:9" ht="17.25" thickTop="1" thickBot="1" x14ac:dyDescent="0.3">
      <c r="A13" s="169" t="s">
        <v>14</v>
      </c>
      <c r="B13" s="155"/>
      <c r="C13" s="223">
        <f>SUM(C10:C12)</f>
        <v>266102310.73000002</v>
      </c>
      <c r="D13" s="223">
        <f>SUM(D10:D12)</f>
        <v>26109541.620000001</v>
      </c>
      <c r="E13" s="223">
        <f>SUM(E10:E12)</f>
        <v>22712807.52</v>
      </c>
      <c r="F13" s="170">
        <f>(+D13-E13)/E13</f>
        <v>0.14955148530224507</v>
      </c>
      <c r="G13" s="236">
        <f>D13/C13</f>
        <v>9.8118432524593804E-2</v>
      </c>
      <c r="H13" s="237">
        <f>1-G13</f>
        <v>0.90188156747540615</v>
      </c>
      <c r="I13" s="157"/>
    </row>
    <row r="14" spans="1:9" ht="15.75" thickTop="1" x14ac:dyDescent="0.2">
      <c r="A14" s="171"/>
      <c r="B14" s="172"/>
      <c r="C14" s="227"/>
      <c r="D14" s="227"/>
      <c r="E14" s="227"/>
      <c r="F14" s="173"/>
      <c r="G14" s="243"/>
      <c r="H14" s="244"/>
      <c r="I14" s="157"/>
    </row>
    <row r="15" spans="1:9" ht="15.75" x14ac:dyDescent="0.25">
      <c r="A15" s="19" t="s">
        <v>48</v>
      </c>
      <c r="B15" s="165">
        <f>DATE(21,7,1)</f>
        <v>7853</v>
      </c>
      <c r="C15" s="226">
        <v>73584363.370000005</v>
      </c>
      <c r="D15" s="226">
        <v>7305624.1500000004</v>
      </c>
      <c r="E15" s="226">
        <v>5066109.03</v>
      </c>
      <c r="F15" s="166">
        <f>(+D15-E15)/E15</f>
        <v>0.44205821602698508</v>
      </c>
      <c r="G15" s="241">
        <f>D15/C15</f>
        <v>9.928229063103465E-2</v>
      </c>
      <c r="H15" s="242">
        <f>1-G15</f>
        <v>0.90071770936896534</v>
      </c>
      <c r="I15" s="157"/>
    </row>
    <row r="16" spans="1:9" ht="15.75" x14ac:dyDescent="0.25">
      <c r="A16" s="19"/>
      <c r="B16" s="165">
        <f>DATE(21,8,1)</f>
        <v>7884</v>
      </c>
      <c r="C16" s="226">
        <v>67816496.489999995</v>
      </c>
      <c r="D16" s="226">
        <v>6574172.1100000003</v>
      </c>
      <c r="E16" s="226">
        <v>5468550.7300000004</v>
      </c>
      <c r="F16" s="166">
        <f>(+D16-E16)/E16</f>
        <v>0.20217813358384989</v>
      </c>
      <c r="G16" s="241">
        <f>D16/C16</f>
        <v>9.6940603691749352E-2</v>
      </c>
      <c r="H16" s="242">
        <f>1-G16</f>
        <v>0.90305939630825061</v>
      </c>
      <c r="I16" s="157"/>
    </row>
    <row r="17" spans="1:9" ht="15.75" thickBot="1" x14ac:dyDescent="0.25">
      <c r="A17" s="167"/>
      <c r="B17" s="165"/>
      <c r="C17" s="226"/>
      <c r="D17" s="226"/>
      <c r="E17" s="226"/>
      <c r="F17" s="166"/>
      <c r="G17" s="241"/>
      <c r="H17" s="242"/>
      <c r="I17" s="157"/>
    </row>
    <row r="18" spans="1:9" ht="17.25" thickTop="1" thickBot="1" x14ac:dyDescent="0.3">
      <c r="A18" s="169" t="s">
        <v>14</v>
      </c>
      <c r="B18" s="155"/>
      <c r="C18" s="223">
        <f>SUM(C15:C17)</f>
        <v>141400859.86000001</v>
      </c>
      <c r="D18" s="223">
        <f>SUM(D15:D17)</f>
        <v>13879796.260000002</v>
      </c>
      <c r="E18" s="223">
        <f>SUM(E15:E17)</f>
        <v>10534659.760000002</v>
      </c>
      <c r="F18" s="170">
        <f>(+D18-E18)/E18</f>
        <v>0.31753626374355726</v>
      </c>
      <c r="G18" s="236">
        <f>D18/C18</f>
        <v>9.8159206908234431E-2</v>
      </c>
      <c r="H18" s="237">
        <f>1-G18</f>
        <v>0.90184079309176557</v>
      </c>
      <c r="I18" s="157"/>
    </row>
    <row r="19" spans="1:9" ht="15.75" thickTop="1" x14ac:dyDescent="0.2">
      <c r="A19" s="171"/>
      <c r="B19" s="172"/>
      <c r="C19" s="227"/>
      <c r="D19" s="227"/>
      <c r="E19" s="227"/>
      <c r="F19" s="173"/>
      <c r="G19" s="243"/>
      <c r="H19" s="244"/>
      <c r="I19" s="157"/>
    </row>
    <row r="20" spans="1:9" ht="15.75" x14ac:dyDescent="0.25">
      <c r="A20" s="19" t="s">
        <v>64</v>
      </c>
      <c r="B20" s="165">
        <f>DATE(21,7,1)</f>
        <v>7853</v>
      </c>
      <c r="C20" s="226">
        <v>41344494.670000002</v>
      </c>
      <c r="D20" s="226">
        <v>4179858.95</v>
      </c>
      <c r="E20" s="226">
        <v>3105687.6</v>
      </c>
      <c r="F20" s="166">
        <f>(+D20-E20)/E20</f>
        <v>0.34587231181912825</v>
      </c>
      <c r="G20" s="241">
        <f>D20/C20</f>
        <v>0.10109831994229088</v>
      </c>
      <c r="H20" s="242">
        <f>1-G20</f>
        <v>0.8989016800577091</v>
      </c>
      <c r="I20" s="157"/>
    </row>
    <row r="21" spans="1:9" ht="15.75" x14ac:dyDescent="0.25">
      <c r="A21" s="19"/>
      <c r="B21" s="165">
        <f>DATE(21,8,1)</f>
        <v>7884</v>
      </c>
      <c r="C21" s="226">
        <v>34738721.109999999</v>
      </c>
      <c r="D21" s="226">
        <v>3554355.99</v>
      </c>
      <c r="E21" s="226">
        <v>3031801</v>
      </c>
      <c r="F21" s="166">
        <f>(+D21-E21)/E21</f>
        <v>0.17235794499704968</v>
      </c>
      <c r="G21" s="241">
        <f>D21/C21</f>
        <v>0.10231683482950188</v>
      </c>
      <c r="H21" s="242">
        <f>1-G21</f>
        <v>0.89768316517049818</v>
      </c>
      <c r="I21" s="157"/>
    </row>
    <row r="22" spans="1:9" ht="15.75" thickBot="1" x14ac:dyDescent="0.25">
      <c r="A22" s="167"/>
      <c r="B22" s="165"/>
      <c r="C22" s="226"/>
      <c r="D22" s="226"/>
      <c r="E22" s="226"/>
      <c r="F22" s="166"/>
      <c r="G22" s="241"/>
      <c r="H22" s="242"/>
      <c r="I22" s="157"/>
    </row>
    <row r="23" spans="1:9" ht="17.25" thickTop="1" thickBot="1" x14ac:dyDescent="0.3">
      <c r="A23" s="174" t="s">
        <v>14</v>
      </c>
      <c r="B23" s="175"/>
      <c r="C23" s="228">
        <f>SUM(C20:C22)</f>
        <v>76083215.780000001</v>
      </c>
      <c r="D23" s="228">
        <f>SUM(D20:D22)</f>
        <v>7734214.9400000004</v>
      </c>
      <c r="E23" s="228">
        <f>SUM(E20:E22)</f>
        <v>6137488.5999999996</v>
      </c>
      <c r="F23" s="176">
        <f>(+D23-E23)/E23</f>
        <v>0.26015956102957177</v>
      </c>
      <c r="G23" s="245">
        <f>D23/C23</f>
        <v>0.10165467982273554</v>
      </c>
      <c r="H23" s="246">
        <f>1-G23</f>
        <v>0.89834532017726443</v>
      </c>
      <c r="I23" s="157"/>
    </row>
    <row r="24" spans="1:9" ht="15.75" thickTop="1" x14ac:dyDescent="0.2">
      <c r="A24" s="167"/>
      <c r="B24" s="168"/>
      <c r="C24" s="226"/>
      <c r="D24" s="226"/>
      <c r="E24" s="226"/>
      <c r="F24" s="166"/>
      <c r="G24" s="241"/>
      <c r="H24" s="242"/>
      <c r="I24" s="157"/>
    </row>
    <row r="25" spans="1:9" ht="15.75" x14ac:dyDescent="0.25">
      <c r="A25" s="177" t="s">
        <v>59</v>
      </c>
      <c r="B25" s="165">
        <f>DATE(21,7,1)</f>
        <v>7853</v>
      </c>
      <c r="C25" s="226">
        <v>184241191.87</v>
      </c>
      <c r="D25" s="226">
        <v>16788708.57</v>
      </c>
      <c r="E25" s="226">
        <v>12870761.890000001</v>
      </c>
      <c r="F25" s="166">
        <f>(+D25-E25)/E25</f>
        <v>0.30440674091283337</v>
      </c>
      <c r="G25" s="241">
        <f>D25/C25</f>
        <v>9.1123534317157806E-2</v>
      </c>
      <c r="H25" s="242">
        <f>1-G25</f>
        <v>0.90887646568284219</v>
      </c>
      <c r="I25" s="157"/>
    </row>
    <row r="26" spans="1:9" ht="15.75" x14ac:dyDescent="0.25">
      <c r="A26" s="177"/>
      <c r="B26" s="165">
        <f>DATE(21,8,1)</f>
        <v>7884</v>
      </c>
      <c r="C26" s="226">
        <v>171470115.47</v>
      </c>
      <c r="D26" s="226">
        <v>15228470.93</v>
      </c>
      <c r="E26" s="226">
        <v>13070251.67</v>
      </c>
      <c r="F26" s="166">
        <f>(+D26-E26)/E26</f>
        <v>0.16512453734565311</v>
      </c>
      <c r="G26" s="241">
        <f>D26/C26</f>
        <v>8.8811224558044563E-2</v>
      </c>
      <c r="H26" s="242">
        <f>1-G26</f>
        <v>0.91118877544195542</v>
      </c>
      <c r="I26" s="157"/>
    </row>
    <row r="27" spans="1:9" ht="15.75" thickBot="1" x14ac:dyDescent="0.25">
      <c r="A27" s="167"/>
      <c r="B27" s="168"/>
      <c r="C27" s="226"/>
      <c r="D27" s="226"/>
      <c r="E27" s="226"/>
      <c r="F27" s="166"/>
      <c r="G27" s="241"/>
      <c r="H27" s="242"/>
      <c r="I27" s="157"/>
    </row>
    <row r="28" spans="1:9" ht="17.25" thickTop="1" thickBot="1" x14ac:dyDescent="0.3">
      <c r="A28" s="174" t="s">
        <v>14</v>
      </c>
      <c r="B28" s="178"/>
      <c r="C28" s="228">
        <f>SUM(C25:C27)</f>
        <v>355711307.34000003</v>
      </c>
      <c r="D28" s="228">
        <f>SUM(D25:D27)</f>
        <v>32017179.5</v>
      </c>
      <c r="E28" s="228">
        <f>SUM(E25:E27)</f>
        <v>25941013.560000002</v>
      </c>
      <c r="F28" s="176">
        <f>(+D28-E28)/E28</f>
        <v>0.23423008996723246</v>
      </c>
      <c r="G28" s="245">
        <f>D28/C28</f>
        <v>9.0008888779565768E-2</v>
      </c>
      <c r="H28" s="246">
        <f>1-G28</f>
        <v>0.90999111122043419</v>
      </c>
      <c r="I28" s="157"/>
    </row>
    <row r="29" spans="1:9" ht="15.75" thickTop="1" x14ac:dyDescent="0.2">
      <c r="A29" s="167"/>
      <c r="B29" s="168"/>
      <c r="C29" s="226"/>
      <c r="D29" s="226"/>
      <c r="E29" s="226"/>
      <c r="F29" s="166"/>
      <c r="G29" s="241"/>
      <c r="H29" s="242"/>
      <c r="I29" s="157"/>
    </row>
    <row r="30" spans="1:9" ht="15.75" x14ac:dyDescent="0.25">
      <c r="A30" s="164" t="s">
        <v>62</v>
      </c>
      <c r="B30" s="165">
        <f>DATE(21,7,1)</f>
        <v>7853</v>
      </c>
      <c r="C30" s="226">
        <v>134033453.04000001</v>
      </c>
      <c r="D30" s="226">
        <v>12735420.67</v>
      </c>
      <c r="E30" s="226">
        <v>13388447.99</v>
      </c>
      <c r="F30" s="166">
        <f>(+D30-E30)/E30</f>
        <v>-4.8775430915349902E-2</v>
      </c>
      <c r="G30" s="241">
        <f>D30/C30</f>
        <v>9.5016731876625835E-2</v>
      </c>
      <c r="H30" s="242">
        <f>1-G30</f>
        <v>0.90498326812337415</v>
      </c>
      <c r="I30" s="157"/>
    </row>
    <row r="31" spans="1:9" ht="15.75" x14ac:dyDescent="0.25">
      <c r="A31" s="164"/>
      <c r="B31" s="165">
        <f>DATE(21,8,1)</f>
        <v>7884</v>
      </c>
      <c r="C31" s="226">
        <v>120007751.62</v>
      </c>
      <c r="D31" s="226">
        <v>11645905.550000001</v>
      </c>
      <c r="E31" s="226">
        <v>12503132.880000001</v>
      </c>
      <c r="F31" s="166">
        <f>(+D31-E31)/E31</f>
        <v>-6.8561002928411649E-2</v>
      </c>
      <c r="G31" s="241">
        <f>D31/C31</f>
        <v>9.7042944249770793E-2</v>
      </c>
      <c r="H31" s="242">
        <f>1-G31</f>
        <v>0.90295705575022922</v>
      </c>
      <c r="I31" s="157"/>
    </row>
    <row r="32" spans="1:9" ht="15.75" thickBot="1" x14ac:dyDescent="0.25">
      <c r="A32" s="167"/>
      <c r="B32" s="165"/>
      <c r="C32" s="226"/>
      <c r="D32" s="226"/>
      <c r="E32" s="226"/>
      <c r="F32" s="166"/>
      <c r="G32" s="241"/>
      <c r="H32" s="242"/>
      <c r="I32" s="157"/>
    </row>
    <row r="33" spans="1:9" ht="17.25" thickTop="1" thickBot="1" x14ac:dyDescent="0.3">
      <c r="A33" s="174" t="s">
        <v>14</v>
      </c>
      <c r="B33" s="175"/>
      <c r="C33" s="228">
        <f>SUM(C30:C32)</f>
        <v>254041204.66000003</v>
      </c>
      <c r="D33" s="230">
        <f>SUM(D30:D32)</f>
        <v>24381326.219999999</v>
      </c>
      <c r="E33" s="271">
        <f>SUM(E30:E32)</f>
        <v>25891580.870000001</v>
      </c>
      <c r="F33" s="272">
        <f>(+D33-E33)/E33</f>
        <v>-5.8329951252605851E-2</v>
      </c>
      <c r="G33" s="249">
        <f>D33/C33</f>
        <v>9.597390412563632E-2</v>
      </c>
      <c r="H33" s="270">
        <f>1-G33</f>
        <v>0.90402609587436367</v>
      </c>
      <c r="I33" s="157"/>
    </row>
    <row r="34" spans="1:9" ht="15.75" thickTop="1" x14ac:dyDescent="0.2">
      <c r="A34" s="167"/>
      <c r="B34" s="168"/>
      <c r="C34" s="226"/>
      <c r="D34" s="226"/>
      <c r="E34" s="226"/>
      <c r="F34" s="166"/>
      <c r="G34" s="241"/>
      <c r="H34" s="242"/>
      <c r="I34" s="157"/>
    </row>
    <row r="35" spans="1:9" ht="15.75" x14ac:dyDescent="0.25">
      <c r="A35" s="164" t="s">
        <v>66</v>
      </c>
      <c r="B35" s="165">
        <f>DATE(21,7,1)</f>
        <v>7853</v>
      </c>
      <c r="C35" s="226">
        <v>55925733.850000001</v>
      </c>
      <c r="D35" s="226">
        <v>5744094.3399999999</v>
      </c>
      <c r="E35" s="226">
        <v>4434379.57</v>
      </c>
      <c r="F35" s="166">
        <f>(+D35-E35)/E35</f>
        <v>0.29535468250409591</v>
      </c>
      <c r="G35" s="241">
        <f>D35/C35</f>
        <v>0.10270932439449786</v>
      </c>
      <c r="H35" s="242">
        <f>1-G35</f>
        <v>0.89729067560550213</v>
      </c>
      <c r="I35" s="157"/>
    </row>
    <row r="36" spans="1:9" ht="15.75" x14ac:dyDescent="0.25">
      <c r="A36" s="164"/>
      <c r="B36" s="165">
        <f>DATE(21,8,1)</f>
        <v>7884</v>
      </c>
      <c r="C36" s="226">
        <v>50658517.549999997</v>
      </c>
      <c r="D36" s="226">
        <v>5022432.17</v>
      </c>
      <c r="E36" s="226">
        <v>4333573.3</v>
      </c>
      <c r="F36" s="166">
        <f>(+D36-E36)/E36</f>
        <v>0.15895862889869664</v>
      </c>
      <c r="G36" s="241">
        <f>D36/C36</f>
        <v>9.9142896651937262E-2</v>
      </c>
      <c r="H36" s="242">
        <f>1-G36</f>
        <v>0.90085710334806279</v>
      </c>
      <c r="I36" s="157"/>
    </row>
    <row r="37" spans="1:9" ht="15.75" thickBot="1" x14ac:dyDescent="0.25">
      <c r="A37" s="167"/>
      <c r="B37" s="165"/>
      <c r="C37" s="226"/>
      <c r="D37" s="226"/>
      <c r="E37" s="226"/>
      <c r="F37" s="166"/>
      <c r="G37" s="241"/>
      <c r="H37" s="242"/>
      <c r="I37" s="157"/>
    </row>
    <row r="38" spans="1:9" ht="17.25" thickTop="1" thickBot="1" x14ac:dyDescent="0.3">
      <c r="A38" s="174" t="s">
        <v>14</v>
      </c>
      <c r="B38" s="175"/>
      <c r="C38" s="228">
        <f>SUM(C35:C37)</f>
        <v>106584251.40000001</v>
      </c>
      <c r="D38" s="230">
        <f>SUM(D35:D37)</f>
        <v>10766526.51</v>
      </c>
      <c r="E38" s="271">
        <f>SUM(E35:E37)</f>
        <v>8767952.870000001</v>
      </c>
      <c r="F38" s="272">
        <f>(+D38-E38)/E38</f>
        <v>0.22794073709476936</v>
      </c>
      <c r="G38" s="249">
        <f>D38/C38</f>
        <v>0.10101423398466539</v>
      </c>
      <c r="H38" s="270">
        <f>1-G38</f>
        <v>0.89898576601533464</v>
      </c>
      <c r="I38" s="157"/>
    </row>
    <row r="39" spans="1:9" ht="15.75" thickTop="1" x14ac:dyDescent="0.2">
      <c r="A39" s="167"/>
      <c r="B39" s="168"/>
      <c r="C39" s="226"/>
      <c r="D39" s="226"/>
      <c r="E39" s="226"/>
      <c r="F39" s="166"/>
      <c r="G39" s="241"/>
      <c r="H39" s="242"/>
      <c r="I39" s="157"/>
    </row>
    <row r="40" spans="1:9" ht="15.75" x14ac:dyDescent="0.25">
      <c r="A40" s="290" t="s">
        <v>73</v>
      </c>
      <c r="B40" s="165">
        <f>DATE(21,7,1)</f>
        <v>7853</v>
      </c>
      <c r="C40" s="226">
        <v>75548562.819999993</v>
      </c>
      <c r="D40" s="226">
        <v>8446672.5700000003</v>
      </c>
      <c r="E40" s="226">
        <v>4303428.05</v>
      </c>
      <c r="F40" s="166">
        <f>(+D40-E40)/E40</f>
        <v>0.96277769068312891</v>
      </c>
      <c r="G40" s="241">
        <f>D40/C40</f>
        <v>0.11180454339184213</v>
      </c>
      <c r="H40" s="242">
        <f>1-G40</f>
        <v>0.88819545660815791</v>
      </c>
      <c r="I40" s="157"/>
    </row>
    <row r="41" spans="1:9" ht="15.75" x14ac:dyDescent="0.25">
      <c r="A41" s="290"/>
      <c r="B41" s="165">
        <f>DATE(21,8,1)</f>
        <v>7884</v>
      </c>
      <c r="C41" s="226">
        <v>78426771.269999996</v>
      </c>
      <c r="D41" s="226">
        <v>8803736.4399999995</v>
      </c>
      <c r="E41" s="226">
        <v>4134795.6</v>
      </c>
      <c r="F41" s="166">
        <f>(+D41-E41)/E41</f>
        <v>1.1291829854902622</v>
      </c>
      <c r="G41" s="241">
        <f>D41/C41</f>
        <v>0.11225422515089088</v>
      </c>
      <c r="H41" s="242">
        <f>1-G41</f>
        <v>0.8877457748491091</v>
      </c>
      <c r="I41" s="157"/>
    </row>
    <row r="42" spans="1:9" ht="15.75" thickBot="1" x14ac:dyDescent="0.25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Top="1" thickBot="1" x14ac:dyDescent="0.3">
      <c r="A43" s="174" t="s">
        <v>14</v>
      </c>
      <c r="B43" s="175"/>
      <c r="C43" s="228">
        <f>SUM(C40:C42)</f>
        <v>153975334.08999997</v>
      </c>
      <c r="D43" s="230">
        <f>SUM(D40:D42)</f>
        <v>17250409.009999998</v>
      </c>
      <c r="E43" s="271">
        <f>SUM(E40:E42)</f>
        <v>8438223.6500000004</v>
      </c>
      <c r="F43" s="272">
        <f>(+D43-E43)/E43</f>
        <v>1.044317586912975</v>
      </c>
      <c r="G43" s="249">
        <f>D43/C43</f>
        <v>0.11203358714530846</v>
      </c>
      <c r="H43" s="270">
        <f>1-G43</f>
        <v>0.88796641285469158</v>
      </c>
      <c r="I43" s="157"/>
    </row>
    <row r="44" spans="1:9" ht="15.75" thickTop="1" x14ac:dyDescent="0.2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 x14ac:dyDescent="0.25">
      <c r="A45" s="164" t="s">
        <v>60</v>
      </c>
      <c r="B45" s="165">
        <f>DATE(21,7,1)</f>
        <v>7853</v>
      </c>
      <c r="C45" s="226">
        <v>132221883.15000001</v>
      </c>
      <c r="D45" s="226">
        <v>13534455.82</v>
      </c>
      <c r="E45" s="226">
        <v>10751795.77</v>
      </c>
      <c r="F45" s="166">
        <f>(+D45-E45)/E45</f>
        <v>0.25880886407499171</v>
      </c>
      <c r="G45" s="241">
        <f>D45/C45</f>
        <v>0.10236169306895854</v>
      </c>
      <c r="H45" s="242">
        <f>1-G45</f>
        <v>0.89763830693104141</v>
      </c>
      <c r="I45" s="157"/>
    </row>
    <row r="46" spans="1:9" ht="15.75" x14ac:dyDescent="0.25">
      <c r="A46" s="164"/>
      <c r="B46" s="165">
        <f>DATE(21,8,1)</f>
        <v>7884</v>
      </c>
      <c r="C46" s="226">
        <v>113338502.33</v>
      </c>
      <c r="D46" s="226">
        <v>11799607.16</v>
      </c>
      <c r="E46" s="226">
        <v>11312353.68</v>
      </c>
      <c r="F46" s="166">
        <f>(+D46-E46)/E46</f>
        <v>4.3072687946581284E-2</v>
      </c>
      <c r="G46" s="241">
        <f>D46/C46</f>
        <v>0.104109432517856</v>
      </c>
      <c r="H46" s="242">
        <f>1-G46</f>
        <v>0.89589056748214402</v>
      </c>
      <c r="I46" s="157"/>
    </row>
    <row r="47" spans="1:9" ht="15.75" thickBot="1" x14ac:dyDescent="0.25">
      <c r="A47" s="167"/>
      <c r="B47" s="165"/>
      <c r="C47" s="226"/>
      <c r="D47" s="226"/>
      <c r="E47" s="226"/>
      <c r="F47" s="166"/>
      <c r="G47" s="241"/>
      <c r="H47" s="242"/>
      <c r="I47" s="157"/>
    </row>
    <row r="48" spans="1:9" ht="17.25" thickTop="1" thickBot="1" x14ac:dyDescent="0.3">
      <c r="A48" s="174" t="s">
        <v>14</v>
      </c>
      <c r="B48" s="175"/>
      <c r="C48" s="228">
        <f>SUM(C45:C47)</f>
        <v>245560385.48000002</v>
      </c>
      <c r="D48" s="230">
        <f>SUM(D45:D47)</f>
        <v>25334062.98</v>
      </c>
      <c r="E48" s="271">
        <f>SUM(E45:E47)</f>
        <v>22064149.449999999</v>
      </c>
      <c r="F48" s="176">
        <f>(+D48-E48)/E48</f>
        <v>0.14820029828976714</v>
      </c>
      <c r="G48" s="249">
        <f>D48/C48</f>
        <v>0.10316836296896661</v>
      </c>
      <c r="H48" s="270">
        <f>1-G48</f>
        <v>0.89683163703103341</v>
      </c>
      <c r="I48" s="157"/>
    </row>
    <row r="49" spans="1:9" ht="15.75" thickTop="1" x14ac:dyDescent="0.2">
      <c r="A49" s="167"/>
      <c r="B49" s="179"/>
      <c r="C49" s="229"/>
      <c r="D49" s="229"/>
      <c r="E49" s="229"/>
      <c r="F49" s="180"/>
      <c r="G49" s="247"/>
      <c r="H49" s="248"/>
      <c r="I49" s="157"/>
    </row>
    <row r="50" spans="1:9" ht="15.75" x14ac:dyDescent="0.25">
      <c r="A50" s="164" t="s">
        <v>16</v>
      </c>
      <c r="B50" s="165">
        <f>DATE(21,7,1)</f>
        <v>7853</v>
      </c>
      <c r="C50" s="226">
        <v>163880399.77000001</v>
      </c>
      <c r="D50" s="226">
        <v>16148799.359999999</v>
      </c>
      <c r="E50" s="226">
        <v>12124639.109999999</v>
      </c>
      <c r="F50" s="166">
        <f>(+D50-E50)/E50</f>
        <v>0.33189938384895978</v>
      </c>
      <c r="G50" s="241">
        <f>D50/C50</f>
        <v>9.854015112645706E-2</v>
      </c>
      <c r="H50" s="242">
        <f>1-G50</f>
        <v>0.90145984887354291</v>
      </c>
      <c r="I50" s="157"/>
    </row>
    <row r="51" spans="1:9" ht="15.75" x14ac:dyDescent="0.25">
      <c r="A51" s="164"/>
      <c r="B51" s="165">
        <f>DATE(21,8,1)</f>
        <v>7884</v>
      </c>
      <c r="C51" s="226">
        <v>145844596.15000001</v>
      </c>
      <c r="D51" s="226">
        <v>14007269.199999999</v>
      </c>
      <c r="E51" s="226">
        <v>12772714.18</v>
      </c>
      <c r="F51" s="166">
        <f>(+D51-E51)/E51</f>
        <v>9.6655652244462861E-2</v>
      </c>
      <c r="G51" s="241">
        <f>D51/C51</f>
        <v>9.6042428514757139E-2</v>
      </c>
      <c r="H51" s="242">
        <f>1-G51</f>
        <v>0.90395757148524281</v>
      </c>
      <c r="I51" s="157"/>
    </row>
    <row r="52" spans="1:9" ht="15.75" customHeight="1" thickBot="1" x14ac:dyDescent="0.3">
      <c r="A52" s="164"/>
      <c r="B52" s="165"/>
      <c r="C52" s="226"/>
      <c r="D52" s="226"/>
      <c r="E52" s="226"/>
      <c r="F52" s="166"/>
      <c r="G52" s="241"/>
      <c r="H52" s="242"/>
      <c r="I52" s="157"/>
    </row>
    <row r="53" spans="1:9" ht="17.25" thickTop="1" thickBot="1" x14ac:dyDescent="0.3">
      <c r="A53" s="174" t="s">
        <v>14</v>
      </c>
      <c r="B53" s="181"/>
      <c r="C53" s="228">
        <f>SUM(C50:C52)</f>
        <v>309724995.92000002</v>
      </c>
      <c r="D53" s="228">
        <f>SUM(D50:D52)</f>
        <v>30156068.559999999</v>
      </c>
      <c r="E53" s="228">
        <f>SUM(E50:E52)</f>
        <v>24897353.289999999</v>
      </c>
      <c r="F53" s="176">
        <f>(+D53-E53)/E53</f>
        <v>0.21121583522342344</v>
      </c>
      <c r="G53" s="245">
        <f>D53/C53</f>
        <v>9.7364013099508179E-2</v>
      </c>
      <c r="H53" s="246">
        <f>1-G53</f>
        <v>0.90263598690049185</v>
      </c>
      <c r="I53" s="157"/>
    </row>
    <row r="54" spans="1:9" ht="15.75" thickTop="1" x14ac:dyDescent="0.2">
      <c r="A54" s="171"/>
      <c r="B54" s="172"/>
      <c r="C54" s="227"/>
      <c r="D54" s="227"/>
      <c r="E54" s="227"/>
      <c r="F54" s="173"/>
      <c r="G54" s="243"/>
      <c r="H54" s="244"/>
      <c r="I54" s="157"/>
    </row>
    <row r="55" spans="1:9" ht="15.75" x14ac:dyDescent="0.25">
      <c r="A55" s="164" t="s">
        <v>54</v>
      </c>
      <c r="B55" s="165">
        <f>DATE(21,7,1)</f>
        <v>7853</v>
      </c>
      <c r="C55" s="226">
        <v>200357166.28999999</v>
      </c>
      <c r="D55" s="226">
        <v>17635283.719999999</v>
      </c>
      <c r="E55" s="226">
        <v>13113665.15</v>
      </c>
      <c r="F55" s="166">
        <f>(+D55-E55)/E55</f>
        <v>0.34480204567370687</v>
      </c>
      <c r="G55" s="241">
        <f>D55/C55</f>
        <v>8.80192310889166E-2</v>
      </c>
      <c r="H55" s="242">
        <f>1-G55</f>
        <v>0.91198076891108337</v>
      </c>
      <c r="I55" s="157"/>
    </row>
    <row r="56" spans="1:9" ht="15.75" x14ac:dyDescent="0.25">
      <c r="A56" s="164"/>
      <c r="B56" s="165">
        <f>DATE(21,8,1)</f>
        <v>7884</v>
      </c>
      <c r="C56" s="226">
        <v>187880345.88999999</v>
      </c>
      <c r="D56" s="226">
        <v>17152915.09</v>
      </c>
      <c r="E56" s="226">
        <v>13163225.939999999</v>
      </c>
      <c r="F56" s="166">
        <f>(+D56-E56)/E56</f>
        <v>0.30309357054156899</v>
      </c>
      <c r="G56" s="241">
        <f>D56/C56</f>
        <v>9.1297016772806411E-2</v>
      </c>
      <c r="H56" s="242">
        <f>1-G56</f>
        <v>0.90870298322719356</v>
      </c>
      <c r="I56" s="157"/>
    </row>
    <row r="57" spans="1:9" ht="15.75" thickBot="1" x14ac:dyDescent="0.25">
      <c r="A57" s="167"/>
      <c r="B57" s="168"/>
      <c r="C57" s="226"/>
      <c r="D57" s="226"/>
      <c r="E57" s="226"/>
      <c r="F57" s="166"/>
      <c r="G57" s="241"/>
      <c r="H57" s="242"/>
      <c r="I57" s="157"/>
    </row>
    <row r="58" spans="1:9" ht="17.25" thickTop="1" thickBot="1" x14ac:dyDescent="0.3">
      <c r="A58" s="174" t="s">
        <v>14</v>
      </c>
      <c r="B58" s="175"/>
      <c r="C58" s="228">
        <f>SUM(C55:C57)</f>
        <v>388237512.17999995</v>
      </c>
      <c r="D58" s="228">
        <f>SUM(D55:D57)</f>
        <v>34788198.810000002</v>
      </c>
      <c r="E58" s="228">
        <f>SUM(E55:E57)</f>
        <v>26276891.09</v>
      </c>
      <c r="F58" s="176">
        <f>(+D58-E58)/E58</f>
        <v>0.32390847497324704</v>
      </c>
      <c r="G58" s="249">
        <f>D58/C58</f>
        <v>8.9605454698749004E-2</v>
      </c>
      <c r="H58" s="270">
        <f>1-G58</f>
        <v>0.91039454530125097</v>
      </c>
      <c r="I58" s="157"/>
    </row>
    <row r="59" spans="1:9" ht="15.75" thickTop="1" x14ac:dyDescent="0.2">
      <c r="A59" s="167"/>
      <c r="B59" s="168"/>
      <c r="C59" s="226"/>
      <c r="D59" s="226"/>
      <c r="E59" s="226"/>
      <c r="F59" s="166"/>
      <c r="G59" s="241"/>
      <c r="H59" s="242"/>
      <c r="I59" s="157"/>
    </row>
    <row r="60" spans="1:9" ht="15.75" x14ac:dyDescent="0.25">
      <c r="A60" s="164" t="s">
        <v>55</v>
      </c>
      <c r="B60" s="165">
        <f>DATE(21,7,1)</f>
        <v>7853</v>
      </c>
      <c r="C60" s="226">
        <v>32852563.390000001</v>
      </c>
      <c r="D60" s="226">
        <v>3540868.12</v>
      </c>
      <c r="E60" s="226">
        <v>2784731.95</v>
      </c>
      <c r="F60" s="166">
        <f>(+D60-E60)/E60</f>
        <v>0.27152924718660976</v>
      </c>
      <c r="G60" s="241">
        <f>D60/C60</f>
        <v>0.10778057340505143</v>
      </c>
      <c r="H60" s="242">
        <f>1-G60</f>
        <v>0.89221942659494857</v>
      </c>
      <c r="I60" s="157"/>
    </row>
    <row r="61" spans="1:9" ht="15.75" x14ac:dyDescent="0.25">
      <c r="A61" s="164"/>
      <c r="B61" s="165">
        <f>DATE(21,8,1)</f>
        <v>7884</v>
      </c>
      <c r="C61" s="226">
        <v>29251271.52</v>
      </c>
      <c r="D61" s="226">
        <v>3115295.59</v>
      </c>
      <c r="E61" s="226">
        <v>2961173.82</v>
      </c>
      <c r="F61" s="166">
        <f>(+D61-E61)/E61</f>
        <v>5.2047525531615034E-2</v>
      </c>
      <c r="G61" s="241">
        <f>D61/C61</f>
        <v>0.10650120244755773</v>
      </c>
      <c r="H61" s="242">
        <f>1-G61</f>
        <v>0.89349879755244221</v>
      </c>
      <c r="I61" s="157"/>
    </row>
    <row r="62" spans="1:9" ht="15.75" thickBot="1" x14ac:dyDescent="0.25">
      <c r="A62" s="167"/>
      <c r="B62" s="168"/>
      <c r="C62" s="226"/>
      <c r="D62" s="226"/>
      <c r="E62" s="226"/>
      <c r="F62" s="166"/>
      <c r="G62" s="241"/>
      <c r="H62" s="242"/>
      <c r="I62" s="157"/>
    </row>
    <row r="63" spans="1:9" ht="17.25" thickTop="1" thickBot="1" x14ac:dyDescent="0.3">
      <c r="A63" s="182" t="s">
        <v>14</v>
      </c>
      <c r="B63" s="183"/>
      <c r="C63" s="230">
        <f>SUM(C60:C62)</f>
        <v>62103834.909999996</v>
      </c>
      <c r="D63" s="230">
        <f>SUM(D60:D62)</f>
        <v>6656163.71</v>
      </c>
      <c r="E63" s="230">
        <f>SUM(E60:E62)</f>
        <v>5745905.7699999996</v>
      </c>
      <c r="F63" s="176">
        <f>(+D63-E63)/E63</f>
        <v>0.15841852902505926</v>
      </c>
      <c r="G63" s="249">
        <f>D63/C63</f>
        <v>0.1071779821591697</v>
      </c>
      <c r="H63" s="246">
        <f>1-G63</f>
        <v>0.89282201784083026</v>
      </c>
      <c r="I63" s="157"/>
    </row>
    <row r="64" spans="1:9" ht="15.75" thickTop="1" x14ac:dyDescent="0.2">
      <c r="A64" s="167"/>
      <c r="B64" s="168"/>
      <c r="C64" s="226"/>
      <c r="D64" s="226"/>
      <c r="E64" s="226"/>
      <c r="F64" s="166"/>
      <c r="G64" s="241"/>
      <c r="H64" s="242"/>
      <c r="I64" s="157"/>
    </row>
    <row r="65" spans="1:9" ht="15.75" x14ac:dyDescent="0.25">
      <c r="A65" s="164" t="s">
        <v>37</v>
      </c>
      <c r="B65" s="165">
        <f>DATE(21,7,1)</f>
        <v>7853</v>
      </c>
      <c r="C65" s="226">
        <v>233748610.44</v>
      </c>
      <c r="D65" s="226">
        <v>21441670.739999998</v>
      </c>
      <c r="E65" s="226">
        <v>17781520.260000002</v>
      </c>
      <c r="F65" s="166">
        <f>(+D65-E65)/E65</f>
        <v>0.20584013214177202</v>
      </c>
      <c r="G65" s="241">
        <f>D65/C65</f>
        <v>9.1729617984205203E-2</v>
      </c>
      <c r="H65" s="242">
        <f>1-G65</f>
        <v>0.9082703820157948</v>
      </c>
      <c r="I65" s="157"/>
    </row>
    <row r="66" spans="1:9" ht="15.75" x14ac:dyDescent="0.25">
      <c r="A66" s="164"/>
      <c r="B66" s="165">
        <f>DATE(21,8,1)</f>
        <v>7884</v>
      </c>
      <c r="C66" s="226">
        <v>213172987.47</v>
      </c>
      <c r="D66" s="226">
        <v>19679228.600000001</v>
      </c>
      <c r="E66" s="226">
        <v>17286123.989999998</v>
      </c>
      <c r="F66" s="166">
        <f>(+D66-E66)/E66</f>
        <v>0.13844078703730295</v>
      </c>
      <c r="G66" s="241">
        <f>D66/C66</f>
        <v>9.2315770555917526E-2</v>
      </c>
      <c r="H66" s="242">
        <f>1-G66</f>
        <v>0.90768422944408245</v>
      </c>
      <c r="I66" s="157"/>
    </row>
    <row r="67" spans="1:9" ht="15.75" thickBot="1" x14ac:dyDescent="0.25">
      <c r="A67" s="167"/>
      <c r="B67" s="168"/>
      <c r="C67" s="226"/>
      <c r="D67" s="226"/>
      <c r="E67" s="226"/>
      <c r="F67" s="166"/>
      <c r="G67" s="241"/>
      <c r="H67" s="242"/>
      <c r="I67" s="157"/>
    </row>
    <row r="68" spans="1:9" ht="17.25" thickTop="1" thickBot="1" x14ac:dyDescent="0.3">
      <c r="A68" s="174" t="s">
        <v>14</v>
      </c>
      <c r="B68" s="175"/>
      <c r="C68" s="228">
        <f>SUM(C65:C67)</f>
        <v>446921597.90999997</v>
      </c>
      <c r="D68" s="228">
        <f>SUM(D65:D67)</f>
        <v>41120899.340000004</v>
      </c>
      <c r="E68" s="228">
        <f>SUM(E65:E67)</f>
        <v>35067644.25</v>
      </c>
      <c r="F68" s="176">
        <f>(+D68-E68)/E68</f>
        <v>0.17261653069267702</v>
      </c>
      <c r="G68" s="245">
        <f>D68/C68</f>
        <v>9.2009201462402435E-2</v>
      </c>
      <c r="H68" s="246">
        <f>1-G68</f>
        <v>0.90799079853759757</v>
      </c>
      <c r="I68" s="157"/>
    </row>
    <row r="69" spans="1:9" ht="15.75" thickTop="1" x14ac:dyDescent="0.2">
      <c r="A69" s="167"/>
      <c r="B69" s="168"/>
      <c r="C69" s="226"/>
      <c r="D69" s="226"/>
      <c r="E69" s="226"/>
      <c r="F69" s="166"/>
      <c r="G69" s="241"/>
      <c r="H69" s="242"/>
      <c r="I69" s="157"/>
    </row>
    <row r="70" spans="1:9" ht="15.75" x14ac:dyDescent="0.25">
      <c r="A70" s="164" t="s">
        <v>58</v>
      </c>
      <c r="B70" s="165">
        <f>DATE(21,7,1)</f>
        <v>7853</v>
      </c>
      <c r="C70" s="226">
        <v>34083326.159999996</v>
      </c>
      <c r="D70" s="226">
        <v>3963905.07</v>
      </c>
      <c r="E70" s="226">
        <v>3357321.79</v>
      </c>
      <c r="F70" s="166">
        <f>(+D70-E70)/E70</f>
        <v>0.18067475146610829</v>
      </c>
      <c r="G70" s="241">
        <f>D70/C70</f>
        <v>0.11630041772894856</v>
      </c>
      <c r="H70" s="242">
        <f>1-G70</f>
        <v>0.88369958227105139</v>
      </c>
      <c r="I70" s="157"/>
    </row>
    <row r="71" spans="1:9" ht="15.75" x14ac:dyDescent="0.25">
      <c r="A71" s="164"/>
      <c r="B71" s="165">
        <f>DATE(21,8,1)</f>
        <v>7884</v>
      </c>
      <c r="C71" s="226">
        <v>34540166.32</v>
      </c>
      <c r="D71" s="226">
        <v>3797696.16</v>
      </c>
      <c r="E71" s="226">
        <v>3360444.04</v>
      </c>
      <c r="F71" s="166">
        <f>(+D71-E71)/E71</f>
        <v>0.13011736389456438</v>
      </c>
      <c r="G71" s="241">
        <f>D71/C71</f>
        <v>0.10995014108548161</v>
      </c>
      <c r="H71" s="242">
        <f>1-G71</f>
        <v>0.89004985891451838</v>
      </c>
      <c r="I71" s="157"/>
    </row>
    <row r="72" spans="1:9" ht="15.75" thickBot="1" x14ac:dyDescent="0.25">
      <c r="A72" s="167"/>
      <c r="B72" s="168"/>
      <c r="C72" s="226"/>
      <c r="D72" s="226"/>
      <c r="E72" s="226"/>
      <c r="F72" s="166"/>
      <c r="G72" s="241"/>
      <c r="H72" s="242"/>
      <c r="I72" s="157"/>
    </row>
    <row r="73" spans="1:9" ht="17.25" thickTop="1" thickBot="1" x14ac:dyDescent="0.3">
      <c r="A73" s="169" t="s">
        <v>14</v>
      </c>
      <c r="B73" s="155"/>
      <c r="C73" s="223">
        <f>SUM(C70:C72)</f>
        <v>68623492.479999989</v>
      </c>
      <c r="D73" s="223">
        <f>SUM(D70:D72)</f>
        <v>7761601.2300000004</v>
      </c>
      <c r="E73" s="223">
        <f>SUM(E70:E72)</f>
        <v>6717765.8300000001</v>
      </c>
      <c r="F73" s="176">
        <f>(+D73-E73)/E73</f>
        <v>0.15538430877397827</v>
      </c>
      <c r="G73" s="245">
        <f>D73/C73</f>
        <v>0.11310414188351146</v>
      </c>
      <c r="H73" s="246">
        <f>1-G73</f>
        <v>0.88689585811648852</v>
      </c>
      <c r="I73" s="157"/>
    </row>
    <row r="74" spans="1:9" ht="16.5" thickTop="1" thickBot="1" x14ac:dyDescent="0.25">
      <c r="A74" s="171"/>
      <c r="B74" s="172"/>
      <c r="C74" s="227"/>
      <c r="D74" s="227"/>
      <c r="E74" s="227"/>
      <c r="F74" s="173"/>
      <c r="G74" s="243"/>
      <c r="H74" s="244"/>
      <c r="I74" s="157"/>
    </row>
    <row r="75" spans="1:9" ht="17.25" thickTop="1" thickBot="1" x14ac:dyDescent="0.3">
      <c r="A75" s="184" t="s">
        <v>38</v>
      </c>
      <c r="B75" s="155"/>
      <c r="C75" s="223">
        <f>C73+C68+C53+C43+C33+C23+C13+C28+C63+C18+C48+C58+C38</f>
        <v>2875070302.7399998</v>
      </c>
      <c r="D75" s="223">
        <f>D73+D68+D53+D43+D33+D23+D13+D28+D63+D18+D48+D58+D38</f>
        <v>277955988.69</v>
      </c>
      <c r="E75" s="223">
        <f>E73+E68+E53+E43+E33+E23+E13+E28+E63+E18+E48+E58+E38</f>
        <v>229193436.50999999</v>
      </c>
      <c r="F75" s="170">
        <f>(+D75-E75)/E75</f>
        <v>0.21275719288703296</v>
      </c>
      <c r="G75" s="236">
        <f>D75/C75</f>
        <v>9.6677979813259651E-2</v>
      </c>
      <c r="H75" s="237">
        <f>1-G75</f>
        <v>0.90332202018674035</v>
      </c>
      <c r="I75" s="157"/>
    </row>
    <row r="76" spans="1:9" ht="17.25" thickTop="1" thickBot="1" x14ac:dyDescent="0.3">
      <c r="A76" s="184"/>
      <c r="B76" s="155"/>
      <c r="C76" s="223"/>
      <c r="D76" s="223"/>
      <c r="E76" s="223"/>
      <c r="F76" s="170"/>
      <c r="G76" s="236"/>
      <c r="H76" s="237"/>
      <c r="I76" s="157"/>
    </row>
    <row r="77" spans="1:9" ht="17.25" thickTop="1" thickBot="1" x14ac:dyDescent="0.3">
      <c r="A77" s="184" t="s">
        <v>39</v>
      </c>
      <c r="B77" s="155"/>
      <c r="C77" s="223">
        <f>SUM(C11+C16+C21+C26+C31+C36+C41+C46+C51+C56+C61+C66+C71)</f>
        <v>1375537874.1399999</v>
      </c>
      <c r="D77" s="223">
        <f>SUM(D11+D16+D21+D26+D31+D36+D41+D46+D51+D56+D61+D66+D71)</f>
        <v>132953004.06</v>
      </c>
      <c r="E77" s="223">
        <f>SUM(E11+E16+E21+E26+E31+E36+E41+E46+E51+E56+E61+E66+E71)</f>
        <v>114455085.36999999</v>
      </c>
      <c r="F77" s="170">
        <f>(+D77-E77)/E77</f>
        <v>0.16161727222693184</v>
      </c>
      <c r="G77" s="236">
        <f>D77/C77</f>
        <v>9.6655284132487848E-2</v>
      </c>
      <c r="H77" s="246">
        <f>1-G77</f>
        <v>0.90334471586751219</v>
      </c>
      <c r="I77" s="157"/>
    </row>
    <row r="78" spans="1:9" ht="16.5" thickTop="1" x14ac:dyDescent="0.25">
      <c r="A78" s="185"/>
      <c r="B78" s="186"/>
      <c r="C78" s="231"/>
      <c r="D78" s="231"/>
      <c r="E78" s="231"/>
      <c r="F78" s="187"/>
      <c r="G78" s="250"/>
      <c r="H78" s="250"/>
      <c r="I78" s="151"/>
    </row>
    <row r="79" spans="1:9" ht="16.5" customHeight="1" x14ac:dyDescent="0.3">
      <c r="A79" s="188" t="s">
        <v>49</v>
      </c>
      <c r="B79" s="189"/>
      <c r="C79" s="232"/>
      <c r="D79" s="232"/>
      <c r="E79" s="232"/>
      <c r="F79" s="190"/>
      <c r="G79" s="251"/>
      <c r="H79" s="251"/>
      <c r="I79" s="151"/>
    </row>
    <row r="80" spans="1:9" ht="15.75" x14ac:dyDescent="0.25">
      <c r="A80" s="191"/>
      <c r="B80" s="189"/>
      <c r="C80" s="232"/>
      <c r="D80" s="232"/>
      <c r="E80" s="232"/>
      <c r="F80" s="190"/>
      <c r="G80" s="257"/>
      <c r="H80" s="257"/>
      <c r="I80" s="151"/>
    </row>
    <row r="81" spans="1:9" ht="15.75" x14ac:dyDescent="0.25">
      <c r="A81" s="72"/>
      <c r="I81" s="151"/>
    </row>
  </sheetData>
  <phoneticPr fontId="0" type="noConversion"/>
  <printOptions horizontalCentered="1"/>
  <pageMargins left="0.75" right="0.25" top="0.31940000000000002" bottom="0.2" header="0.5" footer="0.5"/>
  <pageSetup scale="65" orientation="landscape" r:id="rId1"/>
  <headerFooter alignWithMargins="0"/>
  <rowBreaks count="1" manualBreakCount="1">
    <brk id="5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7</vt:i4>
      </vt:variant>
    </vt:vector>
  </HeadingPairs>
  <TitlesOfParts>
    <vt:vector size="12" baseType="lpstr">
      <vt:lpstr>MONTHLY STATS</vt:lpstr>
      <vt:lpstr>YTD TAXES</vt:lpstr>
      <vt:lpstr>TABLE STATS</vt:lpstr>
      <vt:lpstr>HYBRID STATS</vt:lpstr>
      <vt:lpstr>SLOT STATS</vt:lpstr>
      <vt:lpstr>'MONTHLY STATS'!Print_Area</vt:lpstr>
      <vt:lpstr>'SLOT STATS'!Print_Area</vt:lpstr>
      <vt:lpstr>'TABLE STATS'!Print_Area</vt:lpstr>
      <vt:lpstr>'HYBRID STATS'!Print_Titles</vt:lpstr>
      <vt:lpstr>'MONTHLY STATS'!Print_Titles</vt:lpstr>
      <vt:lpstr>'SLOT STATS'!Print_Titles</vt:lpstr>
      <vt:lpstr>'TABLE STATS'!Print_Titles</vt:lpstr>
    </vt:vector>
  </TitlesOfParts>
  <Company>MGC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Bruns</dc:creator>
  <cp:lastModifiedBy>webteam-prod</cp:lastModifiedBy>
  <cp:lastPrinted>2021-09-08T19:37:21Z</cp:lastPrinted>
  <dcterms:created xsi:type="dcterms:W3CDTF">2003-09-09T14:41:43Z</dcterms:created>
  <dcterms:modified xsi:type="dcterms:W3CDTF">2021-09-09T18:09:03Z</dcterms:modified>
</cp:coreProperties>
</file>