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STATS'!$A$1:$M$208</definedName>
    <definedName name="_xlnm.Print_Area" localSheetId="4">'SLOT STATS'!$A$1:$I$209</definedName>
    <definedName name="_xlnm.Print_Area" localSheetId="2">'TABLE STATS'!$A$1:$H$208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<sst xmlns="http://schemas.openxmlformats.org/spreadsheetml/2006/main" count="241" uniqueCount="79">
  <si>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</si>
  <si>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</si>
  <si>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</si>
  <si>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</si>
  <si>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</si>
  <si>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</si>
  <si>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</si>
  <si>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</si>
  <si>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</si>
  <si>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</si>
  <si>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</si>
  <si>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</si>
  <si>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</si>
  <si>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</si>
  <si>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</si>
  <si>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</si>
  <si>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</si>
  <si>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</si>
  <si>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</si>
  <si>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</si>
  <si>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</si>
  <si>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</si>
  <si>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</si>
  <si>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</si>
  <si>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</si>
  <si>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</si>
  <si>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</si>
  <si>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</si>
  <si>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</si>
  <si>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</si>
  <si>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</si>
  <si>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</si>
  <si>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</si>
  <si>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</si>
  <si>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</si>
  <si>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</si>
  <si>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</si>
  <si>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</si>
  <si>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</si>
  <si>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</si>
  <si>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</si>
  <si>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</si>
  <si>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</si>
  <si>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</si>
  <si>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</si>
  <si>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</si>
  <si>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</si>
  <si>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</si>
  <si>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</si>
  <si>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</si>
  <si>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</si>
  <si>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</si>
  <si>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</si>
  <si>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</si>
  <si>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</si>
  <si>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</si>
  <si>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</si>
  <si>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</si>
  <si>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</si>
  <si>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</si>
  <si>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</si>
  <si>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</si>
  <si>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</si>
  <si>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</si>
  <si>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</si>
  <si>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</si>
  <si>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</si>
  <si>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</si>
  <si>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</si>
  <si>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</si>
  <si>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HORSESHOE ST. LOUIS</t>
  </si>
  <si>
    <t>HORSESHOE STL</t>
  </si>
  <si>
    <t>MONTH ENDED:  JUNE 30, 2022</t>
  </si>
  <si>
    <t>(as reported on the tax remittal database dtd 7/8/22)</t>
  </si>
  <si>
    <t>FOR THE MONTH ENDED:   JUNE 30, 2022</t>
  </si>
  <si>
    <t>THRU MONTH ENDED:   JUNE 30, 2022</t>
  </si>
  <si>
    <t>(as reported on the tax remittal database as of 7/8/22)</t>
  </si>
  <si>
    <t>THRU MONTH ENDED:    JUNE 30, 2022</t>
  </si>
  <si>
    <t>THRU MONTH ENDED:     JUNE 30,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</si>
</sst>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aca="true" t="shared" si="0" ref="E9:E20">(+C9-D9)/D9</f>
        <v>0.23612431172444553</v>
      </c>
      <c r="F9" s="21">
        <f>+C9-107437</f>
        <v>125366</v>
      </c>
      <c r="G9" s="21">
        <f>+D9-87391</f>
        <v>100942</v>
      </c>
      <c r="H9" s="23">
        <f aca="true" t="shared" si="1" ref="H9:H20">(+F9-G9)/G9</f>
        <v>0.24196072992411483</v>
      </c>
      <c r="I9" s="24">
        <f aca="true" t="shared" si="2" ref="I9:I20">K9/C9</f>
        <v>68.46766841492592</v>
      </c>
      <c r="J9" s="24">
        <f aca="true" t="shared" si="3" ref="J9:J20">K9/F9</f>
        <v>127.14355255810985</v>
      </c>
      <c r="K9" s="21">
        <v>15939478.61</v>
      </c>
      <c r="L9" s="21">
        <v>13615214.89</v>
      </c>
      <c r="M9" s="25">
        <f aca="true" t="shared" si="4" ref="M9:M20">(+K9-L9)/L9</f>
        <v>0.17071076283247694</v>
      </c>
      <c r="N9" s="10"/>
      <c r="R9" s="2"/>
    </row>
    <row r="10" spans="1:18" ht="15">
      <c r="A10" s="19"/>
      <c r="B10" s="20">
        <f>DATE(2021,8,1)</f>
        <v>44409</v>
      </c>
      <c r="C10" s="21">
        <v>224849</v>
      </c>
      <c r="D10" s="22">
        <v>193126</v>
      </c>
      <c r="E10" s="23">
        <f t="shared" si="0"/>
        <v>0.16426063813261807</v>
      </c>
      <c r="F10" s="21">
        <f>+C10-102898</f>
        <v>121951</v>
      </c>
      <c r="G10" s="21">
        <f>+D10-88951</f>
        <v>104175</v>
      </c>
      <c r="H10" s="23">
        <f t="shared" si="1"/>
        <v>0.17063594912407007</v>
      </c>
      <c r="I10" s="24">
        <f t="shared" si="2"/>
        <v>67.05209771891357</v>
      </c>
      <c r="J10" s="24">
        <f t="shared" si="3"/>
        <v>123.62831891497405</v>
      </c>
      <c r="K10" s="21">
        <v>15076597.12</v>
      </c>
      <c r="L10" s="21">
        <v>12620487.54</v>
      </c>
      <c r="M10" s="25">
        <f t="shared" si="4"/>
        <v>0.19461289211018865</v>
      </c>
      <c r="N10" s="10"/>
      <c r="R10" s="2"/>
    </row>
    <row r="11" spans="1:18" ht="1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0.047246815820771115</v>
      </c>
      <c r="F11" s="21">
        <f>+C11-93968</f>
        <v>112082</v>
      </c>
      <c r="G11" s="21">
        <f>+D11-92272</f>
        <v>104482</v>
      </c>
      <c r="H11" s="23">
        <f t="shared" si="1"/>
        <v>0.07273980207117016</v>
      </c>
      <c r="I11" s="24">
        <f t="shared" si="2"/>
        <v>67.3449780150449</v>
      </c>
      <c r="J11" s="24">
        <f t="shared" si="3"/>
        <v>123.8060769793544</v>
      </c>
      <c r="K11" s="21">
        <v>13876432.72</v>
      </c>
      <c r="L11" s="21">
        <v>12429246.59</v>
      </c>
      <c r="M11" s="25">
        <f t="shared" si="4"/>
        <v>0.11643393825369433</v>
      </c>
      <c r="N11" s="10"/>
      <c r="R11" s="2"/>
    </row>
    <row r="12" spans="1:18" ht="1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0.0770800728068411</v>
      </c>
      <c r="F12" s="21">
        <f>+C12-100658</f>
        <v>118880</v>
      </c>
      <c r="G12" s="21">
        <f>+D12-94349</f>
        <v>109478</v>
      </c>
      <c r="H12" s="23">
        <f t="shared" si="1"/>
        <v>0.08588026818173514</v>
      </c>
      <c r="I12" s="24">
        <f t="shared" si="2"/>
        <v>69.45936881086645</v>
      </c>
      <c r="J12" s="24">
        <f t="shared" si="3"/>
        <v>128.27196256729476</v>
      </c>
      <c r="K12" s="21">
        <v>15248970.91</v>
      </c>
      <c r="L12" s="21">
        <v>12927551.64</v>
      </c>
      <c r="M12" s="25">
        <f t="shared" si="4"/>
        <v>0.17957145596055027</v>
      </c>
      <c r="N12" s="10"/>
      <c r="R12" s="2"/>
    </row>
    <row r="13" spans="1:18" ht="1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0.06440988009389473</v>
      </c>
      <c r="F13" s="21">
        <f>+C13-92874</f>
        <v>108457</v>
      </c>
      <c r="G13" s="21">
        <f>+D13-86903</f>
        <v>102245</v>
      </c>
      <c r="H13" s="23">
        <f t="shared" si="1"/>
        <v>0.06075602718959362</v>
      </c>
      <c r="I13" s="24">
        <f t="shared" si="2"/>
        <v>67.22143206957696</v>
      </c>
      <c r="J13" s="24">
        <f t="shared" si="3"/>
        <v>124.78455185004196</v>
      </c>
      <c r="K13" s="21">
        <v>13533758.14</v>
      </c>
      <c r="L13" s="21">
        <v>11277470.82</v>
      </c>
      <c r="M13" s="25">
        <f t="shared" si="4"/>
        <v>0.2000703310177131</v>
      </c>
      <c r="N13" s="10"/>
      <c r="R13" s="2"/>
    </row>
    <row r="14" spans="1:18" ht="1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0.0846865501132214</v>
      </c>
      <c r="F14" s="21">
        <f>+C14-99427</f>
        <v>113254</v>
      </c>
      <c r="G14" s="21">
        <f>+D14-87128</f>
        <v>108948</v>
      </c>
      <c r="H14" s="23">
        <f t="shared" si="1"/>
        <v>0.03952344237617946</v>
      </c>
      <c r="I14" s="24">
        <f t="shared" si="2"/>
        <v>68.6965723313319</v>
      </c>
      <c r="J14" s="24">
        <f t="shared" si="3"/>
        <v>129.00608985113107</v>
      </c>
      <c r="K14" s="21">
        <v>14610455.7</v>
      </c>
      <c r="L14" s="21">
        <v>12509643.11</v>
      </c>
      <c r="M14" s="25">
        <f t="shared" si="4"/>
        <v>0.16793545359584602</v>
      </c>
      <c r="N14" s="10"/>
      <c r="R14" s="2"/>
    </row>
    <row r="15" spans="1:18" ht="15">
      <c r="A15" s="19"/>
      <c r="B15" s="20">
        <f>DATE(2022,1,1)</f>
        <v>44562</v>
      </c>
      <c r="C15" s="21">
        <v>183563</v>
      </c>
      <c r="D15" s="22">
        <v>210729</v>
      </c>
      <c r="E15" s="23">
        <f t="shared" si="0"/>
        <v>-0.12891438767326757</v>
      </c>
      <c r="F15" s="21">
        <f>+C15-87679</f>
        <v>95884</v>
      </c>
      <c r="G15" s="21">
        <f>+D15-99046</f>
        <v>111683</v>
      </c>
      <c r="H15" s="23">
        <f t="shared" si="1"/>
        <v>-0.1414628905025832</v>
      </c>
      <c r="I15" s="24">
        <f t="shared" si="2"/>
        <v>69.31889345892145</v>
      </c>
      <c r="J15" s="24">
        <f t="shared" si="3"/>
        <v>132.7060201910642</v>
      </c>
      <c r="K15" s="21">
        <v>12724384.04</v>
      </c>
      <c r="L15" s="21">
        <v>12803823.94</v>
      </c>
      <c r="M15" s="25">
        <f t="shared" si="4"/>
        <v>-0.006204388655472279</v>
      </c>
      <c r="N15" s="10"/>
      <c r="R15" s="2"/>
    </row>
    <row r="16" spans="1:18" ht="15">
      <c r="A16" s="19"/>
      <c r="B16" s="20">
        <f>DATE(2022,2,1)</f>
        <v>44593</v>
      </c>
      <c r="C16" s="21">
        <v>198133</v>
      </c>
      <c r="D16" s="22">
        <v>178806</v>
      </c>
      <c r="E16" s="23">
        <f t="shared" si="0"/>
        <v>0.10808921400847846</v>
      </c>
      <c r="F16" s="21">
        <f>+C16-96112</f>
        <v>102021</v>
      </c>
      <c r="G16" s="21">
        <f>+D16-83686</f>
        <v>95120</v>
      </c>
      <c r="H16" s="23">
        <f t="shared" si="1"/>
        <v>0.07255046257359125</v>
      </c>
      <c r="I16" s="24">
        <f t="shared" si="2"/>
        <v>70.47199391317953</v>
      </c>
      <c r="J16" s="24">
        <f t="shared" si="3"/>
        <v>136.86228884249323</v>
      </c>
      <c r="K16" s="21">
        <v>13962827.57</v>
      </c>
      <c r="L16" s="21">
        <v>11350808.92</v>
      </c>
      <c r="M16" s="25">
        <f t="shared" si="4"/>
        <v>0.23011740118342158</v>
      </c>
      <c r="N16" s="10"/>
      <c r="R16" s="2"/>
    </row>
    <row r="17" spans="1:18" ht="15">
      <c r="A17" s="19"/>
      <c r="B17" s="20">
        <f>DATE(2022,3,1)</f>
        <v>44621</v>
      </c>
      <c r="C17" s="21">
        <v>229277</v>
      </c>
      <c r="D17" s="22">
        <v>244635</v>
      </c>
      <c r="E17" s="23">
        <f t="shared" si="0"/>
        <v>-0.06277924254501605</v>
      </c>
      <c r="F17" s="21">
        <f>+C17-111679</f>
        <v>117598</v>
      </c>
      <c r="G17" s="21">
        <f>+D17-117147</f>
        <v>127488</v>
      </c>
      <c r="H17" s="23">
        <f t="shared" si="1"/>
        <v>-0.07757592871485944</v>
      </c>
      <c r="I17" s="24">
        <f t="shared" si="2"/>
        <v>69.01812105008352</v>
      </c>
      <c r="J17" s="24">
        <f t="shared" si="3"/>
        <v>134.56238830592358</v>
      </c>
      <c r="K17" s="21">
        <v>15824267.74</v>
      </c>
      <c r="L17" s="21">
        <v>16347135.13</v>
      </c>
      <c r="M17" s="25">
        <f t="shared" si="4"/>
        <v>-0.0319852613832281</v>
      </c>
      <c r="N17" s="10"/>
      <c r="R17" s="2"/>
    </row>
    <row r="18" spans="1:18" ht="15">
      <c r="A18" s="19"/>
      <c r="B18" s="20">
        <f>DATE(2022,4,1)</f>
        <v>44652</v>
      </c>
      <c r="C18" s="21">
        <v>223384</v>
      </c>
      <c r="D18" s="22">
        <v>229780</v>
      </c>
      <c r="E18" s="23">
        <f t="shared" si="0"/>
        <v>-0.027835320741578903</v>
      </c>
      <c r="F18" s="21">
        <f>+C18-106932</f>
        <v>116452</v>
      </c>
      <c r="G18" s="21">
        <f>+D18-108785</f>
        <v>120995</v>
      </c>
      <c r="H18" s="23">
        <f t="shared" si="1"/>
        <v>-0.037547006074631184</v>
      </c>
      <c r="I18" s="24">
        <f t="shared" si="2"/>
        <v>70.54788704652078</v>
      </c>
      <c r="J18" s="24">
        <f t="shared" si="3"/>
        <v>135.32845464225602</v>
      </c>
      <c r="K18" s="21">
        <v>15759269.2</v>
      </c>
      <c r="L18" s="21">
        <v>15103478.04</v>
      </c>
      <c r="M18" s="25">
        <f t="shared" si="4"/>
        <v>0.04341987708150435</v>
      </c>
      <c r="N18" s="10"/>
      <c r="R18" s="2"/>
    </row>
    <row r="19" spans="1:18" ht="15">
      <c r="A19" s="19"/>
      <c r="B19" s="20">
        <f>DATE(2022,5,1)</f>
        <v>44682</v>
      </c>
      <c r="C19" s="21">
        <v>217212</v>
      </c>
      <c r="D19" s="22">
        <v>235364</v>
      </c>
      <c r="E19" s="23">
        <f t="shared" si="0"/>
        <v>-0.07712309444095104</v>
      </c>
      <c r="F19" s="21">
        <f>+C19-103362</f>
        <v>113850</v>
      </c>
      <c r="G19" s="21">
        <f>+D19-110943</f>
        <v>124421</v>
      </c>
      <c r="H19" s="23">
        <f t="shared" si="1"/>
        <v>-0.08496154186190434</v>
      </c>
      <c r="I19" s="24">
        <f t="shared" si="2"/>
        <v>71.43910373275878</v>
      </c>
      <c r="J19" s="24">
        <f t="shared" si="3"/>
        <v>136.2971506368028</v>
      </c>
      <c r="K19" s="21">
        <v>15517430.6</v>
      </c>
      <c r="L19" s="21">
        <v>15428412.85</v>
      </c>
      <c r="M19" s="25">
        <f t="shared" si="4"/>
        <v>0.005769728284137795</v>
      </c>
      <c r="N19" s="10"/>
      <c r="R19" s="2"/>
    </row>
    <row r="20" spans="1:18" ht="15">
      <c r="A20" s="19"/>
      <c r="B20" s="20">
        <f>DATE(2022,6,1)</f>
        <v>44713</v>
      </c>
      <c r="C20" s="21">
        <v>196155</v>
      </c>
      <c r="D20" s="22">
        <v>217820</v>
      </c>
      <c r="E20" s="23">
        <f t="shared" si="0"/>
        <v>-0.09946285924157561</v>
      </c>
      <c r="F20" s="21">
        <f>+C20-89130</f>
        <v>107025</v>
      </c>
      <c r="G20" s="21">
        <f>+D20-99661</f>
        <v>118159</v>
      </c>
      <c r="H20" s="23">
        <f t="shared" si="1"/>
        <v>-0.09422896266894608</v>
      </c>
      <c r="I20" s="24">
        <f t="shared" si="2"/>
        <v>76.44834605286636</v>
      </c>
      <c r="J20" s="24">
        <f t="shared" si="3"/>
        <v>140.11422863816867</v>
      </c>
      <c r="K20" s="21">
        <v>14995725.32</v>
      </c>
      <c r="L20" s="21">
        <v>13739877.8</v>
      </c>
      <c r="M20" s="25">
        <f t="shared" si="4"/>
        <v>0.09140165133055256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6.5" thickBot="1" thickTop="1">
      <c r="A22" s="26" t="s">
        <v>14</v>
      </c>
      <c r="B22" s="27"/>
      <c r="C22" s="28">
        <f>SUM(C9:C21)</f>
        <v>2544976</v>
      </c>
      <c r="D22" s="28">
        <f>SUM(D9:D21)</f>
        <v>2484398</v>
      </c>
      <c r="E22" s="279">
        <f>(+C22-D22)/D22</f>
        <v>0.0243833717463949</v>
      </c>
      <c r="F22" s="28">
        <f>SUM(F9:F21)</f>
        <v>1352820</v>
      </c>
      <c r="G22" s="28">
        <f>SUM(G9:G21)</f>
        <v>1328136</v>
      </c>
      <c r="H22" s="30">
        <f>(+F22-G22)/G22</f>
        <v>0.018585446068776088</v>
      </c>
      <c r="I22" s="31">
        <f>K22/C22</f>
        <v>69.57613654116973</v>
      </c>
      <c r="J22" s="31">
        <f>K22/F22</f>
        <v>130.88925183690364</v>
      </c>
      <c r="K22" s="28">
        <f>SUM(K9:K21)</f>
        <v>177069597.67</v>
      </c>
      <c r="L22" s="28">
        <f>SUM(L9:L21)</f>
        <v>160153151.27</v>
      </c>
      <c r="M22" s="32">
        <f>(+K22-L22)/L22</f>
        <v>0.1056266846194039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">
      <c r="A24" s="19" t="s">
        <v>15</v>
      </c>
      <c r="B24" s="20">
        <f>DATE(2021,7,1)</f>
        <v>44378</v>
      </c>
      <c r="C24" s="21">
        <v>116107</v>
      </c>
      <c r="D24" s="21">
        <v>79471</v>
      </c>
      <c r="E24" s="23">
        <f aca="true" t="shared" si="5" ref="E24:E35">(+C24-D24)/D24</f>
        <v>0.4609983515999547</v>
      </c>
      <c r="F24" s="21">
        <f>+C24-56210</f>
        <v>59897</v>
      </c>
      <c r="G24" s="21">
        <f>+D24-38596</f>
        <v>40875</v>
      </c>
      <c r="H24" s="23">
        <f aca="true" t="shared" si="6" ref="H24:H35">(+F24-G24)/G24</f>
        <v>0.46537003058103976</v>
      </c>
      <c r="I24" s="24">
        <f aca="true" t="shared" si="7" ref="I24:I35">K24/C24</f>
        <v>69.40955885519392</v>
      </c>
      <c r="J24" s="24">
        <f aca="true" t="shared" si="8" ref="J24:J35">K24/F24</f>
        <v>134.54656577124064</v>
      </c>
      <c r="K24" s="21">
        <v>8058935.65</v>
      </c>
      <c r="L24" s="21">
        <v>5613318.03</v>
      </c>
      <c r="M24" s="25">
        <f aca="true" t="shared" si="9" ref="M24:M35">(+K24-L24)/L24</f>
        <v>0.43568128634963516</v>
      </c>
      <c r="N24" s="10"/>
      <c r="R24" s="2"/>
    </row>
    <row r="25" spans="1:18" ht="15">
      <c r="A25" s="19"/>
      <c r="B25" s="20">
        <f>DATE(2021,8,1)</f>
        <v>44409</v>
      </c>
      <c r="C25" s="21">
        <v>103353</v>
      </c>
      <c r="D25" s="21">
        <v>88234</v>
      </c>
      <c r="E25" s="23">
        <f t="shared" si="5"/>
        <v>0.171351179817304</v>
      </c>
      <c r="F25" s="21">
        <f>+C25-50446</f>
        <v>52907</v>
      </c>
      <c r="G25" s="21">
        <f>+D25-41802</f>
        <v>46432</v>
      </c>
      <c r="H25" s="23">
        <f t="shared" si="6"/>
        <v>0.1394512405237767</v>
      </c>
      <c r="I25" s="24">
        <f t="shared" si="7"/>
        <v>69.56882344973054</v>
      </c>
      <c r="J25" s="24">
        <f t="shared" si="8"/>
        <v>135.90161245203848</v>
      </c>
      <c r="K25" s="21">
        <v>7190146.61</v>
      </c>
      <c r="L25" s="21">
        <v>5994552.23</v>
      </c>
      <c r="M25" s="25">
        <f t="shared" si="9"/>
        <v>0.19944682006715952</v>
      </c>
      <c r="N25" s="10"/>
      <c r="R25" s="2"/>
    </row>
    <row r="26" spans="1:18" ht="15">
      <c r="A26" s="19"/>
      <c r="B26" s="20">
        <f>DATE(2021,9,1)</f>
        <v>44440</v>
      </c>
      <c r="C26" s="21">
        <v>103596</v>
      </c>
      <c r="D26" s="21">
        <v>90948</v>
      </c>
      <c r="E26" s="23">
        <f t="shared" si="5"/>
        <v>0.1390684786911202</v>
      </c>
      <c r="F26" s="21">
        <f>+C26-49808</f>
        <v>53788</v>
      </c>
      <c r="G26" s="21">
        <f>+D26-42310</f>
        <v>48638</v>
      </c>
      <c r="H26" s="23">
        <f t="shared" si="6"/>
        <v>0.10588428800526338</v>
      </c>
      <c r="I26" s="24">
        <f t="shared" si="7"/>
        <v>73.64861683848798</v>
      </c>
      <c r="J26" s="24">
        <f t="shared" si="8"/>
        <v>141.847663233435</v>
      </c>
      <c r="K26" s="21">
        <v>7629702.11</v>
      </c>
      <c r="L26" s="21">
        <v>5908744.66</v>
      </c>
      <c r="M26" s="25">
        <f t="shared" si="9"/>
        <v>0.2912560195146426</v>
      </c>
      <c r="N26" s="10"/>
      <c r="R26" s="2"/>
    </row>
    <row r="27" spans="1:18" ht="15">
      <c r="A27" s="19"/>
      <c r="B27" s="20">
        <f>DATE(2021,10,1)</f>
        <v>44470</v>
      </c>
      <c r="C27" s="21">
        <v>110079</v>
      </c>
      <c r="D27" s="21">
        <v>87099</v>
      </c>
      <c r="E27" s="23">
        <f t="shared" si="5"/>
        <v>0.26383770192539524</v>
      </c>
      <c r="F27" s="21">
        <f>+C27-53226</f>
        <v>56853</v>
      </c>
      <c r="G27" s="21">
        <f>+D27-41806</f>
        <v>45293</v>
      </c>
      <c r="H27" s="23">
        <f t="shared" si="6"/>
        <v>0.2552270770317709</v>
      </c>
      <c r="I27" s="24">
        <f t="shared" si="7"/>
        <v>71.212890378728</v>
      </c>
      <c r="J27" s="24">
        <f t="shared" si="8"/>
        <v>137.88267567234797</v>
      </c>
      <c r="K27" s="21">
        <v>7839043.76</v>
      </c>
      <c r="L27" s="21">
        <v>5716409.89</v>
      </c>
      <c r="M27" s="25">
        <f t="shared" si="9"/>
        <v>0.371322895111708</v>
      </c>
      <c r="N27" s="10"/>
      <c r="R27" s="2"/>
    </row>
    <row r="28" spans="1:18" ht="15">
      <c r="A28" s="19"/>
      <c r="B28" s="20">
        <f>DATE(2021,11,1)</f>
        <v>44501</v>
      </c>
      <c r="C28" s="21">
        <v>95314</v>
      </c>
      <c r="D28" s="21">
        <v>77783</v>
      </c>
      <c r="E28" s="23">
        <f t="shared" si="5"/>
        <v>0.22538343854055515</v>
      </c>
      <c r="F28" s="21">
        <f>+C28-46228</f>
        <v>49086</v>
      </c>
      <c r="G28" s="21">
        <f>+D28-37695</f>
        <v>40088</v>
      </c>
      <c r="H28" s="23">
        <f t="shared" si="6"/>
        <v>0.2244561963679904</v>
      </c>
      <c r="I28" s="24">
        <f t="shared" si="7"/>
        <v>71.30182491554231</v>
      </c>
      <c r="J28" s="24">
        <f t="shared" si="8"/>
        <v>138.4521480666585</v>
      </c>
      <c r="K28" s="21">
        <v>6796062.14</v>
      </c>
      <c r="L28" s="21">
        <v>5349459.87</v>
      </c>
      <c r="M28" s="25">
        <f t="shared" si="9"/>
        <v>0.27042024898861416</v>
      </c>
      <c r="N28" s="10"/>
      <c r="R28" s="2"/>
    </row>
    <row r="29" spans="1:18" ht="15">
      <c r="A29" s="19"/>
      <c r="B29" s="20">
        <f>DATE(2021,12,1)</f>
        <v>44531</v>
      </c>
      <c r="C29" s="21">
        <v>104553</v>
      </c>
      <c r="D29" s="21">
        <v>82440</v>
      </c>
      <c r="E29" s="23">
        <f t="shared" si="5"/>
        <v>0.2682314410480349</v>
      </c>
      <c r="F29" s="21">
        <f>+C29-51073</f>
        <v>53480</v>
      </c>
      <c r="G29" s="21">
        <f>+D29-39978</f>
        <v>42462</v>
      </c>
      <c r="H29" s="23">
        <f t="shared" si="6"/>
        <v>0.2594790636333663</v>
      </c>
      <c r="I29" s="24">
        <f t="shared" si="7"/>
        <v>70.66472411121633</v>
      </c>
      <c r="J29" s="24">
        <f t="shared" si="8"/>
        <v>138.14900710546</v>
      </c>
      <c r="K29" s="21">
        <v>7388208.9</v>
      </c>
      <c r="L29" s="21">
        <v>5764475.49</v>
      </c>
      <c r="M29" s="25">
        <f t="shared" si="9"/>
        <v>0.28167929811078096</v>
      </c>
      <c r="N29" s="10"/>
      <c r="R29" s="2"/>
    </row>
    <row r="30" spans="1:18" ht="15">
      <c r="A30" s="19"/>
      <c r="B30" s="20">
        <f>DATE(2022,1,1)</f>
        <v>44562</v>
      </c>
      <c r="C30" s="21">
        <v>85873</v>
      </c>
      <c r="D30" s="21">
        <v>104157</v>
      </c>
      <c r="E30" s="23">
        <f t="shared" si="5"/>
        <v>-0.17554269036166556</v>
      </c>
      <c r="F30" s="21">
        <f>+C30-42515</f>
        <v>43358</v>
      </c>
      <c r="G30" s="21">
        <f>+D30-51234</f>
        <v>52923</v>
      </c>
      <c r="H30" s="23">
        <f t="shared" si="6"/>
        <v>-0.18073427432307315</v>
      </c>
      <c r="I30" s="24">
        <f t="shared" si="7"/>
        <v>77.58539599175526</v>
      </c>
      <c r="J30" s="24">
        <f t="shared" si="8"/>
        <v>153.66231629687715</v>
      </c>
      <c r="K30" s="21">
        <v>6662490.71</v>
      </c>
      <c r="L30" s="21">
        <v>7090798.8</v>
      </c>
      <c r="M30" s="25">
        <f t="shared" si="9"/>
        <v>-0.060403362453324706</v>
      </c>
      <c r="N30" s="10"/>
      <c r="R30" s="2"/>
    </row>
    <row r="31" spans="1:18" ht="15">
      <c r="A31" s="19"/>
      <c r="B31" s="20">
        <f>DATE(2022,2,1)</f>
        <v>44593</v>
      </c>
      <c r="C31" s="21">
        <v>95434</v>
      </c>
      <c r="D31" s="21">
        <v>88005</v>
      </c>
      <c r="E31" s="23">
        <f t="shared" si="5"/>
        <v>0.08441565820123857</v>
      </c>
      <c r="F31" s="21">
        <f>+C31-47101</f>
        <v>48333</v>
      </c>
      <c r="G31" s="21">
        <f>+D31-42481</f>
        <v>45524</v>
      </c>
      <c r="H31" s="23">
        <f t="shared" si="6"/>
        <v>0.06170371672085054</v>
      </c>
      <c r="I31" s="24">
        <f t="shared" si="7"/>
        <v>69.15959940901566</v>
      </c>
      <c r="J31" s="24">
        <f t="shared" si="8"/>
        <v>136.55633231953323</v>
      </c>
      <c r="K31" s="21">
        <v>6600177.21</v>
      </c>
      <c r="L31" s="21">
        <v>5981667.35</v>
      </c>
      <c r="M31" s="25">
        <f t="shared" si="9"/>
        <v>0.10340091212193543</v>
      </c>
      <c r="N31" s="10"/>
      <c r="R31" s="2"/>
    </row>
    <row r="32" spans="1:18" ht="15">
      <c r="A32" s="19"/>
      <c r="B32" s="20">
        <f>DATE(2022,3,1)</f>
        <v>44621</v>
      </c>
      <c r="C32" s="21">
        <v>109835</v>
      </c>
      <c r="D32" s="21">
        <v>126994</v>
      </c>
      <c r="E32" s="23">
        <f t="shared" si="5"/>
        <v>-0.13511661968281966</v>
      </c>
      <c r="F32" s="21">
        <f>+C32-53778</f>
        <v>56057</v>
      </c>
      <c r="G32" s="21">
        <f>+D32-62056</f>
        <v>64938</v>
      </c>
      <c r="H32" s="23">
        <f t="shared" si="6"/>
        <v>-0.13676121839292865</v>
      </c>
      <c r="I32" s="24">
        <f t="shared" si="7"/>
        <v>72.31004042427277</v>
      </c>
      <c r="J32" s="24">
        <f t="shared" si="8"/>
        <v>141.68031271741265</v>
      </c>
      <c r="K32" s="21">
        <v>7942173.29</v>
      </c>
      <c r="L32" s="21">
        <v>8861243.96</v>
      </c>
      <c r="M32" s="25">
        <f t="shared" si="9"/>
        <v>-0.10371801906693028</v>
      </c>
      <c r="N32" s="10"/>
      <c r="R32" s="2"/>
    </row>
    <row r="33" spans="1:18" ht="15">
      <c r="A33" s="19"/>
      <c r="B33" s="20">
        <f>DATE(2022,4,1)</f>
        <v>44652</v>
      </c>
      <c r="C33" s="21">
        <v>109068</v>
      </c>
      <c r="D33" s="21">
        <v>116595</v>
      </c>
      <c r="E33" s="23">
        <f t="shared" si="5"/>
        <v>-0.06455679917663708</v>
      </c>
      <c r="F33" s="21">
        <f>+C33-53446</f>
        <v>55622</v>
      </c>
      <c r="G33" s="21">
        <f>+D33-57638</f>
        <v>58957</v>
      </c>
      <c r="H33" s="23">
        <f t="shared" si="6"/>
        <v>-0.05656665027053615</v>
      </c>
      <c r="I33" s="24">
        <f t="shared" si="7"/>
        <v>76.367264092126</v>
      </c>
      <c r="J33" s="24">
        <f t="shared" si="8"/>
        <v>149.74694832979756</v>
      </c>
      <c r="K33" s="21">
        <v>8329224.76</v>
      </c>
      <c r="L33" s="21">
        <v>8441142.62</v>
      </c>
      <c r="M33" s="25">
        <f t="shared" si="9"/>
        <v>-0.013258614981202559</v>
      </c>
      <c r="N33" s="10"/>
      <c r="R33" s="2"/>
    </row>
    <row r="34" spans="1:18" ht="15">
      <c r="A34" s="19"/>
      <c r="B34" s="20">
        <f>DATE(2022,5,1)</f>
        <v>44682</v>
      </c>
      <c r="C34" s="21">
        <v>101913</v>
      </c>
      <c r="D34" s="21">
        <v>121792</v>
      </c>
      <c r="E34" s="23">
        <f t="shared" si="5"/>
        <v>-0.16322090120861796</v>
      </c>
      <c r="F34" s="21">
        <f>+C34-49031</f>
        <v>52882</v>
      </c>
      <c r="G34" s="21">
        <f>+D34-59459</f>
        <v>62333</v>
      </c>
      <c r="H34" s="23">
        <f t="shared" si="6"/>
        <v>-0.1516211316638057</v>
      </c>
      <c r="I34" s="24">
        <f t="shared" si="7"/>
        <v>70.51635502830845</v>
      </c>
      <c r="J34" s="24">
        <f t="shared" si="8"/>
        <v>135.89753205249423</v>
      </c>
      <c r="K34" s="21">
        <v>7186533.29</v>
      </c>
      <c r="L34" s="21">
        <v>8541575.53</v>
      </c>
      <c r="M34" s="25">
        <f t="shared" si="9"/>
        <v>-0.15864078415519198</v>
      </c>
      <c r="N34" s="10"/>
      <c r="R34" s="2"/>
    </row>
    <row r="35" spans="1:18" ht="15">
      <c r="A35" s="19"/>
      <c r="B35" s="20">
        <f>DATE(2022,6,1)</f>
        <v>44713</v>
      </c>
      <c r="C35" s="21">
        <v>94591</v>
      </c>
      <c r="D35" s="21">
        <v>104024</v>
      </c>
      <c r="E35" s="23">
        <f t="shared" si="5"/>
        <v>-0.09068099669307084</v>
      </c>
      <c r="F35" s="21">
        <f>+C35-45780</f>
        <v>48811</v>
      </c>
      <c r="G35" s="21">
        <f>+D35-50399</f>
        <v>53625</v>
      </c>
      <c r="H35" s="23">
        <f t="shared" si="6"/>
        <v>-0.08977156177156177</v>
      </c>
      <c r="I35" s="24">
        <f t="shared" si="7"/>
        <v>72.75072417037562</v>
      </c>
      <c r="J35" s="24">
        <f t="shared" si="8"/>
        <v>140.98387146339965</v>
      </c>
      <c r="K35" s="21">
        <v>6881563.75</v>
      </c>
      <c r="L35" s="21">
        <v>7263341.25</v>
      </c>
      <c r="M35" s="25">
        <f t="shared" si="9"/>
        <v>-0.052562241929635344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1229716</v>
      </c>
      <c r="D37" s="28">
        <f>SUM(D24:D36)</f>
        <v>1167542</v>
      </c>
      <c r="E37" s="279">
        <f>(+C37-D37)/D37</f>
        <v>0.05325204575081667</v>
      </c>
      <c r="F37" s="28">
        <f>SUM(F24:F36)</f>
        <v>631074</v>
      </c>
      <c r="G37" s="28">
        <f>SUM(G24:G36)</f>
        <v>602088</v>
      </c>
      <c r="H37" s="30">
        <f>(+F37-G37)/G37</f>
        <v>0.04814246422449874</v>
      </c>
      <c r="I37" s="31">
        <f>K37/C37</f>
        <v>71.971302463333</v>
      </c>
      <c r="J37" s="31">
        <f>K37/F37</f>
        <v>140.24387342847274</v>
      </c>
      <c r="K37" s="28">
        <f>SUM(K24:K36)</f>
        <v>88504262.18</v>
      </c>
      <c r="L37" s="28">
        <f>SUM(L24:L36)</f>
        <v>80526729.67999999</v>
      </c>
      <c r="M37" s="32">
        <f>(+K37-L37)/L37</f>
        <v>0.09906688787314995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62</v>
      </c>
      <c r="B39" s="20">
        <f>DATE(2021,7,1)</f>
        <v>44378</v>
      </c>
      <c r="C39" s="21">
        <v>66837</v>
      </c>
      <c r="D39" s="21">
        <v>53105</v>
      </c>
      <c r="E39" s="23">
        <f aca="true" t="shared" si="10" ref="E39:E50">(+C39-D39)/D39</f>
        <v>0.2585820544204877</v>
      </c>
      <c r="F39" s="21">
        <f>+C39-37212</f>
        <v>29625</v>
      </c>
      <c r="G39" s="21">
        <f>+D39-28880</f>
        <v>24225</v>
      </c>
      <c r="H39" s="23">
        <f aca="true" t="shared" si="11" ref="H39:H50">(+F39-G39)/G39</f>
        <v>0.22291021671826625</v>
      </c>
      <c r="I39" s="24">
        <f aca="true" t="shared" si="12" ref="I39:I50">K39/C39</f>
        <v>68.82434804075586</v>
      </c>
      <c r="J39" s="24">
        <f aca="true" t="shared" si="13" ref="J39:J50">K39/F39</f>
        <v>155.27469873417724</v>
      </c>
      <c r="K39" s="21">
        <v>4600012.95</v>
      </c>
      <c r="L39" s="21">
        <v>3467756.6</v>
      </c>
      <c r="M39" s="25">
        <f aca="true" t="shared" si="14" ref="M39:M50">(+K39-L39)/L39</f>
        <v>0.32650975273178057</v>
      </c>
      <c r="N39" s="10"/>
      <c r="R39" s="2"/>
    </row>
    <row r="40" spans="1:18" ht="15.75" customHeight="1">
      <c r="A40" s="19"/>
      <c r="B40" s="20">
        <f>DATE(2021,8,1)</f>
        <v>44409</v>
      </c>
      <c r="C40" s="21">
        <v>56112</v>
      </c>
      <c r="D40" s="21">
        <v>52610</v>
      </c>
      <c r="E40" s="23">
        <f t="shared" si="10"/>
        <v>0.06656529176962554</v>
      </c>
      <c r="F40" s="21">
        <f>+C40-31048</f>
        <v>25064</v>
      </c>
      <c r="G40" s="21">
        <f>+D40-28661</f>
        <v>23949</v>
      </c>
      <c r="H40" s="23">
        <f t="shared" si="11"/>
        <v>0.046557267526827845</v>
      </c>
      <c r="I40" s="24">
        <f t="shared" si="12"/>
        <v>68.40065387082977</v>
      </c>
      <c r="J40" s="24">
        <f t="shared" si="13"/>
        <v>153.13188198212578</v>
      </c>
      <c r="K40" s="21">
        <v>3838097.49</v>
      </c>
      <c r="L40" s="21">
        <v>3296321</v>
      </c>
      <c r="M40" s="25">
        <f t="shared" si="14"/>
        <v>0.1643579281265387</v>
      </c>
      <c r="N40" s="10"/>
      <c r="R40" s="2"/>
    </row>
    <row r="41" spans="1:18" ht="15.75" customHeight="1">
      <c r="A41" s="19"/>
      <c r="B41" s="20">
        <f>DATE(2021,9,1)</f>
        <v>44440</v>
      </c>
      <c r="C41" s="21">
        <v>58084</v>
      </c>
      <c r="D41" s="21">
        <v>50852</v>
      </c>
      <c r="E41" s="23">
        <f t="shared" si="10"/>
        <v>0.1422166286478408</v>
      </c>
      <c r="F41" s="21">
        <f>+C41-32339</f>
        <v>25745</v>
      </c>
      <c r="G41" s="21">
        <f>+D41-27986</f>
        <v>22866</v>
      </c>
      <c r="H41" s="23">
        <f t="shared" si="11"/>
        <v>0.12590746085891716</v>
      </c>
      <c r="I41" s="24">
        <f t="shared" si="12"/>
        <v>70.35700519936644</v>
      </c>
      <c r="J41" s="24">
        <f t="shared" si="13"/>
        <v>158.7343674499903</v>
      </c>
      <c r="K41" s="21">
        <v>4086616.29</v>
      </c>
      <c r="L41" s="21">
        <v>3100357.68</v>
      </c>
      <c r="M41" s="25">
        <f t="shared" si="14"/>
        <v>0.3181112348301696</v>
      </c>
      <c r="N41" s="10"/>
      <c r="R41" s="2"/>
    </row>
    <row r="42" spans="1:18" ht="15.75" customHeight="1">
      <c r="A42" s="19"/>
      <c r="B42" s="20">
        <f>DATE(2021,10,1)</f>
        <v>44470</v>
      </c>
      <c r="C42" s="21">
        <v>57860</v>
      </c>
      <c r="D42" s="21">
        <v>51263</v>
      </c>
      <c r="E42" s="23">
        <f t="shared" si="10"/>
        <v>0.12868930807795095</v>
      </c>
      <c r="F42" s="21">
        <f>+C42-32287</f>
        <v>25573</v>
      </c>
      <c r="G42" s="21">
        <f>+D42-28269</f>
        <v>22994</v>
      </c>
      <c r="H42" s="23">
        <f t="shared" si="11"/>
        <v>0.11215969383317387</v>
      </c>
      <c r="I42" s="24">
        <f t="shared" si="12"/>
        <v>70.91193587970965</v>
      </c>
      <c r="J42" s="24">
        <f t="shared" si="13"/>
        <v>160.441270480585</v>
      </c>
      <c r="K42" s="21">
        <v>4102964.61</v>
      </c>
      <c r="L42" s="21">
        <v>3378391.93</v>
      </c>
      <c r="M42" s="25">
        <f t="shared" si="14"/>
        <v>0.21447265297013648</v>
      </c>
      <c r="N42" s="10"/>
      <c r="R42" s="2"/>
    </row>
    <row r="43" spans="1:18" ht="15.75" customHeight="1">
      <c r="A43" s="19"/>
      <c r="B43" s="20">
        <f>DATE(2021,11,1)</f>
        <v>44501</v>
      </c>
      <c r="C43" s="21">
        <v>51753</v>
      </c>
      <c r="D43" s="21">
        <v>45747</v>
      </c>
      <c r="E43" s="23">
        <f t="shared" si="10"/>
        <v>0.13128729752770674</v>
      </c>
      <c r="F43" s="21">
        <f>+C43-28958</f>
        <v>22795</v>
      </c>
      <c r="G43" s="21">
        <f>+D43-25343</f>
        <v>20404</v>
      </c>
      <c r="H43" s="23">
        <f t="shared" si="11"/>
        <v>0.11718290531268379</v>
      </c>
      <c r="I43" s="24">
        <f t="shared" si="12"/>
        <v>71.42343400382586</v>
      </c>
      <c r="J43" s="24">
        <f t="shared" si="13"/>
        <v>162.1573581925861</v>
      </c>
      <c r="K43" s="21">
        <v>3696376.98</v>
      </c>
      <c r="L43" s="21">
        <v>3048022.62</v>
      </c>
      <c r="M43" s="25">
        <f t="shared" si="14"/>
        <v>0.21271310644013522</v>
      </c>
      <c r="N43" s="10"/>
      <c r="R43" s="2"/>
    </row>
    <row r="44" spans="1:18" ht="15.75" customHeight="1">
      <c r="A44" s="19"/>
      <c r="B44" s="20">
        <f>DATE(2021,12,1)</f>
        <v>44531</v>
      </c>
      <c r="C44" s="21">
        <v>57109</v>
      </c>
      <c r="D44" s="21">
        <v>50018</v>
      </c>
      <c r="E44" s="23">
        <f t="shared" si="10"/>
        <v>0.14176896317325763</v>
      </c>
      <c r="F44" s="21">
        <f>+C44-32118</f>
        <v>24991</v>
      </c>
      <c r="G44" s="21">
        <f>+D44-28141</f>
        <v>21877</v>
      </c>
      <c r="H44" s="23">
        <f t="shared" si="11"/>
        <v>0.14234127165516294</v>
      </c>
      <c r="I44" s="24">
        <f t="shared" si="12"/>
        <v>68.90257857780735</v>
      </c>
      <c r="J44" s="24">
        <f t="shared" si="13"/>
        <v>157.45497819214916</v>
      </c>
      <c r="K44" s="21">
        <v>3934957.36</v>
      </c>
      <c r="L44" s="21">
        <v>3361201.53</v>
      </c>
      <c r="M44" s="25">
        <f t="shared" si="14"/>
        <v>0.17069962181053752</v>
      </c>
      <c r="N44" s="10"/>
      <c r="R44" s="2"/>
    </row>
    <row r="45" spans="1:18" ht="15.75" customHeight="1">
      <c r="A45" s="19"/>
      <c r="B45" s="20">
        <f>DATE(2022,1,1)</f>
        <v>44562</v>
      </c>
      <c r="C45" s="21">
        <v>47271</v>
      </c>
      <c r="D45" s="21">
        <v>63172</v>
      </c>
      <c r="E45" s="23">
        <f t="shared" si="10"/>
        <v>-0.25170961818527193</v>
      </c>
      <c r="F45" s="21">
        <f>+C45-26698</f>
        <v>20573</v>
      </c>
      <c r="G45" s="21">
        <f>+D45-35403</f>
        <v>27769</v>
      </c>
      <c r="H45" s="23">
        <f t="shared" si="11"/>
        <v>-0.2591378875724729</v>
      </c>
      <c r="I45" s="24">
        <f t="shared" si="12"/>
        <v>72.67101309470922</v>
      </c>
      <c r="J45" s="24">
        <f t="shared" si="13"/>
        <v>166.97766295630194</v>
      </c>
      <c r="K45" s="21">
        <v>3435231.46</v>
      </c>
      <c r="L45" s="21">
        <v>4085224.99</v>
      </c>
      <c r="M45" s="25">
        <f t="shared" si="14"/>
        <v>-0.15910837997688843</v>
      </c>
      <c r="N45" s="10"/>
      <c r="R45" s="2"/>
    </row>
    <row r="46" spans="1:18" ht="15.75" customHeight="1">
      <c r="A46" s="19"/>
      <c r="B46" s="20">
        <f>DATE(2022,2,1)</f>
        <v>44593</v>
      </c>
      <c r="C46" s="21">
        <v>51279</v>
      </c>
      <c r="D46" s="21">
        <v>41909</v>
      </c>
      <c r="E46" s="23">
        <f t="shared" si="10"/>
        <v>0.22357966069340715</v>
      </c>
      <c r="F46" s="21">
        <f>+C46-29313</f>
        <v>21966</v>
      </c>
      <c r="G46" s="21">
        <f>+D46-23822</f>
        <v>18087</v>
      </c>
      <c r="H46" s="23">
        <f t="shared" si="11"/>
        <v>0.21446342677060873</v>
      </c>
      <c r="I46" s="24">
        <f t="shared" si="12"/>
        <v>73.89855691413639</v>
      </c>
      <c r="J46" s="24">
        <f t="shared" si="13"/>
        <v>172.51407174724574</v>
      </c>
      <c r="K46" s="21">
        <v>3789444.1</v>
      </c>
      <c r="L46" s="21">
        <v>3031713.02</v>
      </c>
      <c r="M46" s="25">
        <f t="shared" si="14"/>
        <v>0.2499349625117222</v>
      </c>
      <c r="N46" s="10"/>
      <c r="R46" s="2"/>
    </row>
    <row r="47" spans="1:18" ht="15.75" customHeight="1">
      <c r="A47" s="19"/>
      <c r="B47" s="20">
        <f>DATE(2022,3,1)</f>
        <v>44621</v>
      </c>
      <c r="C47" s="21">
        <v>60768</v>
      </c>
      <c r="D47" s="21">
        <v>74273</v>
      </c>
      <c r="E47" s="23">
        <f t="shared" si="10"/>
        <v>-0.18182919768960457</v>
      </c>
      <c r="F47" s="21">
        <f>+C47-33441</f>
        <v>27327</v>
      </c>
      <c r="G47" s="21">
        <f>+D47-40831</f>
        <v>33442</v>
      </c>
      <c r="H47" s="23">
        <f t="shared" si="11"/>
        <v>-0.1828538962980683</v>
      </c>
      <c r="I47" s="24">
        <f t="shared" si="12"/>
        <v>78.84804601105844</v>
      </c>
      <c r="J47" s="24">
        <f t="shared" si="13"/>
        <v>175.3371412888352</v>
      </c>
      <c r="K47" s="21">
        <v>4791438.06</v>
      </c>
      <c r="L47" s="21">
        <v>5344383.05</v>
      </c>
      <c r="M47" s="25">
        <f t="shared" si="14"/>
        <v>-0.1034628290724783</v>
      </c>
      <c r="N47" s="10"/>
      <c r="R47" s="2"/>
    </row>
    <row r="48" spans="1:18" ht="15.75" customHeight="1">
      <c r="A48" s="19"/>
      <c r="B48" s="20">
        <f>DATE(2022,4,1)</f>
        <v>44652</v>
      </c>
      <c r="C48" s="21">
        <v>58182</v>
      </c>
      <c r="D48" s="21">
        <v>72864</v>
      </c>
      <c r="E48" s="23">
        <f t="shared" si="10"/>
        <v>-0.20149868247694336</v>
      </c>
      <c r="F48" s="21">
        <f>+C48-32789</f>
        <v>25393</v>
      </c>
      <c r="G48" s="21">
        <f>+D48-40089</f>
        <v>32775</v>
      </c>
      <c r="H48" s="23">
        <f t="shared" si="11"/>
        <v>-0.2252326468344775</v>
      </c>
      <c r="I48" s="24">
        <f t="shared" si="12"/>
        <v>75.5052019524939</v>
      </c>
      <c r="J48" s="24">
        <f t="shared" si="13"/>
        <v>173.00215256172962</v>
      </c>
      <c r="K48" s="21">
        <v>4393043.66</v>
      </c>
      <c r="L48" s="21">
        <v>5384609.14</v>
      </c>
      <c r="M48" s="25">
        <f t="shared" si="14"/>
        <v>-0.1841480884163116</v>
      </c>
      <c r="N48" s="10"/>
      <c r="R48" s="2"/>
    </row>
    <row r="49" spans="1:18" ht="15.75" customHeight="1">
      <c r="A49" s="19"/>
      <c r="B49" s="20">
        <f>DATE(2022,5,1)</f>
        <v>44682</v>
      </c>
      <c r="C49" s="21">
        <v>53655</v>
      </c>
      <c r="D49" s="21">
        <v>69423</v>
      </c>
      <c r="E49" s="23">
        <f t="shared" si="10"/>
        <v>-0.22712933753943218</v>
      </c>
      <c r="F49" s="21">
        <f>+C49-29997</f>
        <v>23658</v>
      </c>
      <c r="G49" s="21">
        <f>+D49-38522</f>
        <v>30901</v>
      </c>
      <c r="H49" s="23">
        <f t="shared" si="11"/>
        <v>-0.2343937089414582</v>
      </c>
      <c r="I49" s="24">
        <f t="shared" si="12"/>
        <v>74.3106826949958</v>
      </c>
      <c r="J49" s="24">
        <f t="shared" si="13"/>
        <v>168.53240679685518</v>
      </c>
      <c r="K49" s="21">
        <v>3987139.68</v>
      </c>
      <c r="L49" s="21">
        <v>4930239.21</v>
      </c>
      <c r="M49" s="25">
        <f t="shared" si="14"/>
        <v>-0.19128879752672281</v>
      </c>
      <c r="N49" s="10"/>
      <c r="R49" s="2"/>
    </row>
    <row r="50" spans="1:18" ht="15.75" customHeight="1">
      <c r="A50" s="19"/>
      <c r="B50" s="20">
        <f>DATE(2022,6,1)</f>
        <v>44713</v>
      </c>
      <c r="C50" s="21">
        <v>48058</v>
      </c>
      <c r="D50" s="21">
        <v>61673</v>
      </c>
      <c r="E50" s="23">
        <f t="shared" si="10"/>
        <v>-0.22076111102103027</v>
      </c>
      <c r="F50" s="21">
        <f>+C50-27092</f>
        <v>20966</v>
      </c>
      <c r="G50" s="21">
        <f>+D50-34191</f>
        <v>27482</v>
      </c>
      <c r="H50" s="23">
        <f t="shared" si="11"/>
        <v>-0.2371006476966742</v>
      </c>
      <c r="I50" s="24">
        <f t="shared" si="12"/>
        <v>75.51288567980356</v>
      </c>
      <c r="J50" s="24">
        <f t="shared" si="13"/>
        <v>173.08968138891538</v>
      </c>
      <c r="K50" s="21">
        <v>3628998.26</v>
      </c>
      <c r="L50" s="21">
        <v>4359630.3</v>
      </c>
      <c r="M50" s="25">
        <f t="shared" si="14"/>
        <v>-0.1675903665501178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666968</v>
      </c>
      <c r="D52" s="41">
        <f>SUM(D39:D51)</f>
        <v>686909</v>
      </c>
      <c r="E52" s="280">
        <f>(+C52-D52)/D52</f>
        <v>-0.02903004619243597</v>
      </c>
      <c r="F52" s="41">
        <f>SUM(F39:F51)</f>
        <v>293676</v>
      </c>
      <c r="G52" s="41">
        <f>SUM(G39:G51)</f>
        <v>306771</v>
      </c>
      <c r="H52" s="42">
        <f>(+F52-G52)/G52</f>
        <v>-0.042686564244990566</v>
      </c>
      <c r="I52" s="43">
        <f>K52/C52</f>
        <v>72.39375937076443</v>
      </c>
      <c r="J52" s="43">
        <f>K52/F52</f>
        <v>164.41357448344436</v>
      </c>
      <c r="K52" s="41">
        <f>SUM(K39:K51)</f>
        <v>48284320.900000006</v>
      </c>
      <c r="L52" s="41">
        <f>SUM(L39:L51)</f>
        <v>46787851.07</v>
      </c>
      <c r="M52" s="44">
        <f>(+K52-L52)/L52</f>
        <v>0.03198415391553493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7" t="s">
        <v>58</v>
      </c>
      <c r="B54" s="20">
        <f>DATE(2021,7,1)</f>
        <v>44378</v>
      </c>
      <c r="C54" s="21">
        <v>337225</v>
      </c>
      <c r="D54" s="21">
        <v>226236</v>
      </c>
      <c r="E54" s="23">
        <f aca="true" t="shared" si="15" ref="E54:E65">(+C54-D54)/D54</f>
        <v>0.490589472939762</v>
      </c>
      <c r="F54" s="21">
        <f>+C54-176904</f>
        <v>160321</v>
      </c>
      <c r="G54" s="21">
        <f>+D54-121061</f>
        <v>105175</v>
      </c>
      <c r="H54" s="23">
        <f aca="true" t="shared" si="16" ref="H54:H65">(+F54-G54)/G54</f>
        <v>0.5243261231281198</v>
      </c>
      <c r="I54" s="24">
        <f aca="true" t="shared" si="17" ref="I54:I65">K54/C54</f>
        <v>57.21014625250204</v>
      </c>
      <c r="J54" s="24">
        <f aca="true" t="shared" si="18" ref="J54:J65">K54/F54</f>
        <v>120.33789441183626</v>
      </c>
      <c r="K54" s="21">
        <v>19292691.57</v>
      </c>
      <c r="L54" s="21">
        <v>14578930.95</v>
      </c>
      <c r="M54" s="25">
        <f aca="true" t="shared" si="19" ref="M54:M65">(+K54-L54)/L54</f>
        <v>0.3233269048441444</v>
      </c>
      <c r="N54" s="10"/>
      <c r="R54" s="2"/>
    </row>
    <row r="55" spans="1:18" ht="15.75" customHeight="1">
      <c r="A55" s="177"/>
      <c r="B55" s="20">
        <f>DATE(2021,8,1)</f>
        <v>44409</v>
      </c>
      <c r="C55" s="21">
        <v>302300</v>
      </c>
      <c r="D55" s="21">
        <v>248866</v>
      </c>
      <c r="E55" s="23">
        <f t="shared" si="15"/>
        <v>0.21470992421624488</v>
      </c>
      <c r="F55" s="21">
        <f>+C55-157033</f>
        <v>145267</v>
      </c>
      <c r="G55" s="21">
        <f>+D55-132898</f>
        <v>115968</v>
      </c>
      <c r="H55" s="23">
        <f t="shared" si="16"/>
        <v>0.25264728200883</v>
      </c>
      <c r="I55" s="24">
        <f t="shared" si="17"/>
        <v>58.27415458154152</v>
      </c>
      <c r="J55" s="24">
        <f t="shared" si="18"/>
        <v>121.2682641618537</v>
      </c>
      <c r="K55" s="21">
        <v>17616276.93</v>
      </c>
      <c r="L55" s="21">
        <v>15099078.17</v>
      </c>
      <c r="M55" s="25">
        <f t="shared" si="19"/>
        <v>0.16671208213236238</v>
      </c>
      <c r="N55" s="10"/>
      <c r="R55" s="2"/>
    </row>
    <row r="56" spans="1:18" ht="15.75" customHeight="1">
      <c r="A56" s="177"/>
      <c r="B56" s="20">
        <f>DATE(2021,9,1)</f>
        <v>44440</v>
      </c>
      <c r="C56" s="21">
        <v>336142</v>
      </c>
      <c r="D56" s="21">
        <v>249571</v>
      </c>
      <c r="E56" s="23">
        <f t="shared" si="15"/>
        <v>0.3468792447840494</v>
      </c>
      <c r="F56" s="21">
        <f>+C56-171648</f>
        <v>164494</v>
      </c>
      <c r="G56" s="21">
        <f>+D56-130815</f>
        <v>118756</v>
      </c>
      <c r="H56" s="23">
        <f t="shared" si="16"/>
        <v>0.3851426454242312</v>
      </c>
      <c r="I56" s="24">
        <f t="shared" si="17"/>
        <v>57.68227897733696</v>
      </c>
      <c r="J56" s="24">
        <f t="shared" si="18"/>
        <v>117.87321495008938</v>
      </c>
      <c r="K56" s="21">
        <v>19389436.62</v>
      </c>
      <c r="L56" s="21">
        <v>14932529.18</v>
      </c>
      <c r="M56" s="25">
        <f t="shared" si="19"/>
        <v>0.2984696956741525</v>
      </c>
      <c r="N56" s="10"/>
      <c r="R56" s="2"/>
    </row>
    <row r="57" spans="1:18" ht="15.75" customHeight="1">
      <c r="A57" s="177"/>
      <c r="B57" s="20">
        <f>DATE(2021,10,1)</f>
        <v>44470</v>
      </c>
      <c r="C57" s="21">
        <v>333807</v>
      </c>
      <c r="D57" s="21">
        <v>272084</v>
      </c>
      <c r="E57" s="23">
        <f t="shared" si="15"/>
        <v>0.22685273665485658</v>
      </c>
      <c r="F57" s="21">
        <f>+C57-175822</f>
        <v>157985</v>
      </c>
      <c r="G57" s="21">
        <f>+D57-143559</f>
        <v>128525</v>
      </c>
      <c r="H57" s="23">
        <f t="shared" si="16"/>
        <v>0.2292161058159891</v>
      </c>
      <c r="I57" s="24">
        <f t="shared" si="17"/>
        <v>57.44165035484576</v>
      </c>
      <c r="J57" s="24">
        <f t="shared" si="18"/>
        <v>121.36864246605691</v>
      </c>
      <c r="K57" s="21">
        <v>19174424.98</v>
      </c>
      <c r="L57" s="21">
        <v>15864682.44</v>
      </c>
      <c r="M57" s="25">
        <f t="shared" si="19"/>
        <v>0.2086233085671522</v>
      </c>
      <c r="N57" s="10"/>
      <c r="R57" s="2"/>
    </row>
    <row r="58" spans="1:18" ht="15.75" customHeight="1">
      <c r="A58" s="177"/>
      <c r="B58" s="20">
        <f>DATE(2021,11,1)</f>
        <v>44501</v>
      </c>
      <c r="C58" s="21">
        <v>303436</v>
      </c>
      <c r="D58" s="21">
        <v>232899</v>
      </c>
      <c r="E58" s="23">
        <f t="shared" si="15"/>
        <v>0.30286519049029836</v>
      </c>
      <c r="F58" s="21">
        <f>+C58-164494</f>
        <v>138942</v>
      </c>
      <c r="G58" s="21">
        <f>+D58-123557</f>
        <v>109342</v>
      </c>
      <c r="H58" s="23">
        <f t="shared" si="16"/>
        <v>0.27071024857785664</v>
      </c>
      <c r="I58" s="24">
        <f t="shared" si="17"/>
        <v>62.070287111614974</v>
      </c>
      <c r="J58" s="24">
        <f t="shared" si="18"/>
        <v>135.55555296454637</v>
      </c>
      <c r="K58" s="21">
        <v>18834359.64</v>
      </c>
      <c r="L58" s="21">
        <v>13569514.19</v>
      </c>
      <c r="M58" s="25">
        <f t="shared" si="19"/>
        <v>0.3879907103733978</v>
      </c>
      <c r="N58" s="10"/>
      <c r="R58" s="2"/>
    </row>
    <row r="59" spans="1:18" ht="15.75" customHeight="1">
      <c r="A59" s="177"/>
      <c r="B59" s="20">
        <f>DATE(2021,12,1)</f>
        <v>44531</v>
      </c>
      <c r="C59" s="21">
        <v>313897</v>
      </c>
      <c r="D59" s="21">
        <v>226657</v>
      </c>
      <c r="E59" s="23">
        <f t="shared" si="15"/>
        <v>0.38489876774156545</v>
      </c>
      <c r="F59" s="21">
        <f>+C59-163677</f>
        <v>150220</v>
      </c>
      <c r="G59" s="21">
        <f>+D59-116839</f>
        <v>109818</v>
      </c>
      <c r="H59" s="23">
        <f t="shared" si="16"/>
        <v>0.36789961572784063</v>
      </c>
      <c r="I59" s="24">
        <f t="shared" si="17"/>
        <v>64.83698703714913</v>
      </c>
      <c r="J59" s="24">
        <f t="shared" si="18"/>
        <v>135.48219757688722</v>
      </c>
      <c r="K59" s="21">
        <v>20352135.72</v>
      </c>
      <c r="L59" s="21">
        <v>14713281.02</v>
      </c>
      <c r="M59" s="25">
        <f t="shared" si="19"/>
        <v>0.38324930328830215</v>
      </c>
      <c r="N59" s="10"/>
      <c r="R59" s="2"/>
    </row>
    <row r="60" spans="1:18" ht="15.75" customHeight="1">
      <c r="A60" s="177"/>
      <c r="B60" s="20">
        <f>DATE(2022,1,1)</f>
        <v>44562</v>
      </c>
      <c r="C60" s="21">
        <v>284315</v>
      </c>
      <c r="D60" s="21">
        <v>237906</v>
      </c>
      <c r="E60" s="23">
        <f t="shared" si="15"/>
        <v>0.1950728438963288</v>
      </c>
      <c r="F60" s="21">
        <f>+C60-147505</f>
        <v>136810</v>
      </c>
      <c r="G60" s="21">
        <f>+D60-125011</f>
        <v>112895</v>
      </c>
      <c r="H60" s="23">
        <f t="shared" si="16"/>
        <v>0.2118340050489393</v>
      </c>
      <c r="I60" s="24">
        <f t="shared" si="17"/>
        <v>66.66215690343458</v>
      </c>
      <c r="J60" s="24">
        <f t="shared" si="18"/>
        <v>138.53556859878665</v>
      </c>
      <c r="K60" s="21">
        <v>18953051.14</v>
      </c>
      <c r="L60" s="21">
        <v>14525016.02</v>
      </c>
      <c r="M60" s="25">
        <f t="shared" si="19"/>
        <v>0.30485578218315806</v>
      </c>
      <c r="N60" s="10"/>
      <c r="R60" s="2"/>
    </row>
    <row r="61" spans="1:18" ht="15.75" customHeight="1">
      <c r="A61" s="177"/>
      <c r="B61" s="20">
        <f>DATE(2022,2,1)</f>
        <v>44593</v>
      </c>
      <c r="C61" s="21">
        <v>279152</v>
      </c>
      <c r="D61" s="21">
        <v>199774</v>
      </c>
      <c r="E61" s="23">
        <f t="shared" si="15"/>
        <v>0.39733899306216025</v>
      </c>
      <c r="F61" s="21">
        <f>+C61-149732</f>
        <v>129420</v>
      </c>
      <c r="G61" s="21">
        <f>+D61-106979</f>
        <v>92795</v>
      </c>
      <c r="H61" s="23">
        <f t="shared" si="16"/>
        <v>0.3946872137507409</v>
      </c>
      <c r="I61" s="24">
        <f t="shared" si="17"/>
        <v>62.997042435662294</v>
      </c>
      <c r="J61" s="24">
        <f t="shared" si="18"/>
        <v>135.8812423891207</v>
      </c>
      <c r="K61" s="21">
        <v>17585750.39</v>
      </c>
      <c r="L61" s="21">
        <v>11941559.6</v>
      </c>
      <c r="M61" s="25">
        <f t="shared" si="19"/>
        <v>0.47265105891193654</v>
      </c>
      <c r="N61" s="10"/>
      <c r="R61" s="2"/>
    </row>
    <row r="62" spans="1:18" ht="15.75" customHeight="1">
      <c r="A62" s="177"/>
      <c r="B62" s="20">
        <f>DATE(2022,3,1)</f>
        <v>44621</v>
      </c>
      <c r="C62" s="21">
        <v>343142</v>
      </c>
      <c r="D62" s="21">
        <v>270587</v>
      </c>
      <c r="E62" s="23">
        <f t="shared" si="15"/>
        <v>0.26813926759230855</v>
      </c>
      <c r="F62" s="21">
        <f>+C62-180419</f>
        <v>162723</v>
      </c>
      <c r="G62" s="21">
        <f>+D62-144521</f>
        <v>126066</v>
      </c>
      <c r="H62" s="23">
        <f t="shared" si="16"/>
        <v>0.2907762600542573</v>
      </c>
      <c r="I62" s="24">
        <f t="shared" si="17"/>
        <v>64.45112935752546</v>
      </c>
      <c r="J62" s="24">
        <f t="shared" si="18"/>
        <v>135.91126902773425</v>
      </c>
      <c r="K62" s="21">
        <v>22115889.43</v>
      </c>
      <c r="L62" s="21">
        <v>17573470.74</v>
      </c>
      <c r="M62" s="25">
        <f t="shared" si="19"/>
        <v>0.25848159178145375</v>
      </c>
      <c r="N62" s="10"/>
      <c r="R62" s="2"/>
    </row>
    <row r="63" spans="1:18" ht="15.75" customHeight="1">
      <c r="A63" s="177"/>
      <c r="B63" s="20">
        <f>DATE(2022,4,1)</f>
        <v>44652</v>
      </c>
      <c r="C63" s="21">
        <v>329305</v>
      </c>
      <c r="D63" s="21">
        <v>290986</v>
      </c>
      <c r="E63" s="23">
        <f t="shared" si="15"/>
        <v>0.13168674781604614</v>
      </c>
      <c r="F63" s="21">
        <f>+C63-168280</f>
        <v>161025</v>
      </c>
      <c r="G63" s="21">
        <f>+D63-160080</f>
        <v>130906</v>
      </c>
      <c r="H63" s="23">
        <f t="shared" si="16"/>
        <v>0.23008112691549662</v>
      </c>
      <c r="I63" s="24">
        <f t="shared" si="17"/>
        <v>67.41219571521842</v>
      </c>
      <c r="J63" s="24">
        <f t="shared" si="18"/>
        <v>137.86165570563577</v>
      </c>
      <c r="K63" s="21">
        <v>22199173.11</v>
      </c>
      <c r="L63" s="21">
        <v>17721482.49</v>
      </c>
      <c r="M63" s="25">
        <f t="shared" si="19"/>
        <v>0.2526702053581975</v>
      </c>
      <c r="N63" s="10"/>
      <c r="R63" s="2"/>
    </row>
    <row r="64" spans="1:18" ht="15.75" customHeight="1">
      <c r="A64" s="177"/>
      <c r="B64" s="20">
        <f>DATE(2022,5,1)</f>
        <v>44682</v>
      </c>
      <c r="C64" s="21">
        <v>324893</v>
      </c>
      <c r="D64" s="21">
        <v>327438</v>
      </c>
      <c r="E64" s="23">
        <f t="shared" si="15"/>
        <v>-0.007772463794672579</v>
      </c>
      <c r="F64" s="21">
        <f>+C64-166745</f>
        <v>158148</v>
      </c>
      <c r="G64" s="21">
        <f>+D64-175437</f>
        <v>152001</v>
      </c>
      <c r="H64" s="23">
        <f t="shared" si="16"/>
        <v>0.04044052341760909</v>
      </c>
      <c r="I64" s="24">
        <f t="shared" si="17"/>
        <v>63.88338594552668</v>
      </c>
      <c r="J64" s="24">
        <f t="shared" si="18"/>
        <v>131.2395029339606</v>
      </c>
      <c r="K64" s="21">
        <v>20755264.91</v>
      </c>
      <c r="L64" s="21">
        <v>20129622.56</v>
      </c>
      <c r="M64" s="25">
        <f t="shared" si="19"/>
        <v>0.031080679636946038</v>
      </c>
      <c r="N64" s="10"/>
      <c r="R64" s="2"/>
    </row>
    <row r="65" spans="1:18" ht="15.75" customHeight="1">
      <c r="A65" s="177"/>
      <c r="B65" s="20">
        <f>DATE(2022,6,1)</f>
        <v>44713</v>
      </c>
      <c r="C65" s="21">
        <v>291932</v>
      </c>
      <c r="D65" s="21">
        <v>319757</v>
      </c>
      <c r="E65" s="23">
        <f t="shared" si="15"/>
        <v>-0.08701920520895555</v>
      </c>
      <c r="F65" s="21">
        <f>+C65-145581</f>
        <v>146351</v>
      </c>
      <c r="G65" s="21">
        <f>+D65-166066</f>
        <v>153691</v>
      </c>
      <c r="H65" s="23">
        <f t="shared" si="16"/>
        <v>-0.04775816410850343</v>
      </c>
      <c r="I65" s="24">
        <f t="shared" si="17"/>
        <v>62.00687303892688</v>
      </c>
      <c r="J65" s="24">
        <f t="shared" si="18"/>
        <v>123.68750784073904</v>
      </c>
      <c r="K65" s="21">
        <v>18101790.46</v>
      </c>
      <c r="L65" s="21">
        <v>19156199.26</v>
      </c>
      <c r="M65" s="25">
        <f t="shared" si="19"/>
        <v>-0.05504269326544898</v>
      </c>
      <c r="N65" s="10"/>
      <c r="R65" s="2"/>
    </row>
    <row r="66" spans="1:18" ht="1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SUM(C54:C66)</f>
        <v>3779546</v>
      </c>
      <c r="D67" s="41">
        <f>SUM(D54:D66)</f>
        <v>3102761</v>
      </c>
      <c r="E67" s="280">
        <f>(+C67-D67)/D67</f>
        <v>0.2181234713211878</v>
      </c>
      <c r="F67" s="41">
        <f>SUM(F54:F66)</f>
        <v>1811706</v>
      </c>
      <c r="G67" s="41">
        <f>SUM(G54:G66)</f>
        <v>1455938</v>
      </c>
      <c r="H67" s="42">
        <f>(+F67-G67)/G67</f>
        <v>0.2443565591391941</v>
      </c>
      <c r="I67" s="43">
        <f>K67/C67</f>
        <v>62.01015807189542</v>
      </c>
      <c r="J67" s="43">
        <f>K67/F67</f>
        <v>129.36439184945021</v>
      </c>
      <c r="K67" s="41">
        <f>SUM(K54:K66)</f>
        <v>234370244.90000004</v>
      </c>
      <c r="L67" s="41">
        <f>SUM(L54:L66)</f>
        <v>189805366.61999997</v>
      </c>
      <c r="M67" s="44">
        <f>(+K67-L67)/L67</f>
        <v>0.23479250915608313</v>
      </c>
      <c r="N67" s="10"/>
      <c r="R67" s="2"/>
    </row>
    <row r="68" spans="1:18" ht="1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60</v>
      </c>
      <c r="B69" s="20">
        <f>DATE(2021,7,1)</f>
        <v>44378</v>
      </c>
      <c r="C69" s="21">
        <v>256229</v>
      </c>
      <c r="D69" s="21">
        <v>260785</v>
      </c>
      <c r="E69" s="23">
        <f aca="true" t="shared" si="20" ref="E69:E80">(+C69-D69)/D69</f>
        <v>-0.017470329965297085</v>
      </c>
      <c r="F69" s="21">
        <f>+C69-120621</f>
        <v>135608</v>
      </c>
      <c r="G69" s="21">
        <f>+D69-121006</f>
        <v>139779</v>
      </c>
      <c r="H69" s="23">
        <f aca="true" t="shared" si="21" ref="H69:H80">(+F69-G69)/G69</f>
        <v>-0.029839961653753425</v>
      </c>
      <c r="I69" s="24">
        <f aca="true" t="shared" si="22" ref="I69:I80">K69/C69</f>
        <v>63.26885781859196</v>
      </c>
      <c r="J69" s="24">
        <f aca="true" t="shared" si="23" ref="J69:J80">K69/F69</f>
        <v>119.54542630228305</v>
      </c>
      <c r="K69" s="21">
        <v>16211316.17</v>
      </c>
      <c r="L69" s="21">
        <v>15798872.49</v>
      </c>
      <c r="M69" s="25">
        <f aca="true" t="shared" si="24" ref="M69:M80">(+K69-L69)/L69</f>
        <v>0.02610589333264501</v>
      </c>
      <c r="N69" s="10"/>
      <c r="R69" s="2"/>
    </row>
    <row r="70" spans="1:18" ht="15">
      <c r="A70" s="19"/>
      <c r="B70" s="20">
        <f>DATE(2021,8,1)</f>
        <v>44409</v>
      </c>
      <c r="C70" s="21">
        <v>232853</v>
      </c>
      <c r="D70" s="21">
        <v>267898</v>
      </c>
      <c r="E70" s="23">
        <f t="shared" si="20"/>
        <v>-0.13081471306243422</v>
      </c>
      <c r="F70" s="21">
        <f>+C70-112411</f>
        <v>120442</v>
      </c>
      <c r="G70" s="21">
        <f>+D70-127416</f>
        <v>140482</v>
      </c>
      <c r="H70" s="23">
        <f t="shared" si="21"/>
        <v>-0.14265172762346778</v>
      </c>
      <c r="I70" s="24">
        <f t="shared" si="22"/>
        <v>57.49918424929033</v>
      </c>
      <c r="J70" s="24">
        <f t="shared" si="23"/>
        <v>111.16435753308647</v>
      </c>
      <c r="K70" s="21">
        <v>13388857.55</v>
      </c>
      <c r="L70" s="21">
        <v>15592345.88</v>
      </c>
      <c r="M70" s="25">
        <f t="shared" si="24"/>
        <v>-0.14131858970793945</v>
      </c>
      <c r="N70" s="10"/>
      <c r="R70" s="2"/>
    </row>
    <row r="71" spans="1:18" ht="15">
      <c r="A71" s="19"/>
      <c r="B71" s="20">
        <f>DATE(2021,9,1)</f>
        <v>44440</v>
      </c>
      <c r="C71" s="21">
        <v>224419</v>
      </c>
      <c r="D71" s="21">
        <v>245708</v>
      </c>
      <c r="E71" s="23">
        <f t="shared" si="20"/>
        <v>-0.08664349553128103</v>
      </c>
      <c r="F71" s="21">
        <f>+C71-105923</f>
        <v>118496</v>
      </c>
      <c r="G71" s="21">
        <f>+D71-116526</f>
        <v>129182</v>
      </c>
      <c r="H71" s="23">
        <f t="shared" si="21"/>
        <v>-0.0827205028564351</v>
      </c>
      <c r="I71" s="24">
        <f t="shared" si="22"/>
        <v>64.56601571168217</v>
      </c>
      <c r="J71" s="24">
        <f t="shared" si="23"/>
        <v>122.28126417769376</v>
      </c>
      <c r="K71" s="21">
        <v>14489840.68</v>
      </c>
      <c r="L71" s="21">
        <v>14701173.8</v>
      </c>
      <c r="M71" s="25">
        <f t="shared" si="24"/>
        <v>-0.014375254852099024</v>
      </c>
      <c r="N71" s="10"/>
      <c r="R71" s="2"/>
    </row>
    <row r="72" spans="1:18" ht="15">
      <c r="A72" s="19"/>
      <c r="B72" s="20">
        <f>DATE(2021,10,1)</f>
        <v>44470</v>
      </c>
      <c r="C72" s="21">
        <v>231892</v>
      </c>
      <c r="D72" s="21">
        <v>252286</v>
      </c>
      <c r="E72" s="23">
        <f t="shared" si="20"/>
        <v>-0.08083682804436235</v>
      </c>
      <c r="F72" s="21">
        <f>+C72-109202</f>
        <v>122690</v>
      </c>
      <c r="G72" s="21">
        <f>+D72-116651</f>
        <v>135635</v>
      </c>
      <c r="H72" s="23">
        <f t="shared" si="21"/>
        <v>-0.09543996755999558</v>
      </c>
      <c r="I72" s="24">
        <f t="shared" si="22"/>
        <v>64.29701227295465</v>
      </c>
      <c r="J72" s="24">
        <f t="shared" si="23"/>
        <v>121.52549327573558</v>
      </c>
      <c r="K72" s="21">
        <v>14909962.77</v>
      </c>
      <c r="L72" s="21">
        <v>14952748.38</v>
      </c>
      <c r="M72" s="25">
        <f t="shared" si="24"/>
        <v>-0.002861387680222655</v>
      </c>
      <c r="N72" s="10"/>
      <c r="R72" s="2"/>
    </row>
    <row r="73" spans="1:18" ht="15">
      <c r="A73" s="19"/>
      <c r="B73" s="20">
        <f>DATE(2021,11,1)</f>
        <v>44501</v>
      </c>
      <c r="C73" s="21">
        <v>219677</v>
      </c>
      <c r="D73" s="21">
        <v>229647</v>
      </c>
      <c r="E73" s="23">
        <f t="shared" si="20"/>
        <v>-0.0434144578418181</v>
      </c>
      <c r="F73" s="21">
        <f>+C73-102367</f>
        <v>117310</v>
      </c>
      <c r="G73" s="21">
        <f>+D73-106423</f>
        <v>123224</v>
      </c>
      <c r="H73" s="23">
        <f t="shared" si="21"/>
        <v>-0.047993897292735184</v>
      </c>
      <c r="I73" s="24">
        <f t="shared" si="22"/>
        <v>68.64073125543412</v>
      </c>
      <c r="J73" s="24">
        <f t="shared" si="23"/>
        <v>128.53797562015174</v>
      </c>
      <c r="K73" s="21">
        <v>15078789.92</v>
      </c>
      <c r="L73" s="21">
        <v>12504979.64</v>
      </c>
      <c r="M73" s="25">
        <f t="shared" si="24"/>
        <v>0.20582282851281788</v>
      </c>
      <c r="N73" s="10"/>
      <c r="R73" s="2"/>
    </row>
    <row r="74" spans="1:18" ht="15">
      <c r="A74" s="19"/>
      <c r="B74" s="20">
        <f>DATE(2021,12,1)</f>
        <v>44531</v>
      </c>
      <c r="C74" s="21">
        <v>233380</v>
      </c>
      <c r="D74" s="21">
        <v>237315</v>
      </c>
      <c r="E74" s="23">
        <f t="shared" si="20"/>
        <v>-0.016581337041484945</v>
      </c>
      <c r="F74" s="21">
        <f>+C74-110272</f>
        <v>123108</v>
      </c>
      <c r="G74" s="21">
        <f>+D74-109898</f>
        <v>127417</v>
      </c>
      <c r="H74" s="23">
        <f t="shared" si="21"/>
        <v>-0.033818093347041604</v>
      </c>
      <c r="I74" s="24">
        <f t="shared" si="22"/>
        <v>63.50604679064187</v>
      </c>
      <c r="J74" s="24">
        <f t="shared" si="23"/>
        <v>120.39056113331384</v>
      </c>
      <c r="K74" s="21">
        <v>14821041.2</v>
      </c>
      <c r="L74" s="21">
        <v>13196453.23</v>
      </c>
      <c r="M74" s="25">
        <f t="shared" si="24"/>
        <v>0.12310792465863184</v>
      </c>
      <c r="N74" s="10"/>
      <c r="R74" s="2"/>
    </row>
    <row r="75" spans="1:18" ht="15">
      <c r="A75" s="19"/>
      <c r="B75" s="20">
        <f>DATE(2022,1,1)</f>
        <v>44562</v>
      </c>
      <c r="C75" s="21">
        <v>196225</v>
      </c>
      <c r="D75" s="21">
        <v>253729</v>
      </c>
      <c r="E75" s="23">
        <f t="shared" si="20"/>
        <v>-0.2266355048102503</v>
      </c>
      <c r="F75" s="21">
        <f>+C75-96553</f>
        <v>99672</v>
      </c>
      <c r="G75" s="21">
        <f>+D75-120009</f>
        <v>133720</v>
      </c>
      <c r="H75" s="23">
        <f t="shared" si="21"/>
        <v>-0.25462159736763385</v>
      </c>
      <c r="I75" s="24">
        <f t="shared" si="22"/>
        <v>71.24136644158492</v>
      </c>
      <c r="J75" s="24">
        <f t="shared" si="23"/>
        <v>140.25340246006903</v>
      </c>
      <c r="K75" s="21">
        <v>13979337.13</v>
      </c>
      <c r="L75" s="21">
        <v>15066308.08</v>
      </c>
      <c r="M75" s="25">
        <f t="shared" si="24"/>
        <v>-0.07214580667196865</v>
      </c>
      <c r="N75" s="10"/>
      <c r="R75" s="2"/>
    </row>
    <row r="76" spans="1:18" ht="15">
      <c r="A76" s="19"/>
      <c r="B76" s="20">
        <f>DATE(2022,2,1)</f>
        <v>44593</v>
      </c>
      <c r="C76" s="21">
        <v>198005</v>
      </c>
      <c r="D76" s="21">
        <v>221549</v>
      </c>
      <c r="E76" s="23">
        <f t="shared" si="20"/>
        <v>-0.10626994479776483</v>
      </c>
      <c r="F76" s="21">
        <f>+C76-96853</f>
        <v>101152</v>
      </c>
      <c r="G76" s="21">
        <f>+D76-106025</f>
        <v>115524</v>
      </c>
      <c r="H76" s="23">
        <f t="shared" si="21"/>
        <v>-0.12440704961739552</v>
      </c>
      <c r="I76" s="24">
        <f t="shared" si="22"/>
        <v>61.17057660160097</v>
      </c>
      <c r="J76" s="24">
        <f t="shared" si="23"/>
        <v>119.74137950806707</v>
      </c>
      <c r="K76" s="21">
        <v>12112080.02</v>
      </c>
      <c r="L76" s="21">
        <v>13215921.17</v>
      </c>
      <c r="M76" s="25">
        <f t="shared" si="24"/>
        <v>-0.08352358763350587</v>
      </c>
      <c r="N76" s="10"/>
      <c r="R76" s="2"/>
    </row>
    <row r="77" spans="1:18" ht="15">
      <c r="A77" s="19"/>
      <c r="B77" s="20">
        <f>DATE(2022,3,1)</f>
        <v>44621</v>
      </c>
      <c r="C77" s="21">
        <v>227322</v>
      </c>
      <c r="D77" s="21">
        <v>295514</v>
      </c>
      <c r="E77" s="23">
        <f t="shared" si="20"/>
        <v>-0.23075725684739132</v>
      </c>
      <c r="F77" s="21">
        <f>+C77-110886</f>
        <v>116436</v>
      </c>
      <c r="G77" s="21">
        <f>+D77-144217</f>
        <v>151297</v>
      </c>
      <c r="H77" s="23">
        <f t="shared" si="21"/>
        <v>-0.2304143505819679</v>
      </c>
      <c r="I77" s="24">
        <f t="shared" si="22"/>
        <v>74.47557689093004</v>
      </c>
      <c r="J77" s="24">
        <f t="shared" si="23"/>
        <v>145.40122548009208</v>
      </c>
      <c r="K77" s="21">
        <v>16929937.09</v>
      </c>
      <c r="L77" s="21">
        <v>18377395.36</v>
      </c>
      <c r="M77" s="25">
        <f t="shared" si="24"/>
        <v>-0.07876297166411941</v>
      </c>
      <c r="N77" s="10"/>
      <c r="R77" s="2"/>
    </row>
    <row r="78" spans="1:18" ht="15">
      <c r="A78" s="19"/>
      <c r="B78" s="20">
        <f>DATE(2022,4,1)</f>
        <v>44652</v>
      </c>
      <c r="C78" s="21">
        <v>221451</v>
      </c>
      <c r="D78" s="21">
        <v>274219</v>
      </c>
      <c r="E78" s="23">
        <f t="shared" si="20"/>
        <v>-0.1924301379554298</v>
      </c>
      <c r="F78" s="21">
        <f>+C78-107478</f>
        <v>113973</v>
      </c>
      <c r="G78" s="21">
        <f>+D78-131927</f>
        <v>142292</v>
      </c>
      <c r="H78" s="23">
        <f t="shared" si="21"/>
        <v>-0.1990203244033396</v>
      </c>
      <c r="I78" s="24">
        <f t="shared" si="22"/>
        <v>71.03248393549815</v>
      </c>
      <c r="J78" s="24">
        <f t="shared" si="23"/>
        <v>138.0170268396901</v>
      </c>
      <c r="K78" s="21">
        <v>15730214.6</v>
      </c>
      <c r="L78" s="21">
        <v>17221650.85</v>
      </c>
      <c r="M78" s="25">
        <f t="shared" si="24"/>
        <v>-0.08660239735379385</v>
      </c>
      <c r="N78" s="10"/>
      <c r="R78" s="2"/>
    </row>
    <row r="79" spans="1:18" ht="15">
      <c r="A79" s="19"/>
      <c r="B79" s="20">
        <f>DATE(2022,5,1)</f>
        <v>44682</v>
      </c>
      <c r="C79" s="21">
        <v>211287</v>
      </c>
      <c r="D79" s="21">
        <v>276845</v>
      </c>
      <c r="E79" s="23">
        <f t="shared" si="20"/>
        <v>-0.23680398779100217</v>
      </c>
      <c r="F79" s="21">
        <f>+C79-102268</f>
        <v>109019</v>
      </c>
      <c r="G79" s="21">
        <f>+D79-135056</f>
        <v>141789</v>
      </c>
      <c r="H79" s="23">
        <f t="shared" si="21"/>
        <v>-0.23111806980795407</v>
      </c>
      <c r="I79" s="24">
        <f t="shared" si="22"/>
        <v>70.92129089816221</v>
      </c>
      <c r="J79" s="24">
        <f t="shared" si="23"/>
        <v>137.45078188205724</v>
      </c>
      <c r="K79" s="21">
        <v>14984746.79</v>
      </c>
      <c r="L79" s="21">
        <v>17062781.29</v>
      </c>
      <c r="M79" s="25">
        <f t="shared" si="24"/>
        <v>-0.12178755999280584</v>
      </c>
      <c r="N79" s="10"/>
      <c r="R79" s="2"/>
    </row>
    <row r="80" spans="1:18" ht="15">
      <c r="A80" s="19"/>
      <c r="B80" s="20">
        <f>DATE(2022,6,1)</f>
        <v>44713</v>
      </c>
      <c r="C80" s="21">
        <v>191018</v>
      </c>
      <c r="D80" s="21">
        <v>242776</v>
      </c>
      <c r="E80" s="23">
        <f t="shared" si="20"/>
        <v>-0.21319240781625862</v>
      </c>
      <c r="F80" s="21">
        <f>+C80-89300</f>
        <v>101718</v>
      </c>
      <c r="G80" s="21">
        <f>+D80-114668</f>
        <v>128108</v>
      </c>
      <c r="H80" s="23">
        <f t="shared" si="21"/>
        <v>-0.20599806413338745</v>
      </c>
      <c r="I80" s="24">
        <f t="shared" si="22"/>
        <v>74.18452365745637</v>
      </c>
      <c r="J80" s="24">
        <f t="shared" si="23"/>
        <v>139.31240626044556</v>
      </c>
      <c r="K80" s="21">
        <v>14170579.34</v>
      </c>
      <c r="L80" s="21">
        <v>14830887.24</v>
      </c>
      <c r="M80" s="25">
        <f t="shared" si="24"/>
        <v>-0.04452248131312745</v>
      </c>
      <c r="N80" s="10"/>
      <c r="R80" s="2"/>
    </row>
    <row r="81" spans="1:18" ht="1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6.5" thickBot="1" thickTop="1">
      <c r="A82" s="39" t="s">
        <v>14</v>
      </c>
      <c r="B82" s="40"/>
      <c r="C82" s="41">
        <f>SUM(C69:C81)</f>
        <v>2643758</v>
      </c>
      <c r="D82" s="41">
        <f>SUM(D69:D81)</f>
        <v>3058271</v>
      </c>
      <c r="E82" s="281">
        <f>(+C82-D82)/D82</f>
        <v>-0.1355383483020308</v>
      </c>
      <c r="F82" s="47">
        <f>SUM(F69:F81)</f>
        <v>1379624</v>
      </c>
      <c r="G82" s="48">
        <f>SUM(G69:G81)</f>
        <v>1608449</v>
      </c>
      <c r="H82" s="49">
        <f>(+F82-G82)/G82</f>
        <v>-0.14226438015753065</v>
      </c>
      <c r="I82" s="50">
        <f>K82/C82</f>
        <v>66.87703763355042</v>
      </c>
      <c r="J82" s="51">
        <f>K82/F82</f>
        <v>128.15571725339657</v>
      </c>
      <c r="K82" s="48">
        <f>SUM(K69:K81)</f>
        <v>176806703.26</v>
      </c>
      <c r="L82" s="47">
        <f>SUM(L69:L81)</f>
        <v>182521517.41</v>
      </c>
      <c r="M82" s="44">
        <f>(+K82-L82)/L82</f>
        <v>-0.03131035853248337</v>
      </c>
      <c r="N82" s="10"/>
      <c r="R82" s="2"/>
    </row>
    <row r="83" spans="1:18" ht="15.75" customHeight="1" thickTop="1">
      <c r="A83" s="273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">
      <c r="A84" s="274" t="s">
        <v>61</v>
      </c>
      <c r="B84" s="20">
        <f>DATE(2021,7,1)</f>
        <v>44378</v>
      </c>
      <c r="C84" s="21">
        <v>104293</v>
      </c>
      <c r="D84" s="21">
        <v>75978</v>
      </c>
      <c r="E84" s="23">
        <f aca="true" t="shared" si="25" ref="E84:E95">(+C84-D84)/D84</f>
        <v>0.3726736686935692</v>
      </c>
      <c r="F84" s="21">
        <f>+C84-51816</f>
        <v>52477</v>
      </c>
      <c r="G84" s="21">
        <f>+D84-36462</f>
        <v>39516</v>
      </c>
      <c r="H84" s="23">
        <f aca="true" t="shared" si="26" ref="H84:H95">(+F84-G84)/G84</f>
        <v>0.3279937240611398</v>
      </c>
      <c r="I84" s="24">
        <f aca="true" t="shared" si="27" ref="I84:I95">K84/C84</f>
        <v>62.066719147018496</v>
      </c>
      <c r="J84" s="24">
        <f aca="true" t="shared" si="28" ref="J84:J95">K84/F84</f>
        <v>123.35164624502163</v>
      </c>
      <c r="K84" s="21">
        <v>6473124.34</v>
      </c>
      <c r="L84" s="21">
        <v>5007129.57</v>
      </c>
      <c r="M84" s="25">
        <f aca="true" t="shared" si="29" ref="M84:M95">(+K84-L84)/L84</f>
        <v>0.2927814727989952</v>
      </c>
      <c r="N84" s="10"/>
      <c r="R84" s="2"/>
    </row>
    <row r="85" spans="1:18" ht="15">
      <c r="A85" s="274"/>
      <c r="B85" s="20">
        <f>DATE(2021,8,1)</f>
        <v>44409</v>
      </c>
      <c r="C85" s="21">
        <v>93122</v>
      </c>
      <c r="D85" s="21">
        <v>75051</v>
      </c>
      <c r="E85" s="23">
        <f t="shared" si="25"/>
        <v>0.24078293427136213</v>
      </c>
      <c r="F85" s="21">
        <f>+C85-46288</f>
        <v>46834</v>
      </c>
      <c r="G85" s="21">
        <f>+D85-37094</f>
        <v>37957</v>
      </c>
      <c r="H85" s="23">
        <f t="shared" si="26"/>
        <v>0.23386990541929026</v>
      </c>
      <c r="I85" s="24">
        <f t="shared" si="27"/>
        <v>62.99818163269689</v>
      </c>
      <c r="J85" s="24">
        <f t="shared" si="28"/>
        <v>125.2619180509886</v>
      </c>
      <c r="K85" s="21">
        <v>5866516.67</v>
      </c>
      <c r="L85" s="21">
        <v>4962926.8</v>
      </c>
      <c r="M85" s="25">
        <f t="shared" si="29"/>
        <v>0.18206794224730458</v>
      </c>
      <c r="N85" s="10"/>
      <c r="R85" s="2"/>
    </row>
    <row r="86" spans="1:18" ht="15">
      <c r="A86" s="274"/>
      <c r="B86" s="20">
        <f>DATE(2021,9,1)</f>
        <v>44440</v>
      </c>
      <c r="C86" s="21">
        <v>92204</v>
      </c>
      <c r="D86" s="21">
        <v>76058</v>
      </c>
      <c r="E86" s="23">
        <f t="shared" si="25"/>
        <v>0.21228536117173735</v>
      </c>
      <c r="F86" s="21">
        <f>+C86-46055</f>
        <v>46149</v>
      </c>
      <c r="G86" s="21">
        <f>+D86-37383</f>
        <v>38675</v>
      </c>
      <c r="H86" s="23">
        <f t="shared" si="26"/>
        <v>0.19325145442792502</v>
      </c>
      <c r="I86" s="24">
        <f t="shared" si="27"/>
        <v>64.95561103639756</v>
      </c>
      <c r="J86" s="24">
        <f t="shared" si="28"/>
        <v>129.7789152527682</v>
      </c>
      <c r="K86" s="21">
        <v>5989167.16</v>
      </c>
      <c r="L86" s="21">
        <v>4981639.06</v>
      </c>
      <c r="M86" s="25">
        <f t="shared" si="29"/>
        <v>0.2022483138310708</v>
      </c>
      <c r="N86" s="10"/>
      <c r="R86" s="2"/>
    </row>
    <row r="87" spans="1:18" ht="15">
      <c r="A87" s="274"/>
      <c r="B87" s="20">
        <f>DATE(2021,10,1)</f>
        <v>44470</v>
      </c>
      <c r="C87" s="21">
        <v>93325</v>
      </c>
      <c r="D87" s="21">
        <v>79279</v>
      </c>
      <c r="E87" s="23">
        <f t="shared" si="25"/>
        <v>0.177171760491429</v>
      </c>
      <c r="F87" s="21">
        <f>+C87-46461</f>
        <v>46864</v>
      </c>
      <c r="G87" s="21">
        <f>+D87-39288</f>
        <v>39991</v>
      </c>
      <c r="H87" s="23">
        <f t="shared" si="26"/>
        <v>0.17186366932559827</v>
      </c>
      <c r="I87" s="24">
        <f t="shared" si="27"/>
        <v>61.77048818644521</v>
      </c>
      <c r="J87" s="24">
        <f t="shared" si="28"/>
        <v>123.0097902441106</v>
      </c>
      <c r="K87" s="21">
        <v>5764730.81</v>
      </c>
      <c r="L87" s="21">
        <v>4994174.39</v>
      </c>
      <c r="M87" s="25">
        <f t="shared" si="29"/>
        <v>0.15429105189897063</v>
      </c>
      <c r="N87" s="10"/>
      <c r="R87" s="2"/>
    </row>
    <row r="88" spans="1:18" ht="15">
      <c r="A88" s="274"/>
      <c r="B88" s="20">
        <f>DATE(2021,11,1)</f>
        <v>44501</v>
      </c>
      <c r="C88" s="21">
        <v>87600</v>
      </c>
      <c r="D88" s="21">
        <v>73436</v>
      </c>
      <c r="E88" s="23">
        <f t="shared" si="25"/>
        <v>0.19287542894493165</v>
      </c>
      <c r="F88" s="21">
        <f>+C88-43575</f>
        <v>44025</v>
      </c>
      <c r="G88" s="21">
        <f>+D88-36298</f>
        <v>37138</v>
      </c>
      <c r="H88" s="23">
        <f t="shared" si="26"/>
        <v>0.18544348107060155</v>
      </c>
      <c r="I88" s="24">
        <f t="shared" si="27"/>
        <v>64.90401312785387</v>
      </c>
      <c r="J88" s="24">
        <f t="shared" si="28"/>
        <v>129.14461215218626</v>
      </c>
      <c r="K88" s="21">
        <v>5685591.55</v>
      </c>
      <c r="L88" s="21">
        <v>4495841.55</v>
      </c>
      <c r="M88" s="25">
        <f t="shared" si="29"/>
        <v>0.264633436647695</v>
      </c>
      <c r="N88" s="10"/>
      <c r="R88" s="2"/>
    </row>
    <row r="89" spans="1:18" ht="15">
      <c r="A89" s="274"/>
      <c r="B89" s="20">
        <f>DATE(2021,12,1)</f>
        <v>44531</v>
      </c>
      <c r="C89" s="21">
        <v>97815</v>
      </c>
      <c r="D89" s="21">
        <v>90053</v>
      </c>
      <c r="E89" s="23">
        <f t="shared" si="25"/>
        <v>0.08619368594050171</v>
      </c>
      <c r="F89" s="21">
        <f>+C89-49840</f>
        <v>47975</v>
      </c>
      <c r="G89" s="21">
        <f>+D89-45539</f>
        <v>44514</v>
      </c>
      <c r="H89" s="23">
        <f t="shared" si="26"/>
        <v>0.07775081996675204</v>
      </c>
      <c r="I89" s="24">
        <f t="shared" si="27"/>
        <v>64.46978367326075</v>
      </c>
      <c r="J89" s="24">
        <f t="shared" si="28"/>
        <v>131.44579239187075</v>
      </c>
      <c r="K89" s="21">
        <v>6306111.89</v>
      </c>
      <c r="L89" s="21">
        <v>6136762.63</v>
      </c>
      <c r="M89" s="25">
        <f t="shared" si="29"/>
        <v>0.027595862869475168</v>
      </c>
      <c r="N89" s="10"/>
      <c r="R89" s="2"/>
    </row>
    <row r="90" spans="1:18" ht="15">
      <c r="A90" s="274"/>
      <c r="B90" s="20">
        <f>DATE(2022,1,1)</f>
        <v>44562</v>
      </c>
      <c r="C90" s="21">
        <v>84178</v>
      </c>
      <c r="D90" s="21">
        <v>102968</v>
      </c>
      <c r="E90" s="23">
        <f t="shared" si="25"/>
        <v>-0.1824838784865201</v>
      </c>
      <c r="F90" s="21">
        <f>+C90-43196</f>
        <v>40982</v>
      </c>
      <c r="G90" s="21">
        <f>+D90-52033</f>
        <v>50935</v>
      </c>
      <c r="H90" s="23">
        <f t="shared" si="26"/>
        <v>-0.19540590949249043</v>
      </c>
      <c r="I90" s="24">
        <f t="shared" si="27"/>
        <v>65.99175188291478</v>
      </c>
      <c r="J90" s="24">
        <f t="shared" si="28"/>
        <v>135.54862354204286</v>
      </c>
      <c r="K90" s="21">
        <v>5555053.69</v>
      </c>
      <c r="L90" s="21">
        <v>6814377.93</v>
      </c>
      <c r="M90" s="25">
        <f t="shared" si="29"/>
        <v>-0.1848039913453992</v>
      </c>
      <c r="N90" s="10"/>
      <c r="R90" s="2"/>
    </row>
    <row r="91" spans="1:18" ht="15">
      <c r="A91" s="274"/>
      <c r="B91" s="20">
        <f>DATE(2022,2,1)</f>
        <v>44593</v>
      </c>
      <c r="C91" s="21">
        <v>86324</v>
      </c>
      <c r="D91" s="21">
        <v>73388</v>
      </c>
      <c r="E91" s="23">
        <f t="shared" si="25"/>
        <v>0.17626859977107975</v>
      </c>
      <c r="F91" s="21">
        <f>+C91-44518</f>
        <v>41806</v>
      </c>
      <c r="G91" s="21">
        <f>+D91-36566</f>
        <v>36822</v>
      </c>
      <c r="H91" s="23">
        <f t="shared" si="26"/>
        <v>0.13535386453750475</v>
      </c>
      <c r="I91" s="24">
        <f t="shared" si="27"/>
        <v>63.11742041610676</v>
      </c>
      <c r="J91" s="24">
        <f t="shared" si="28"/>
        <v>130.32933550208105</v>
      </c>
      <c r="K91" s="21">
        <v>5448548.2</v>
      </c>
      <c r="L91" s="21">
        <v>4944353.36</v>
      </c>
      <c r="M91" s="25">
        <f t="shared" si="29"/>
        <v>0.10197386863142804</v>
      </c>
      <c r="N91" s="10"/>
      <c r="R91" s="2"/>
    </row>
    <row r="92" spans="1:18" ht="15">
      <c r="A92" s="274"/>
      <c r="B92" s="20">
        <f>DATE(2022,3,1)</f>
        <v>44621</v>
      </c>
      <c r="C92" s="21">
        <v>100361</v>
      </c>
      <c r="D92" s="21">
        <v>112418</v>
      </c>
      <c r="E92" s="23">
        <f t="shared" si="25"/>
        <v>-0.10725150776566031</v>
      </c>
      <c r="F92" s="21">
        <f>+C92-50984</f>
        <v>49377</v>
      </c>
      <c r="G92" s="21">
        <f>+D92-56050</f>
        <v>56368</v>
      </c>
      <c r="H92" s="23">
        <f t="shared" si="26"/>
        <v>-0.12402426908884473</v>
      </c>
      <c r="I92" s="24">
        <f t="shared" si="27"/>
        <v>67.39339564173335</v>
      </c>
      <c r="J92" s="24">
        <f t="shared" si="28"/>
        <v>136.98014419669076</v>
      </c>
      <c r="K92" s="21">
        <v>6763668.58</v>
      </c>
      <c r="L92" s="21">
        <v>7786903.62</v>
      </c>
      <c r="M92" s="25">
        <f t="shared" si="29"/>
        <v>-0.1314046108612296</v>
      </c>
      <c r="N92" s="10"/>
      <c r="R92" s="2"/>
    </row>
    <row r="93" spans="1:18" ht="15">
      <c r="A93" s="274"/>
      <c r="B93" s="20">
        <f>DATE(2022,4,1)</f>
        <v>44652</v>
      </c>
      <c r="C93" s="21">
        <v>97194</v>
      </c>
      <c r="D93" s="21">
        <v>108656</v>
      </c>
      <c r="E93" s="23">
        <f t="shared" si="25"/>
        <v>-0.1054888823442792</v>
      </c>
      <c r="F93" s="21">
        <f>+C93-49512</f>
        <v>47682</v>
      </c>
      <c r="G93" s="21">
        <f>+D93-55156</f>
        <v>53500</v>
      </c>
      <c r="H93" s="23">
        <f t="shared" si="26"/>
        <v>-0.10874766355140186</v>
      </c>
      <c r="I93" s="24">
        <f t="shared" si="27"/>
        <v>65.56455172129967</v>
      </c>
      <c r="J93" s="24">
        <f t="shared" si="28"/>
        <v>133.64542259133427</v>
      </c>
      <c r="K93" s="21">
        <v>6372481.04</v>
      </c>
      <c r="L93" s="21">
        <v>7271721.08</v>
      </c>
      <c r="M93" s="25">
        <f t="shared" si="29"/>
        <v>-0.1236626144081973</v>
      </c>
      <c r="N93" s="10"/>
      <c r="R93" s="2"/>
    </row>
    <row r="94" spans="1:18" ht="15">
      <c r="A94" s="274"/>
      <c r="B94" s="20">
        <f>DATE(2022,5,1)</f>
        <v>44682</v>
      </c>
      <c r="C94" s="21">
        <v>92856</v>
      </c>
      <c r="D94" s="21">
        <v>106694</v>
      </c>
      <c r="E94" s="23">
        <f t="shared" si="25"/>
        <v>-0.12969801488368607</v>
      </c>
      <c r="F94" s="21">
        <f>+C94-46813</f>
        <v>46043</v>
      </c>
      <c r="G94" s="21">
        <f>+D94-53609</f>
        <v>53085</v>
      </c>
      <c r="H94" s="23">
        <f t="shared" si="26"/>
        <v>-0.13265517566167467</v>
      </c>
      <c r="I94" s="24">
        <f t="shared" si="27"/>
        <v>64.71990932196088</v>
      </c>
      <c r="J94" s="24">
        <f t="shared" si="28"/>
        <v>130.5221618921443</v>
      </c>
      <c r="K94" s="21">
        <v>6009631.9</v>
      </c>
      <c r="L94" s="21">
        <v>7025856.69</v>
      </c>
      <c r="M94" s="25">
        <f t="shared" si="29"/>
        <v>-0.14464069434356766</v>
      </c>
      <c r="N94" s="10"/>
      <c r="R94" s="2"/>
    </row>
    <row r="95" spans="1:18" ht="15">
      <c r="A95" s="274"/>
      <c r="B95" s="20">
        <f>DATE(2022,6,1)</f>
        <v>44713</v>
      </c>
      <c r="C95" s="21">
        <v>83835</v>
      </c>
      <c r="D95" s="21">
        <v>98426</v>
      </c>
      <c r="E95" s="23">
        <f t="shared" si="25"/>
        <v>-0.14824335033426128</v>
      </c>
      <c r="F95" s="21">
        <f>+C95-41625</f>
        <v>42210</v>
      </c>
      <c r="G95" s="21">
        <f>+D95-49491</f>
        <v>48935</v>
      </c>
      <c r="H95" s="23">
        <f t="shared" si="26"/>
        <v>-0.1374271993460713</v>
      </c>
      <c r="I95" s="24">
        <f t="shared" si="27"/>
        <v>69.39449346931472</v>
      </c>
      <c r="J95" s="24">
        <f t="shared" si="28"/>
        <v>137.82722956645347</v>
      </c>
      <c r="K95" s="21">
        <v>5817687.36</v>
      </c>
      <c r="L95" s="21">
        <v>6246044.46</v>
      </c>
      <c r="M95" s="25">
        <f t="shared" si="29"/>
        <v>-0.06858053969087495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2"/>
      <c r="C97" s="47">
        <f>SUM(C84:C96)</f>
        <v>1113107</v>
      </c>
      <c r="D97" s="48">
        <f>SUM(D84:D96)</f>
        <v>1072405</v>
      </c>
      <c r="E97" s="281">
        <f>(+C97-D97)/D97</f>
        <v>0.03795394463845282</v>
      </c>
      <c r="F97" s="48">
        <f>SUM(F84:F96)</f>
        <v>552424</v>
      </c>
      <c r="G97" s="47">
        <f>SUM(G84:G96)</f>
        <v>537436</v>
      </c>
      <c r="H97" s="46">
        <f>(+F97-G97)/G97</f>
        <v>0.02788797177710462</v>
      </c>
      <c r="I97" s="51">
        <f>K97/C97</f>
        <v>64.73080592431815</v>
      </c>
      <c r="J97" s="50">
        <f>K97/F97</f>
        <v>130.42936800356247</v>
      </c>
      <c r="K97" s="47">
        <f>SUM(K84:K96)</f>
        <v>72052313.19</v>
      </c>
      <c r="L97" s="48">
        <f>SUM(L84:L96)</f>
        <v>70667731.13999999</v>
      </c>
      <c r="M97" s="44">
        <f>(+K97-L97)/L97</f>
        <v>0.019592847084010857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">
      <c r="A99" s="19" t="s">
        <v>68</v>
      </c>
      <c r="B99" s="20">
        <f>DATE(2021,7,1)</f>
        <v>44378</v>
      </c>
      <c r="C99" s="21">
        <v>224693</v>
      </c>
      <c r="D99" s="21">
        <v>89782</v>
      </c>
      <c r="E99" s="23">
        <f aca="true" t="shared" si="30" ref="E99:E110">(+C99-D99)/D99</f>
        <v>1.502650865429596</v>
      </c>
      <c r="F99" s="21">
        <f>+C99-121301</f>
        <v>103392</v>
      </c>
      <c r="G99" s="21">
        <f>+D99-42122</f>
        <v>47660</v>
      </c>
      <c r="H99" s="23">
        <f aca="true" t="shared" si="31" ref="H99:H110">(+F99-G99)/G99</f>
        <v>1.1693663449433487</v>
      </c>
      <c r="I99" s="24">
        <f aca="true" t="shared" si="32" ref="I99:I110">K99/C99</f>
        <v>42.34352458688077</v>
      </c>
      <c r="J99" s="24">
        <f aca="true" t="shared" si="33" ref="J99:J110">K99/F99</f>
        <v>92.02156424094707</v>
      </c>
      <c r="K99" s="21">
        <v>9514293.57</v>
      </c>
      <c r="L99" s="21">
        <v>4552159.55</v>
      </c>
      <c r="M99" s="25">
        <f aca="true" t="shared" si="34" ref="M99:M110">(+K99-L99)/L99</f>
        <v>1.0900615335418111</v>
      </c>
      <c r="N99" s="10"/>
      <c r="R99" s="2"/>
    </row>
    <row r="100" spans="1:18" ht="15">
      <c r="A100" s="19"/>
      <c r="B100" s="20">
        <f>DATE(2021,8,1)</f>
        <v>44409</v>
      </c>
      <c r="C100" s="21">
        <v>253687</v>
      </c>
      <c r="D100" s="21">
        <v>90766</v>
      </c>
      <c r="E100" s="23">
        <f t="shared" si="30"/>
        <v>1.794956261155058</v>
      </c>
      <c r="F100" s="21">
        <f>+C100-139919</f>
        <v>113768</v>
      </c>
      <c r="G100" s="21">
        <f>+D100-42451</f>
        <v>48315</v>
      </c>
      <c r="H100" s="23">
        <f t="shared" si="31"/>
        <v>1.354713856980234</v>
      </c>
      <c r="I100" s="24">
        <f t="shared" si="32"/>
        <v>37.33080504716442</v>
      </c>
      <c r="J100" s="24">
        <f t="shared" si="33"/>
        <v>83.24256328668869</v>
      </c>
      <c r="K100" s="21">
        <v>9470339.94</v>
      </c>
      <c r="L100" s="21">
        <v>4403282.6</v>
      </c>
      <c r="M100" s="25">
        <f t="shared" si="34"/>
        <v>1.150745432509828</v>
      </c>
      <c r="N100" s="10"/>
      <c r="R100" s="2"/>
    </row>
    <row r="101" spans="1:18" ht="15">
      <c r="A101" s="19"/>
      <c r="B101" s="20">
        <f>DATE(2021,9,1)</f>
        <v>44440</v>
      </c>
      <c r="C101" s="21">
        <v>235921</v>
      </c>
      <c r="D101" s="21">
        <v>113899</v>
      </c>
      <c r="E101" s="23">
        <f t="shared" si="30"/>
        <v>1.071317570830297</v>
      </c>
      <c r="F101" s="21">
        <f>+C101-117745</f>
        <v>118176</v>
      </c>
      <c r="G101" s="21">
        <f>+D101-56486</f>
        <v>57413</v>
      </c>
      <c r="H101" s="23">
        <f t="shared" si="31"/>
        <v>1.058349154372703</v>
      </c>
      <c r="I101" s="24">
        <f t="shared" si="32"/>
        <v>42.602001220747624</v>
      </c>
      <c r="J101" s="24">
        <f t="shared" si="33"/>
        <v>85.04862857094504</v>
      </c>
      <c r="K101" s="21">
        <v>10050706.73</v>
      </c>
      <c r="L101" s="21">
        <v>5356117.45</v>
      </c>
      <c r="M101" s="25">
        <f t="shared" si="34"/>
        <v>0.8764911008439519</v>
      </c>
      <c r="N101" s="10"/>
      <c r="R101" s="2"/>
    </row>
    <row r="102" spans="1:18" ht="15">
      <c r="A102" s="19"/>
      <c r="B102" s="20">
        <f>DATE(2021,10,1)</f>
        <v>44470</v>
      </c>
      <c r="C102" s="21">
        <v>221800</v>
      </c>
      <c r="D102" s="21">
        <v>133252</v>
      </c>
      <c r="E102" s="23">
        <f t="shared" si="30"/>
        <v>0.6645153543661634</v>
      </c>
      <c r="F102" s="21">
        <f>+C102-108912</f>
        <v>112888</v>
      </c>
      <c r="G102" s="21">
        <f>+D102-63794</f>
        <v>69458</v>
      </c>
      <c r="H102" s="23">
        <f t="shared" si="31"/>
        <v>0.6252699473062858</v>
      </c>
      <c r="I102" s="24">
        <f t="shared" si="32"/>
        <v>46.884752795311094</v>
      </c>
      <c r="J102" s="24">
        <f t="shared" si="33"/>
        <v>92.11818944440508</v>
      </c>
      <c r="K102" s="21">
        <v>10399038.17</v>
      </c>
      <c r="L102" s="21">
        <v>6129955.32</v>
      </c>
      <c r="M102" s="25">
        <f t="shared" si="34"/>
        <v>0.6964296845804742</v>
      </c>
      <c r="N102" s="10"/>
      <c r="R102" s="2"/>
    </row>
    <row r="103" spans="1:18" ht="15">
      <c r="A103" s="19"/>
      <c r="B103" s="20">
        <f>DATE(2021,11,1)</f>
        <v>44501</v>
      </c>
      <c r="C103" s="21">
        <v>202133</v>
      </c>
      <c r="D103" s="21">
        <v>128642</v>
      </c>
      <c r="E103" s="23">
        <f t="shared" si="30"/>
        <v>0.5712830957230143</v>
      </c>
      <c r="F103" s="21">
        <f>+C103-98046</f>
        <v>104087</v>
      </c>
      <c r="G103" s="21">
        <f>+D103-61517</f>
        <v>67125</v>
      </c>
      <c r="H103" s="23">
        <f t="shared" si="31"/>
        <v>0.5506443202979516</v>
      </c>
      <c r="I103" s="24">
        <f t="shared" si="32"/>
        <v>47.524598556396036</v>
      </c>
      <c r="J103" s="24">
        <f t="shared" si="33"/>
        <v>92.29096505807641</v>
      </c>
      <c r="K103" s="21">
        <v>9606289.68</v>
      </c>
      <c r="L103" s="21">
        <v>5762849.31</v>
      </c>
      <c r="M103" s="25">
        <f t="shared" si="34"/>
        <v>0.6669340396131234</v>
      </c>
      <c r="N103" s="10"/>
      <c r="R103" s="2"/>
    </row>
    <row r="104" spans="1:18" ht="15">
      <c r="A104" s="19"/>
      <c r="B104" s="20">
        <f>DATE(2021,12,1)</f>
        <v>44531</v>
      </c>
      <c r="C104" s="21">
        <v>205858</v>
      </c>
      <c r="D104" s="21">
        <v>136324</v>
      </c>
      <c r="E104" s="23">
        <f t="shared" si="30"/>
        <v>0.5100642586778557</v>
      </c>
      <c r="F104" s="21">
        <f>+C104-97374</f>
        <v>108484</v>
      </c>
      <c r="G104" s="21">
        <f>+D104-65497</f>
        <v>70827</v>
      </c>
      <c r="H104" s="23">
        <f t="shared" si="31"/>
        <v>0.5316757733632654</v>
      </c>
      <c r="I104" s="24">
        <f t="shared" si="32"/>
        <v>49.499164861215014</v>
      </c>
      <c r="J104" s="24">
        <f t="shared" si="33"/>
        <v>93.9290501825154</v>
      </c>
      <c r="K104" s="21">
        <v>10189799.08</v>
      </c>
      <c r="L104" s="21">
        <v>6383967.25</v>
      </c>
      <c r="M104" s="25">
        <f t="shared" si="34"/>
        <v>0.5961546607244892</v>
      </c>
      <c r="N104" s="10"/>
      <c r="R104" s="2"/>
    </row>
    <row r="105" spans="1:18" ht="15">
      <c r="A105" s="19"/>
      <c r="B105" s="20">
        <f>DATE(2022,1,1)</f>
        <v>44562</v>
      </c>
      <c r="C105" s="21">
        <v>179199</v>
      </c>
      <c r="D105" s="21">
        <v>148941</v>
      </c>
      <c r="E105" s="23">
        <f t="shared" si="30"/>
        <v>0.20315426914012932</v>
      </c>
      <c r="F105" s="21">
        <f>+C105-85727</f>
        <v>93472</v>
      </c>
      <c r="G105" s="21">
        <f>+D105-73418</f>
        <v>75523</v>
      </c>
      <c r="H105" s="23">
        <f t="shared" si="31"/>
        <v>0.23766269878050394</v>
      </c>
      <c r="I105" s="24">
        <f t="shared" si="32"/>
        <v>50.90462430035882</v>
      </c>
      <c r="J105" s="24">
        <f t="shared" si="33"/>
        <v>97.59134040140363</v>
      </c>
      <c r="K105" s="21">
        <v>9122057.77</v>
      </c>
      <c r="L105" s="21">
        <v>6916380.04</v>
      </c>
      <c r="M105" s="25">
        <f t="shared" si="34"/>
        <v>0.318906381263572</v>
      </c>
      <c r="N105" s="10"/>
      <c r="R105" s="2"/>
    </row>
    <row r="106" spans="1:18" ht="15">
      <c r="A106" s="19"/>
      <c r="B106" s="20">
        <f>DATE(2022,2,1)</f>
        <v>44593</v>
      </c>
      <c r="C106" s="21">
        <v>184738</v>
      </c>
      <c r="D106" s="21">
        <v>128308</v>
      </c>
      <c r="E106" s="23">
        <f t="shared" si="30"/>
        <v>0.4398011035944758</v>
      </c>
      <c r="F106" s="21">
        <f>+C106-91368</f>
        <v>93370</v>
      </c>
      <c r="G106" s="21">
        <f>+D106-63434</f>
        <v>64874</v>
      </c>
      <c r="H106" s="23">
        <f t="shared" si="31"/>
        <v>0.4392514720843481</v>
      </c>
      <c r="I106" s="24">
        <f t="shared" si="32"/>
        <v>50.03179822234733</v>
      </c>
      <c r="J106" s="24">
        <f t="shared" si="33"/>
        <v>98.99083581450144</v>
      </c>
      <c r="K106" s="21">
        <v>9242774.34</v>
      </c>
      <c r="L106" s="21">
        <v>6371712.29</v>
      </c>
      <c r="M106" s="25">
        <f t="shared" si="34"/>
        <v>0.4505950550381803</v>
      </c>
      <c r="N106" s="10"/>
      <c r="R106" s="2"/>
    </row>
    <row r="107" spans="1:18" ht="15">
      <c r="A107" s="19"/>
      <c r="B107" s="20">
        <f>DATE(2022,3,1)</f>
        <v>44621</v>
      </c>
      <c r="C107" s="21">
        <v>215256</v>
      </c>
      <c r="D107" s="21">
        <v>178294</v>
      </c>
      <c r="E107" s="23">
        <f t="shared" si="30"/>
        <v>0.20730927569071309</v>
      </c>
      <c r="F107" s="21">
        <f>+C107-103637</f>
        <v>111619</v>
      </c>
      <c r="G107" s="21">
        <f>+D107-86034</f>
        <v>92260</v>
      </c>
      <c r="H107" s="23">
        <f t="shared" si="31"/>
        <v>0.2098309126381964</v>
      </c>
      <c r="I107" s="24">
        <f t="shared" si="32"/>
        <v>51.79537406622811</v>
      </c>
      <c r="J107" s="24">
        <f t="shared" si="33"/>
        <v>99.88680278447217</v>
      </c>
      <c r="K107" s="21">
        <v>11149265.04</v>
      </c>
      <c r="L107" s="21">
        <v>9944602.35</v>
      </c>
      <c r="M107" s="25">
        <f t="shared" si="34"/>
        <v>0.12113734140410345</v>
      </c>
      <c r="N107" s="10"/>
      <c r="R107" s="2"/>
    </row>
    <row r="108" spans="1:18" ht="15">
      <c r="A108" s="19"/>
      <c r="B108" s="20">
        <f>DATE(2022,4,1)</f>
        <v>44652</v>
      </c>
      <c r="C108" s="21">
        <v>212913</v>
      </c>
      <c r="D108" s="21">
        <v>179901</v>
      </c>
      <c r="E108" s="23">
        <f t="shared" si="30"/>
        <v>0.18350092550902997</v>
      </c>
      <c r="F108" s="21">
        <f>+C108-100552</f>
        <v>112361</v>
      </c>
      <c r="G108" s="21">
        <f>+D108-87677</f>
        <v>92224</v>
      </c>
      <c r="H108" s="23">
        <f t="shared" si="31"/>
        <v>0.21834880291464262</v>
      </c>
      <c r="I108" s="24">
        <f t="shared" si="32"/>
        <v>52.3486126258143</v>
      </c>
      <c r="J108" s="24">
        <f t="shared" si="33"/>
        <v>99.19545180267174</v>
      </c>
      <c r="K108" s="21">
        <v>11145700.16</v>
      </c>
      <c r="L108" s="21">
        <v>9943478.86</v>
      </c>
      <c r="M108" s="25">
        <f t="shared" si="34"/>
        <v>0.12090550167871537</v>
      </c>
      <c r="N108" s="10"/>
      <c r="R108" s="2"/>
    </row>
    <row r="109" spans="1:18" ht="15">
      <c r="A109" s="19"/>
      <c r="B109" s="20">
        <f>DATE(2022,5,1)</f>
        <v>44682</v>
      </c>
      <c r="C109" s="21">
        <v>213808</v>
      </c>
      <c r="D109" s="21">
        <v>190412</v>
      </c>
      <c r="E109" s="23">
        <f t="shared" si="30"/>
        <v>0.1228704073272693</v>
      </c>
      <c r="F109" s="21">
        <f>+C109-99001</f>
        <v>114807</v>
      </c>
      <c r="G109" s="21">
        <f>+D109-94189</f>
        <v>96223</v>
      </c>
      <c r="H109" s="23">
        <f t="shared" si="31"/>
        <v>0.19313469752553963</v>
      </c>
      <c r="I109" s="24">
        <f t="shared" si="32"/>
        <v>49.288069810297095</v>
      </c>
      <c r="J109" s="24">
        <f t="shared" si="33"/>
        <v>91.79042767427075</v>
      </c>
      <c r="K109" s="21">
        <v>10538183.63</v>
      </c>
      <c r="L109" s="21">
        <v>9819342.49</v>
      </c>
      <c r="M109" s="25">
        <f t="shared" si="34"/>
        <v>0.07320664705728179</v>
      </c>
      <c r="N109" s="10"/>
      <c r="R109" s="2"/>
    </row>
    <row r="110" spans="1:18" ht="15">
      <c r="A110" s="19"/>
      <c r="B110" s="20">
        <f>DATE(2022,6,1)</f>
        <v>44713</v>
      </c>
      <c r="C110" s="21">
        <v>205857</v>
      </c>
      <c r="D110" s="21">
        <v>175414</v>
      </c>
      <c r="E110" s="23">
        <f t="shared" si="30"/>
        <v>0.17354943163031458</v>
      </c>
      <c r="F110" s="21">
        <f>+C110-94224</f>
        <v>111633</v>
      </c>
      <c r="G110" s="21">
        <f>+D110-86143</f>
        <v>89271</v>
      </c>
      <c r="H110" s="23">
        <f t="shared" si="31"/>
        <v>0.25049568168834224</v>
      </c>
      <c r="I110" s="24">
        <f t="shared" si="32"/>
        <v>45.80429550610375</v>
      </c>
      <c r="J110" s="24">
        <f t="shared" si="33"/>
        <v>84.46547938333646</v>
      </c>
      <c r="K110" s="21">
        <v>9429134.86</v>
      </c>
      <c r="L110" s="21">
        <v>7935159.35</v>
      </c>
      <c r="M110" s="25">
        <f t="shared" si="34"/>
        <v>0.1882729059498975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2"/>
      <c r="C112" s="47">
        <f>SUM(C99:C111)</f>
        <v>2555863</v>
      </c>
      <c r="D112" s="48">
        <f>SUM(D99:D111)</f>
        <v>1693935</v>
      </c>
      <c r="E112" s="281">
        <f>(+C112-D112)/D112</f>
        <v>0.5088318028731917</v>
      </c>
      <c r="F112" s="48">
        <f>SUM(F99:F111)</f>
        <v>1298057</v>
      </c>
      <c r="G112" s="47">
        <f>SUM(G99:G111)</f>
        <v>871173</v>
      </c>
      <c r="H112" s="53">
        <f>(+F112-G112)/G112</f>
        <v>0.49001059491054016</v>
      </c>
      <c r="I112" s="51">
        <f>K112/C112</f>
        <v>46.89515164545204</v>
      </c>
      <c r="J112" s="50">
        <f>K112/F112</f>
        <v>92.33614777317173</v>
      </c>
      <c r="K112" s="47">
        <f>SUM(K99:K111)</f>
        <v>119857582.96999998</v>
      </c>
      <c r="L112" s="48">
        <f>SUM(L99:L111)</f>
        <v>83519006.85999998</v>
      </c>
      <c r="M112" s="44">
        <f>(+K112-L112)/L112</f>
        <v>0.4350934892091461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70</v>
      </c>
      <c r="B114" s="20">
        <f>DATE(2021,7,1)</f>
        <v>44378</v>
      </c>
      <c r="C114" s="21">
        <v>251090</v>
      </c>
      <c r="D114" s="21">
        <v>198458</v>
      </c>
      <c r="E114" s="23">
        <f aca="true" t="shared" si="35" ref="E114:E125">(+C114-D114)/D114</f>
        <v>0.2652047284563988</v>
      </c>
      <c r="F114" s="21">
        <f>+C114-113536</f>
        <v>137554</v>
      </c>
      <c r="G114" s="21">
        <f>+D114-91512</f>
        <v>106946</v>
      </c>
      <c r="H114" s="23">
        <f aca="true" t="shared" si="36" ref="H114:H125">(+F114-G114)/G114</f>
        <v>0.2862005124081312</v>
      </c>
      <c r="I114" s="24">
        <f aca="true" t="shared" si="37" ref="I114:I125">K114/C114</f>
        <v>59.031039945836156</v>
      </c>
      <c r="J114" s="24">
        <f aca="true" t="shared" si="38" ref="J114:J125">K114/F114</f>
        <v>107.75480044200823</v>
      </c>
      <c r="K114" s="21">
        <v>14822103.82</v>
      </c>
      <c r="L114" s="21">
        <v>11423179.77</v>
      </c>
      <c r="M114" s="25">
        <f aca="true" t="shared" si="39" ref="M114:M125">(+K114-L114)/L114</f>
        <v>0.2975462277960807</v>
      </c>
      <c r="N114" s="10"/>
      <c r="R114" s="2"/>
    </row>
    <row r="115" spans="1:18" ht="15.75" customHeight="1">
      <c r="A115" s="19"/>
      <c r="B115" s="20">
        <f>DATE(2021,8,1)</f>
        <v>44409</v>
      </c>
      <c r="C115" s="21">
        <v>215479</v>
      </c>
      <c r="D115" s="21">
        <v>207170</v>
      </c>
      <c r="E115" s="23">
        <f t="shared" si="35"/>
        <v>0.04010715837235121</v>
      </c>
      <c r="F115" s="21">
        <f>+C115-96518</f>
        <v>118961</v>
      </c>
      <c r="G115" s="21">
        <f>+D115-94983</f>
        <v>112187</v>
      </c>
      <c r="H115" s="23">
        <f t="shared" si="36"/>
        <v>0.06038132760480269</v>
      </c>
      <c r="I115" s="24">
        <f t="shared" si="37"/>
        <v>60.89979376180509</v>
      </c>
      <c r="J115" s="24">
        <f t="shared" si="38"/>
        <v>110.31032573700625</v>
      </c>
      <c r="K115" s="21">
        <v>13122626.66</v>
      </c>
      <c r="L115" s="21">
        <v>12078246.74</v>
      </c>
      <c r="M115" s="25">
        <f t="shared" si="39"/>
        <v>0.08646784110985961</v>
      </c>
      <c r="N115" s="10"/>
      <c r="R115" s="2"/>
    </row>
    <row r="116" spans="1:18" ht="15.75" customHeight="1">
      <c r="A116" s="19"/>
      <c r="B116" s="20">
        <f>DATE(2021,9,1)</f>
        <v>44440</v>
      </c>
      <c r="C116" s="21">
        <v>213931</v>
      </c>
      <c r="D116" s="21">
        <v>214679</v>
      </c>
      <c r="E116" s="23">
        <f t="shared" si="35"/>
        <v>-0.003484271866367926</v>
      </c>
      <c r="F116" s="21">
        <f>+C116-98283</f>
        <v>115648</v>
      </c>
      <c r="G116" s="21">
        <f>+D116-98438</f>
        <v>116241</v>
      </c>
      <c r="H116" s="23">
        <f t="shared" si="36"/>
        <v>-0.00510147022135047</v>
      </c>
      <c r="I116" s="24">
        <f t="shared" si="37"/>
        <v>56.6598148000991</v>
      </c>
      <c r="J116" s="24">
        <f t="shared" si="38"/>
        <v>104.8119365661317</v>
      </c>
      <c r="K116" s="21">
        <v>12121290.84</v>
      </c>
      <c r="L116" s="21">
        <v>11539629.04</v>
      </c>
      <c r="M116" s="25">
        <f t="shared" si="39"/>
        <v>0.05040558912108675</v>
      </c>
      <c r="N116" s="10"/>
      <c r="R116" s="2"/>
    </row>
    <row r="117" spans="1:18" ht="15.75" customHeight="1">
      <c r="A117" s="19"/>
      <c r="B117" s="20">
        <f>DATE(2021,10,1)</f>
        <v>44470</v>
      </c>
      <c r="C117" s="21">
        <v>212915</v>
      </c>
      <c r="D117" s="21">
        <v>212255</v>
      </c>
      <c r="E117" s="23">
        <f t="shared" si="35"/>
        <v>0.0031094673859273043</v>
      </c>
      <c r="F117" s="21">
        <f>+C117-99053</f>
        <v>113862</v>
      </c>
      <c r="G117" s="21">
        <f>+D117-97155</f>
        <v>115100</v>
      </c>
      <c r="H117" s="23">
        <f t="shared" si="36"/>
        <v>-0.010755864465682016</v>
      </c>
      <c r="I117" s="24">
        <f t="shared" si="37"/>
        <v>60.26470948500575</v>
      </c>
      <c r="J117" s="24">
        <f t="shared" si="38"/>
        <v>112.6913335441148</v>
      </c>
      <c r="K117" s="21">
        <v>12831260.62</v>
      </c>
      <c r="L117" s="21">
        <v>11315553.33</v>
      </c>
      <c r="M117" s="25">
        <f t="shared" si="39"/>
        <v>0.13394902094460803</v>
      </c>
      <c r="N117" s="10"/>
      <c r="R117" s="2"/>
    </row>
    <row r="118" spans="1:18" ht="15.75" customHeight="1">
      <c r="A118" s="19"/>
      <c r="B118" s="20">
        <f>DATE(2021,11,1)</f>
        <v>44501</v>
      </c>
      <c r="C118" s="21">
        <v>184421</v>
      </c>
      <c r="D118" s="21">
        <v>182201</v>
      </c>
      <c r="E118" s="23">
        <f t="shared" si="35"/>
        <v>0.012184345859792207</v>
      </c>
      <c r="F118" s="21">
        <f>+C118-84660</f>
        <v>99761</v>
      </c>
      <c r="G118" s="21">
        <f>+D118-83158</f>
        <v>99043</v>
      </c>
      <c r="H118" s="23">
        <f t="shared" si="36"/>
        <v>0.007249376533424876</v>
      </c>
      <c r="I118" s="24">
        <f t="shared" si="37"/>
        <v>64.38971369854843</v>
      </c>
      <c r="J118" s="24">
        <f t="shared" si="38"/>
        <v>119.03264191417489</v>
      </c>
      <c r="K118" s="21">
        <v>11874815.39</v>
      </c>
      <c r="L118" s="21">
        <v>10560135.1</v>
      </c>
      <c r="M118" s="25">
        <f t="shared" si="39"/>
        <v>0.12449464685352378</v>
      </c>
      <c r="N118" s="10"/>
      <c r="R118" s="2"/>
    </row>
    <row r="119" spans="1:18" ht="15.75" customHeight="1">
      <c r="A119" s="19"/>
      <c r="B119" s="20">
        <f>DATE(2021,12,1)</f>
        <v>44531</v>
      </c>
      <c r="C119" s="21">
        <v>211464</v>
      </c>
      <c r="D119" s="21">
        <v>236582</v>
      </c>
      <c r="E119" s="23">
        <f t="shared" si="35"/>
        <v>-0.10617037644453085</v>
      </c>
      <c r="F119" s="21">
        <f>+C119-97323</f>
        <v>114141</v>
      </c>
      <c r="G119" s="21">
        <f>+D119-114318</f>
        <v>122264</v>
      </c>
      <c r="H119" s="23">
        <f t="shared" si="36"/>
        <v>-0.0664381993064189</v>
      </c>
      <c r="I119" s="24">
        <f t="shared" si="37"/>
        <v>59.316628693300046</v>
      </c>
      <c r="J119" s="24">
        <f t="shared" si="38"/>
        <v>109.89330363322557</v>
      </c>
      <c r="K119" s="21">
        <v>12543331.57</v>
      </c>
      <c r="L119" s="21">
        <v>13819716.06</v>
      </c>
      <c r="M119" s="25">
        <f t="shared" si="39"/>
        <v>-0.09235967544184118</v>
      </c>
      <c r="N119" s="10"/>
      <c r="R119" s="2"/>
    </row>
    <row r="120" spans="1:18" ht="15.75" customHeight="1">
      <c r="A120" s="19"/>
      <c r="B120" s="20">
        <f>DATE(2022,1,1)</f>
        <v>44562</v>
      </c>
      <c r="C120" s="21">
        <v>184238</v>
      </c>
      <c r="D120" s="21">
        <v>267613</v>
      </c>
      <c r="E120" s="23">
        <f t="shared" si="35"/>
        <v>-0.31155063468516103</v>
      </c>
      <c r="F120" s="21">
        <f>+C120-86833</f>
        <v>97405</v>
      </c>
      <c r="G120" s="21">
        <f>+D120-127713</f>
        <v>139900</v>
      </c>
      <c r="H120" s="23">
        <f t="shared" si="36"/>
        <v>-0.30375268048606147</v>
      </c>
      <c r="I120" s="24">
        <f t="shared" si="37"/>
        <v>58.0188547965132</v>
      </c>
      <c r="J120" s="24">
        <f t="shared" si="38"/>
        <v>109.74054483856064</v>
      </c>
      <c r="K120" s="21">
        <v>10689277.77</v>
      </c>
      <c r="L120" s="21">
        <v>15933243.49</v>
      </c>
      <c r="M120" s="25">
        <f t="shared" si="39"/>
        <v>-0.3291210432634894</v>
      </c>
      <c r="N120" s="10"/>
      <c r="R120" s="2"/>
    </row>
    <row r="121" spans="1:18" ht="15.75" customHeight="1">
      <c r="A121" s="19"/>
      <c r="B121" s="20">
        <f>DATE(2022,2,1)</f>
        <v>44593</v>
      </c>
      <c r="C121" s="21">
        <v>186083</v>
      </c>
      <c r="D121" s="21">
        <v>191978</v>
      </c>
      <c r="E121" s="23">
        <f t="shared" si="35"/>
        <v>-0.03070664346956422</v>
      </c>
      <c r="F121" s="21">
        <f>+C121-88690</f>
        <v>97393</v>
      </c>
      <c r="G121" s="21">
        <f>+D121-89920</f>
        <v>102058</v>
      </c>
      <c r="H121" s="23">
        <f t="shared" si="36"/>
        <v>-0.04570930255345</v>
      </c>
      <c r="I121" s="24">
        <f t="shared" si="37"/>
        <v>60.91725966369845</v>
      </c>
      <c r="J121" s="24">
        <f t="shared" si="38"/>
        <v>116.39097707227418</v>
      </c>
      <c r="K121" s="21">
        <v>11335666.43</v>
      </c>
      <c r="L121" s="21">
        <v>11645461.32</v>
      </c>
      <c r="M121" s="25">
        <f t="shared" si="39"/>
        <v>-0.026602199903232395</v>
      </c>
      <c r="N121" s="10"/>
      <c r="R121" s="2"/>
    </row>
    <row r="122" spans="1:18" ht="15.75" customHeight="1">
      <c r="A122" s="19"/>
      <c r="B122" s="20">
        <f>DATE(2022,3,1)</f>
        <v>44621</v>
      </c>
      <c r="C122" s="21">
        <v>236729</v>
      </c>
      <c r="D122" s="21">
        <v>267033</v>
      </c>
      <c r="E122" s="23">
        <f t="shared" si="35"/>
        <v>-0.11348410121595458</v>
      </c>
      <c r="F122" s="21">
        <f>+C122-111747</f>
        <v>124982</v>
      </c>
      <c r="G122" s="21">
        <f>+D122-127518</f>
        <v>139515</v>
      </c>
      <c r="H122" s="23">
        <f t="shared" si="36"/>
        <v>-0.10416801060817833</v>
      </c>
      <c r="I122" s="24">
        <f t="shared" si="37"/>
        <v>61.05160364805326</v>
      </c>
      <c r="J122" s="24">
        <f t="shared" si="38"/>
        <v>115.63813253108448</v>
      </c>
      <c r="K122" s="21">
        <v>14452685.08</v>
      </c>
      <c r="L122" s="21">
        <v>17076017.72</v>
      </c>
      <c r="M122" s="25">
        <f t="shared" si="39"/>
        <v>-0.1536267227532485</v>
      </c>
      <c r="N122" s="10"/>
      <c r="R122" s="2"/>
    </row>
    <row r="123" spans="1:18" ht="15.75" customHeight="1">
      <c r="A123" s="19"/>
      <c r="B123" s="20">
        <f>DATE(2022,4,1)</f>
        <v>44652</v>
      </c>
      <c r="C123" s="21">
        <v>214208</v>
      </c>
      <c r="D123" s="21">
        <v>260145</v>
      </c>
      <c r="E123" s="23">
        <f t="shared" si="35"/>
        <v>-0.1765822906456015</v>
      </c>
      <c r="F123" s="21">
        <f>+C123-101580</f>
        <v>112628</v>
      </c>
      <c r="G123" s="21">
        <f>+D123-122006</f>
        <v>138139</v>
      </c>
      <c r="H123" s="23">
        <f t="shared" si="36"/>
        <v>-0.18467630430218837</v>
      </c>
      <c r="I123" s="24">
        <f t="shared" si="37"/>
        <v>59.42443774275471</v>
      </c>
      <c r="J123" s="24">
        <f t="shared" si="38"/>
        <v>113.01976382427105</v>
      </c>
      <c r="K123" s="21">
        <v>12729189.96</v>
      </c>
      <c r="L123" s="21">
        <v>16552180.51</v>
      </c>
      <c r="M123" s="25">
        <f t="shared" si="39"/>
        <v>-0.23096597742456584</v>
      </c>
      <c r="N123" s="10"/>
      <c r="R123" s="2"/>
    </row>
    <row r="124" spans="1:18" ht="15.75" customHeight="1">
      <c r="A124" s="19"/>
      <c r="B124" s="20">
        <f>DATE(2022,5,1)</f>
        <v>44682</v>
      </c>
      <c r="C124" s="21">
        <v>210618</v>
      </c>
      <c r="D124" s="21">
        <v>254752</v>
      </c>
      <c r="E124" s="23">
        <f t="shared" si="35"/>
        <v>-0.1732429971109157</v>
      </c>
      <c r="F124" s="21">
        <f>+C124-98910</f>
        <v>111708</v>
      </c>
      <c r="G124" s="21">
        <f>+D124-116176</f>
        <v>138576</v>
      </c>
      <c r="H124" s="23">
        <f t="shared" si="36"/>
        <v>-0.193886387253204</v>
      </c>
      <c r="I124" s="24">
        <f t="shared" si="37"/>
        <v>59.69197580453713</v>
      </c>
      <c r="J124" s="24">
        <f t="shared" si="38"/>
        <v>112.54524796791635</v>
      </c>
      <c r="K124" s="21">
        <v>12572204.56</v>
      </c>
      <c r="L124" s="21">
        <v>15614904.66</v>
      </c>
      <c r="M124" s="25">
        <f t="shared" si="39"/>
        <v>-0.19485870495222093</v>
      </c>
      <c r="N124" s="10"/>
      <c r="R124" s="2"/>
    </row>
    <row r="125" spans="1:18" ht="15.75" customHeight="1">
      <c r="A125" s="19"/>
      <c r="B125" s="20">
        <f>DATE(2022,6,1)</f>
        <v>44713</v>
      </c>
      <c r="C125" s="21">
        <v>193030</v>
      </c>
      <c r="D125" s="21">
        <v>232027</v>
      </c>
      <c r="E125" s="23">
        <f t="shared" si="35"/>
        <v>-0.16807095725928448</v>
      </c>
      <c r="F125" s="21">
        <f>+C125-90130</f>
        <v>102900</v>
      </c>
      <c r="G125" s="21">
        <f>+D125-104771</f>
        <v>127256</v>
      </c>
      <c r="H125" s="23">
        <f t="shared" si="36"/>
        <v>-0.19139372603256427</v>
      </c>
      <c r="I125" s="24">
        <f t="shared" si="37"/>
        <v>59.05711537066777</v>
      </c>
      <c r="J125" s="24">
        <f t="shared" si="38"/>
        <v>110.78517959183674</v>
      </c>
      <c r="K125" s="21">
        <v>11399794.98</v>
      </c>
      <c r="L125" s="21">
        <v>13991149.82</v>
      </c>
      <c r="M125" s="25">
        <f t="shared" si="39"/>
        <v>-0.18521385828459377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SUM(C114:C126)</f>
        <v>2514206</v>
      </c>
      <c r="D127" s="41">
        <f>SUM(D114:D126)</f>
        <v>2724893</v>
      </c>
      <c r="E127" s="280">
        <f>(+C127-D127)/D127</f>
        <v>-0.07731936630172268</v>
      </c>
      <c r="F127" s="41">
        <f>SUM(F114:F126)</f>
        <v>1346943</v>
      </c>
      <c r="G127" s="41">
        <f>SUM(G114:G126)</f>
        <v>1457225</v>
      </c>
      <c r="H127" s="42">
        <f>(+F127-G127)/G127</f>
        <v>-0.07567945924616995</v>
      </c>
      <c r="I127" s="43">
        <f>K127/C127</f>
        <v>59.85756444778192</v>
      </c>
      <c r="J127" s="43">
        <f>K127/F127</f>
        <v>111.730227396408</v>
      </c>
      <c r="K127" s="41">
        <f>SUM(K114:K126)</f>
        <v>150494247.67999998</v>
      </c>
      <c r="L127" s="41">
        <f>SUM(L114:L126)</f>
        <v>161549417.56</v>
      </c>
      <c r="M127" s="44">
        <f>(+K127-L127)/L127</f>
        <v>-0.0684321246524711</v>
      </c>
      <c r="N127" s="10"/>
      <c r="R127" s="2"/>
    </row>
    <row r="128" spans="1:18" ht="15.75" customHeight="1" thickTop="1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>
      <c r="A129" s="19" t="s">
        <v>16</v>
      </c>
      <c r="B129" s="20">
        <f>DATE(2021,7,1)</f>
        <v>44378</v>
      </c>
      <c r="C129" s="21">
        <v>292626</v>
      </c>
      <c r="D129" s="21">
        <v>211446</v>
      </c>
      <c r="E129" s="23">
        <f aca="true" t="shared" si="40" ref="E129:E140">(+C129-D129)/D129</f>
        <v>0.38392781135609094</v>
      </c>
      <c r="F129" s="21">
        <f>+C129-144119</f>
        <v>148507</v>
      </c>
      <c r="G129" s="21">
        <f>+D129-102823</f>
        <v>108623</v>
      </c>
      <c r="H129" s="23">
        <f aca="true" t="shared" si="41" ref="H129:H140">(+F129-G129)/G129</f>
        <v>0.36717822192353367</v>
      </c>
      <c r="I129" s="24">
        <f aca="true" t="shared" si="42" ref="I129:I140">K129/C129</f>
        <v>61.88412635924354</v>
      </c>
      <c r="J129" s="24">
        <f aca="true" t="shared" si="43" ref="J129:J140">K129/F129</f>
        <v>121.93973590470482</v>
      </c>
      <c r="K129" s="21">
        <v>18108904.36</v>
      </c>
      <c r="L129" s="21">
        <v>13827445.61</v>
      </c>
      <c r="M129" s="25">
        <f aca="true" t="shared" si="44" ref="M129:M140">(+K129-L129)/L129</f>
        <v>0.3096348284967147</v>
      </c>
      <c r="N129" s="10"/>
      <c r="R129" s="2"/>
    </row>
    <row r="130" spans="1:18" ht="15.75" customHeight="1">
      <c r="A130" s="19"/>
      <c r="B130" s="20">
        <f>DATE(2021,8,1)</f>
        <v>44409</v>
      </c>
      <c r="C130" s="21">
        <v>252812</v>
      </c>
      <c r="D130" s="21">
        <v>225551</v>
      </c>
      <c r="E130" s="23">
        <f t="shared" si="40"/>
        <v>0.12086401745059876</v>
      </c>
      <c r="F130" s="21">
        <f>+C130-122587</f>
        <v>130225</v>
      </c>
      <c r="G130" s="21">
        <f>+D130-110461</f>
        <v>115090</v>
      </c>
      <c r="H130" s="23">
        <f t="shared" si="41"/>
        <v>0.13150577808671474</v>
      </c>
      <c r="I130" s="24">
        <f t="shared" si="42"/>
        <v>64.4053988734712</v>
      </c>
      <c r="J130" s="24">
        <f t="shared" si="43"/>
        <v>125.0332708773277</v>
      </c>
      <c r="K130" s="21">
        <v>16282457.7</v>
      </c>
      <c r="L130" s="21">
        <v>14343284.68</v>
      </c>
      <c r="M130" s="25">
        <f t="shared" si="44"/>
        <v>0.13519727616533647</v>
      </c>
      <c r="N130" s="10"/>
      <c r="R130" s="2"/>
    </row>
    <row r="131" spans="1:18" ht="15.75" customHeight="1">
      <c r="A131" s="19"/>
      <c r="B131" s="20">
        <f>DATE(2021,9,1)</f>
        <v>44440</v>
      </c>
      <c r="C131" s="21">
        <v>243584</v>
      </c>
      <c r="D131" s="21">
        <v>224827</v>
      </c>
      <c r="E131" s="23">
        <f t="shared" si="40"/>
        <v>0.08342859176166563</v>
      </c>
      <c r="F131" s="21">
        <f>+C131-118454</f>
        <v>125130</v>
      </c>
      <c r="G131" s="21">
        <f>+D131-110393</f>
        <v>114434</v>
      </c>
      <c r="H131" s="23">
        <f t="shared" si="41"/>
        <v>0.0934687243301816</v>
      </c>
      <c r="I131" s="24">
        <f t="shared" si="42"/>
        <v>59.40915228422228</v>
      </c>
      <c r="J131" s="24">
        <f t="shared" si="43"/>
        <v>115.64867697594501</v>
      </c>
      <c r="K131" s="21">
        <v>14471118.95</v>
      </c>
      <c r="L131" s="21">
        <v>13592591.22</v>
      </c>
      <c r="M131" s="25">
        <f t="shared" si="44"/>
        <v>0.06463283679916319</v>
      </c>
      <c r="N131" s="10"/>
      <c r="R131" s="2"/>
    </row>
    <row r="132" spans="1:18" ht="15.75" customHeight="1">
      <c r="A132" s="19"/>
      <c r="B132" s="20">
        <f>DATE(2021,10,1)</f>
        <v>44470</v>
      </c>
      <c r="C132" s="21">
        <v>265943</v>
      </c>
      <c r="D132" s="21">
        <v>236689</v>
      </c>
      <c r="E132" s="23">
        <f t="shared" si="40"/>
        <v>0.12359678734541951</v>
      </c>
      <c r="F132" s="21">
        <f>+C132-130327</f>
        <v>135616</v>
      </c>
      <c r="G132" s="21">
        <f>+D132-116990</f>
        <v>119699</v>
      </c>
      <c r="H132" s="23">
        <f t="shared" si="41"/>
        <v>0.13297521282550398</v>
      </c>
      <c r="I132" s="24">
        <f t="shared" si="42"/>
        <v>62.01888288091809</v>
      </c>
      <c r="J132" s="24">
        <f t="shared" si="43"/>
        <v>121.61904030497875</v>
      </c>
      <c r="K132" s="21">
        <v>16493487.77</v>
      </c>
      <c r="L132" s="21">
        <v>14448861.33</v>
      </c>
      <c r="M132" s="25">
        <f t="shared" si="44"/>
        <v>0.14150779035817623</v>
      </c>
      <c r="N132" s="10"/>
      <c r="R132" s="2"/>
    </row>
    <row r="133" spans="1:18" ht="15.75" customHeight="1">
      <c r="A133" s="19"/>
      <c r="B133" s="20">
        <f>DATE(2021,11,1)</f>
        <v>44501</v>
      </c>
      <c r="C133" s="21">
        <v>251827</v>
      </c>
      <c r="D133" s="21">
        <v>217833</v>
      </c>
      <c r="E133" s="23">
        <f t="shared" si="40"/>
        <v>0.1560553267870341</v>
      </c>
      <c r="F133" s="21">
        <f>+C133-125798</f>
        <v>126029</v>
      </c>
      <c r="G133" s="21">
        <f>+D133-108450</f>
        <v>109383</v>
      </c>
      <c r="H133" s="23">
        <f t="shared" si="41"/>
        <v>0.15218086905643474</v>
      </c>
      <c r="I133" s="24">
        <f t="shared" si="42"/>
        <v>63.78193295397237</v>
      </c>
      <c r="J133" s="24">
        <f t="shared" si="43"/>
        <v>127.44695927127883</v>
      </c>
      <c r="K133" s="21">
        <v>16062012.83</v>
      </c>
      <c r="L133" s="21">
        <v>12584367.83</v>
      </c>
      <c r="M133" s="25">
        <f t="shared" si="44"/>
        <v>0.2763464201761178</v>
      </c>
      <c r="N133" s="10"/>
      <c r="R133" s="2"/>
    </row>
    <row r="134" spans="1:18" ht="15.75" customHeight="1">
      <c r="A134" s="19"/>
      <c r="B134" s="20">
        <f>DATE(2021,12,1)</f>
        <v>44531</v>
      </c>
      <c r="C134" s="21">
        <v>268015</v>
      </c>
      <c r="D134" s="21">
        <v>232838</v>
      </c>
      <c r="E134" s="23">
        <f t="shared" si="40"/>
        <v>0.15107929118099278</v>
      </c>
      <c r="F134" s="21">
        <f>+C134-132764</f>
        <v>135251</v>
      </c>
      <c r="G134" s="21">
        <f>+D134-115697</f>
        <v>117141</v>
      </c>
      <c r="H134" s="23">
        <f t="shared" si="41"/>
        <v>0.154600011951409</v>
      </c>
      <c r="I134" s="24">
        <f t="shared" si="42"/>
        <v>62.5305111281085</v>
      </c>
      <c r="J134" s="24">
        <f t="shared" si="43"/>
        <v>123.91120908533023</v>
      </c>
      <c r="K134" s="21">
        <v>16759114.94</v>
      </c>
      <c r="L134" s="21">
        <v>14119546.37</v>
      </c>
      <c r="M134" s="25">
        <f t="shared" si="44"/>
        <v>0.18694428991063972</v>
      </c>
      <c r="N134" s="10"/>
      <c r="R134" s="2"/>
    </row>
    <row r="135" spans="1:18" ht="15.75" customHeight="1">
      <c r="A135" s="19"/>
      <c r="B135" s="20">
        <f>DATE(2022,1,1)</f>
        <v>44562</v>
      </c>
      <c r="C135" s="21">
        <v>234359</v>
      </c>
      <c r="D135" s="21">
        <v>260524</v>
      </c>
      <c r="E135" s="23">
        <f t="shared" si="40"/>
        <v>-0.1004322058620319</v>
      </c>
      <c r="F135" s="21">
        <f>+C135-117571</f>
        <v>116788</v>
      </c>
      <c r="G135" s="21">
        <f>+D135-129652</f>
        <v>130872</v>
      </c>
      <c r="H135" s="23">
        <f t="shared" si="41"/>
        <v>-0.10761660248181429</v>
      </c>
      <c r="I135" s="24">
        <f t="shared" si="42"/>
        <v>63.59234938705149</v>
      </c>
      <c r="J135" s="24">
        <f t="shared" si="43"/>
        <v>127.61105087851492</v>
      </c>
      <c r="K135" s="21">
        <v>14903439.41</v>
      </c>
      <c r="L135" s="21">
        <v>15741735.04</v>
      </c>
      <c r="M135" s="25">
        <f t="shared" si="44"/>
        <v>-0.05325306440934728</v>
      </c>
      <c r="N135" s="10"/>
      <c r="R135" s="2"/>
    </row>
    <row r="136" spans="1:18" ht="15.75" customHeight="1">
      <c r="A136" s="19"/>
      <c r="B136" s="20">
        <f>DATE(2022,2,1)</f>
        <v>44593</v>
      </c>
      <c r="C136" s="21">
        <v>253600</v>
      </c>
      <c r="D136" s="21">
        <v>219600</v>
      </c>
      <c r="E136" s="23">
        <f t="shared" si="40"/>
        <v>0.15482695810564662</v>
      </c>
      <c r="F136" s="21">
        <f>+C136-127165</f>
        <v>126435</v>
      </c>
      <c r="G136" s="21">
        <f>+D136-109391</f>
        <v>110209</v>
      </c>
      <c r="H136" s="23">
        <f t="shared" si="41"/>
        <v>0.14722935513433566</v>
      </c>
      <c r="I136" s="24">
        <f t="shared" si="42"/>
        <v>63.0611619873817</v>
      </c>
      <c r="J136" s="24">
        <f t="shared" si="43"/>
        <v>126.48642132320956</v>
      </c>
      <c r="K136" s="21">
        <v>15992310.68</v>
      </c>
      <c r="L136" s="21">
        <v>13340742.96</v>
      </c>
      <c r="M136" s="25">
        <f t="shared" si="44"/>
        <v>0.19875712529281792</v>
      </c>
      <c r="N136" s="10"/>
      <c r="R136" s="2"/>
    </row>
    <row r="137" spans="1:18" ht="15.75" customHeight="1">
      <c r="A137" s="19"/>
      <c r="B137" s="20">
        <f>DATE(2022,3,1)</f>
        <v>44621</v>
      </c>
      <c r="C137" s="21">
        <v>286481</v>
      </c>
      <c r="D137" s="21">
        <v>314144</v>
      </c>
      <c r="E137" s="23">
        <f t="shared" si="40"/>
        <v>-0.08805834267087705</v>
      </c>
      <c r="F137" s="21">
        <f>+C137-143159</f>
        <v>143322</v>
      </c>
      <c r="G137" s="21">
        <f>+D137-159326</f>
        <v>154818</v>
      </c>
      <c r="H137" s="23">
        <f t="shared" si="41"/>
        <v>-0.07425493159710111</v>
      </c>
      <c r="I137" s="24">
        <f t="shared" si="42"/>
        <v>64.40312558249937</v>
      </c>
      <c r="J137" s="24">
        <f t="shared" si="43"/>
        <v>128.73300553997294</v>
      </c>
      <c r="K137" s="21">
        <v>18450271.82</v>
      </c>
      <c r="L137" s="21">
        <v>19668050.27</v>
      </c>
      <c r="M137" s="25">
        <f t="shared" si="44"/>
        <v>-0.061916582136130535</v>
      </c>
      <c r="N137" s="10"/>
      <c r="R137" s="2"/>
    </row>
    <row r="138" spans="1:18" ht="15.75" customHeight="1">
      <c r="A138" s="19"/>
      <c r="B138" s="20">
        <f>DATE(2022,4,1)</f>
        <v>44652</v>
      </c>
      <c r="C138" s="21">
        <v>270998</v>
      </c>
      <c r="D138" s="21">
        <v>297291</v>
      </c>
      <c r="E138" s="23">
        <f t="shared" si="40"/>
        <v>-0.08844196427069774</v>
      </c>
      <c r="F138" s="21">
        <f>+C138-136091</f>
        <v>134907</v>
      </c>
      <c r="G138" s="21">
        <f>+D138-148792</f>
        <v>148499</v>
      </c>
      <c r="H138" s="23">
        <f t="shared" si="41"/>
        <v>-0.09152923588711036</v>
      </c>
      <c r="I138" s="24">
        <f t="shared" si="42"/>
        <v>65.62320832626071</v>
      </c>
      <c r="J138" s="24">
        <f t="shared" si="43"/>
        <v>131.82235325075794</v>
      </c>
      <c r="K138" s="21">
        <v>17783758.21</v>
      </c>
      <c r="L138" s="21">
        <v>19428776.84</v>
      </c>
      <c r="M138" s="25">
        <f t="shared" si="44"/>
        <v>-0.08466918136674624</v>
      </c>
      <c r="N138" s="10"/>
      <c r="R138" s="2"/>
    </row>
    <row r="139" spans="1:18" ht="15.75" customHeight="1">
      <c r="A139" s="19"/>
      <c r="B139" s="20">
        <f>DATE(2022,5,1)</f>
        <v>44682</v>
      </c>
      <c r="C139" s="21">
        <v>253303</v>
      </c>
      <c r="D139" s="21">
        <v>299779</v>
      </c>
      <c r="E139" s="23">
        <f t="shared" si="40"/>
        <v>-0.15503420853361977</v>
      </c>
      <c r="F139" s="21">
        <f>+C139-124460</f>
        <v>128843</v>
      </c>
      <c r="G139" s="21">
        <f>+D139-150268</f>
        <v>149511</v>
      </c>
      <c r="H139" s="23">
        <f t="shared" si="41"/>
        <v>-0.13823732033094555</v>
      </c>
      <c r="I139" s="24">
        <f t="shared" si="42"/>
        <v>66.31521391377125</v>
      </c>
      <c r="J139" s="24">
        <f t="shared" si="43"/>
        <v>130.3745071909223</v>
      </c>
      <c r="K139" s="21">
        <v>16797842.63</v>
      </c>
      <c r="L139" s="21">
        <v>19306806.95</v>
      </c>
      <c r="M139" s="25">
        <f t="shared" si="44"/>
        <v>-0.1299523181900361</v>
      </c>
      <c r="N139" s="10"/>
      <c r="R139" s="2"/>
    </row>
    <row r="140" spans="1:18" ht="15.75" customHeight="1">
      <c r="A140" s="19"/>
      <c r="B140" s="20">
        <f>DATE(2022,6,1)</f>
        <v>44713</v>
      </c>
      <c r="C140" s="21">
        <v>235437</v>
      </c>
      <c r="D140" s="21">
        <v>273147</v>
      </c>
      <c r="E140" s="23">
        <f t="shared" si="40"/>
        <v>-0.13805752946215774</v>
      </c>
      <c r="F140" s="21">
        <f>+C140-115130</f>
        <v>120307</v>
      </c>
      <c r="G140" s="21">
        <f>+D140-135381</f>
        <v>137766</v>
      </c>
      <c r="H140" s="23">
        <f t="shared" si="41"/>
        <v>-0.12672938170521028</v>
      </c>
      <c r="I140" s="24">
        <f t="shared" si="42"/>
        <v>70.47662423493334</v>
      </c>
      <c r="J140" s="24">
        <f t="shared" si="43"/>
        <v>137.92052814881927</v>
      </c>
      <c r="K140" s="21">
        <v>16592804.98</v>
      </c>
      <c r="L140" s="21">
        <v>16784216.42</v>
      </c>
      <c r="M140" s="25">
        <f t="shared" si="44"/>
        <v>-0.011404252376769657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6.5" thickBot="1" thickTop="1">
      <c r="A142" s="39" t="s">
        <v>14</v>
      </c>
      <c r="B142" s="40"/>
      <c r="C142" s="41">
        <f>SUM(C129:C141)</f>
        <v>3108985</v>
      </c>
      <c r="D142" s="41">
        <f>SUM(D129:D141)</f>
        <v>3013669</v>
      </c>
      <c r="E142" s="280">
        <f>(+C142-D142)/D142</f>
        <v>0.03162789277787308</v>
      </c>
      <c r="F142" s="41">
        <f>SUM(F129:F141)</f>
        <v>1571360</v>
      </c>
      <c r="G142" s="41">
        <f>SUM(G129:G141)</f>
        <v>1516045</v>
      </c>
      <c r="H142" s="42">
        <f>(+F142-G142)/G142</f>
        <v>0.03648638397936737</v>
      </c>
      <c r="I142" s="43">
        <f>K142/C142</f>
        <v>63.910737517228284</v>
      </c>
      <c r="J142" s="43">
        <f>K142/F142</f>
        <v>126.44939687913653</v>
      </c>
      <c r="K142" s="41">
        <f>SUM(K129:K141)</f>
        <v>198697524.27999997</v>
      </c>
      <c r="L142" s="41">
        <f>SUM(L129:L141)</f>
        <v>187186425.51999998</v>
      </c>
      <c r="M142" s="44">
        <f>(+K142-L142)/L142</f>
        <v>0.06149537140859653</v>
      </c>
      <c r="N142" s="10"/>
      <c r="R142" s="2"/>
    </row>
    <row r="143" spans="1:18" ht="15.75" customHeight="1" thickTop="1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>
      <c r="A144" s="19" t="s">
        <v>53</v>
      </c>
      <c r="B144" s="20">
        <f>DATE(2021,7,1)</f>
        <v>44378</v>
      </c>
      <c r="C144" s="21">
        <v>338901</v>
      </c>
      <c r="D144" s="21">
        <v>223492</v>
      </c>
      <c r="E144" s="23">
        <f aca="true" t="shared" si="45" ref="E144:E155">(+C144-D144)/D144</f>
        <v>0.5163898484062069</v>
      </c>
      <c r="F144" s="21">
        <f>+C144-160819</f>
        <v>178082</v>
      </c>
      <c r="G144" s="21">
        <f>+D144-109534</f>
        <v>113958</v>
      </c>
      <c r="H144" s="23">
        <f aca="true" t="shared" si="46" ref="H144:H155">(+F144-G144)/G144</f>
        <v>0.562698538057881</v>
      </c>
      <c r="I144" s="24">
        <f aca="true" t="shared" si="47" ref="I144:I155">K144/C144</f>
        <v>59.42407481830977</v>
      </c>
      <c r="J144" s="24">
        <f aca="true" t="shared" si="48" ref="J144:J155">K144/F144</f>
        <v>113.08766961287496</v>
      </c>
      <c r="K144" s="21">
        <v>20138878.38</v>
      </c>
      <c r="L144" s="21">
        <v>15036571.48</v>
      </c>
      <c r="M144" s="25">
        <f aca="true" t="shared" si="49" ref="M144:M155">(+K144-L144)/L144</f>
        <v>0.33932648189027187</v>
      </c>
      <c r="N144" s="10"/>
      <c r="R144" s="2"/>
    </row>
    <row r="145" spans="1:18" ht="15.75" customHeight="1">
      <c r="A145" s="19"/>
      <c r="B145" s="20">
        <f>DATE(2021,8,1)</f>
        <v>44409</v>
      </c>
      <c r="C145" s="21">
        <v>315503</v>
      </c>
      <c r="D145" s="21">
        <v>243172</v>
      </c>
      <c r="E145" s="23">
        <f t="shared" si="45"/>
        <v>0.2974478969618213</v>
      </c>
      <c r="F145" s="21">
        <f>+C145-149989</f>
        <v>165514</v>
      </c>
      <c r="G145" s="21">
        <f>+D145-117936</f>
        <v>125236</v>
      </c>
      <c r="H145" s="23">
        <f t="shared" si="46"/>
        <v>0.3216167875051902</v>
      </c>
      <c r="I145" s="24">
        <f t="shared" si="47"/>
        <v>60.83894787054323</v>
      </c>
      <c r="J145" s="24">
        <f t="shared" si="48"/>
        <v>115.97128079799896</v>
      </c>
      <c r="K145" s="21">
        <v>19194870.57</v>
      </c>
      <c r="L145" s="21">
        <v>15861571.8</v>
      </c>
      <c r="M145" s="25">
        <f t="shared" si="49"/>
        <v>0.21014933526323032</v>
      </c>
      <c r="N145" s="10"/>
      <c r="R145" s="2"/>
    </row>
    <row r="146" spans="1:18" ht="15.75" customHeight="1">
      <c r="A146" s="19"/>
      <c r="B146" s="20">
        <f>DATE(2021,9,1)</f>
        <v>44440</v>
      </c>
      <c r="C146" s="21">
        <v>329297</v>
      </c>
      <c r="D146" s="21">
        <v>258989</v>
      </c>
      <c r="E146" s="23">
        <f t="shared" si="45"/>
        <v>0.2714709891153678</v>
      </c>
      <c r="F146" s="21">
        <f>+C146-155913</f>
        <v>173384</v>
      </c>
      <c r="G146" s="21">
        <f>+D146-126754</f>
        <v>132235</v>
      </c>
      <c r="H146" s="23">
        <f t="shared" si="46"/>
        <v>0.3111808522705789</v>
      </c>
      <c r="I146" s="24">
        <f t="shared" si="47"/>
        <v>59.145045171987604</v>
      </c>
      <c r="J146" s="24">
        <f t="shared" si="48"/>
        <v>112.33035308909704</v>
      </c>
      <c r="K146" s="21">
        <v>19476285.94</v>
      </c>
      <c r="L146" s="21">
        <v>16406074.95</v>
      </c>
      <c r="M146" s="25">
        <f t="shared" si="49"/>
        <v>0.18713866658277106</v>
      </c>
      <c r="N146" s="10"/>
      <c r="R146" s="2"/>
    </row>
    <row r="147" spans="1:18" ht="15.75" customHeight="1">
      <c r="A147" s="19"/>
      <c r="B147" s="20">
        <f>DATE(2021,10,1)</f>
        <v>44470</v>
      </c>
      <c r="C147" s="21">
        <v>343168</v>
      </c>
      <c r="D147" s="21">
        <v>272659</v>
      </c>
      <c r="E147" s="23">
        <f t="shared" si="45"/>
        <v>0.2585977356331535</v>
      </c>
      <c r="F147" s="21">
        <f>+C147-164416</f>
        <v>178752</v>
      </c>
      <c r="G147" s="21">
        <f>+D147-130567</f>
        <v>142092</v>
      </c>
      <c r="H147" s="23">
        <f t="shared" si="46"/>
        <v>0.2580018579511866</v>
      </c>
      <c r="I147" s="24">
        <f t="shared" si="47"/>
        <v>61.27494839262402</v>
      </c>
      <c r="J147" s="24">
        <f t="shared" si="48"/>
        <v>117.63561520989974</v>
      </c>
      <c r="K147" s="21">
        <v>21027601.49</v>
      </c>
      <c r="L147" s="21">
        <v>16384207.62</v>
      </c>
      <c r="M147" s="25">
        <f t="shared" si="49"/>
        <v>0.28340667902254035</v>
      </c>
      <c r="N147" s="10"/>
      <c r="R147" s="2"/>
    </row>
    <row r="148" spans="1:18" ht="15.75" customHeight="1">
      <c r="A148" s="19"/>
      <c r="B148" s="20">
        <f>DATE(2021,11,1)</f>
        <v>44501</v>
      </c>
      <c r="C148" s="21">
        <v>319143</v>
      </c>
      <c r="D148" s="21">
        <v>229316</v>
      </c>
      <c r="E148" s="23">
        <f t="shared" si="45"/>
        <v>0.3917171065254932</v>
      </c>
      <c r="F148" s="21">
        <f>+C148-158694</f>
        <v>160449</v>
      </c>
      <c r="G148" s="21">
        <f>+D148-112072</f>
        <v>117244</v>
      </c>
      <c r="H148" s="23">
        <f t="shared" si="46"/>
        <v>0.36850499812357135</v>
      </c>
      <c r="I148" s="24">
        <f t="shared" si="47"/>
        <v>62.14873533181051</v>
      </c>
      <c r="J148" s="24">
        <f t="shared" si="48"/>
        <v>123.61768437322763</v>
      </c>
      <c r="K148" s="21">
        <v>19834333.84</v>
      </c>
      <c r="L148" s="21">
        <v>14486891.19</v>
      </c>
      <c r="M148" s="25">
        <f t="shared" si="49"/>
        <v>0.36912285595761424</v>
      </c>
      <c r="N148" s="10"/>
      <c r="R148" s="2"/>
    </row>
    <row r="149" spans="1:18" ht="15.75" customHeight="1">
      <c r="A149" s="19"/>
      <c r="B149" s="20">
        <f>DATE(2021,12,1)</f>
        <v>44531</v>
      </c>
      <c r="C149" s="21">
        <v>337706</v>
      </c>
      <c r="D149" s="21">
        <v>224469</v>
      </c>
      <c r="E149" s="23">
        <f t="shared" si="45"/>
        <v>0.5044660955410324</v>
      </c>
      <c r="F149" s="21">
        <f>+C149-167775</f>
        <v>169931</v>
      </c>
      <c r="G149" s="21">
        <f>+D149-110658</f>
        <v>113811</v>
      </c>
      <c r="H149" s="23">
        <f t="shared" si="46"/>
        <v>0.49309820667598037</v>
      </c>
      <c r="I149" s="24">
        <f t="shared" si="47"/>
        <v>64.77993817107188</v>
      </c>
      <c r="J149" s="24">
        <f t="shared" si="48"/>
        <v>128.73798070981752</v>
      </c>
      <c r="K149" s="21">
        <v>21876573.8</v>
      </c>
      <c r="L149" s="21">
        <v>14094420.29</v>
      </c>
      <c r="M149" s="25">
        <f t="shared" si="49"/>
        <v>0.5521442776558497</v>
      </c>
      <c r="N149" s="10"/>
      <c r="R149" s="2"/>
    </row>
    <row r="150" spans="1:18" ht="15.75" customHeight="1">
      <c r="A150" s="19"/>
      <c r="B150" s="20">
        <f>DATE(2022,1,1)</f>
        <v>44562</v>
      </c>
      <c r="C150" s="21">
        <v>310561</v>
      </c>
      <c r="D150" s="21">
        <v>245222</v>
      </c>
      <c r="E150" s="23">
        <f t="shared" si="45"/>
        <v>0.26644836107690173</v>
      </c>
      <c r="F150" s="21">
        <f>+C150-154923</f>
        <v>155638</v>
      </c>
      <c r="G150" s="21">
        <f>+D150-119074</f>
        <v>126148</v>
      </c>
      <c r="H150" s="23">
        <f t="shared" si="46"/>
        <v>0.23377302850619908</v>
      </c>
      <c r="I150" s="24">
        <f t="shared" si="47"/>
        <v>60.40809460943261</v>
      </c>
      <c r="J150" s="24">
        <f t="shared" si="48"/>
        <v>120.53867480949383</v>
      </c>
      <c r="K150" s="21">
        <v>18760398.27</v>
      </c>
      <c r="L150" s="21">
        <v>15688493.17</v>
      </c>
      <c r="M150" s="25">
        <f t="shared" si="49"/>
        <v>0.19580625536901067</v>
      </c>
      <c r="N150" s="10"/>
      <c r="R150" s="2"/>
    </row>
    <row r="151" spans="1:18" ht="15.75" customHeight="1">
      <c r="A151" s="19"/>
      <c r="B151" s="20">
        <f>DATE(2022,2,1)</f>
        <v>44593</v>
      </c>
      <c r="C151" s="21">
        <v>302200</v>
      </c>
      <c r="D151" s="21">
        <v>206903</v>
      </c>
      <c r="E151" s="23">
        <f t="shared" si="45"/>
        <v>0.4605878116798693</v>
      </c>
      <c r="F151" s="21">
        <f>+C151-150400</f>
        <v>151800</v>
      </c>
      <c r="G151" s="21">
        <f>+D151-98743</f>
        <v>108160</v>
      </c>
      <c r="H151" s="23">
        <f t="shared" si="46"/>
        <v>0.40347633136094674</v>
      </c>
      <c r="I151" s="24">
        <f t="shared" si="47"/>
        <v>64.47833845135672</v>
      </c>
      <c r="J151" s="24">
        <f t="shared" si="48"/>
        <v>128.36201501976285</v>
      </c>
      <c r="K151" s="21">
        <v>19485353.88</v>
      </c>
      <c r="L151" s="21">
        <v>13345364.67</v>
      </c>
      <c r="M151" s="25">
        <f t="shared" si="49"/>
        <v>0.46008403380707313</v>
      </c>
      <c r="N151" s="10"/>
      <c r="R151" s="2"/>
    </row>
    <row r="152" spans="1:18" ht="15.75" customHeight="1">
      <c r="A152" s="19"/>
      <c r="B152" s="20">
        <f>DATE(2022,3,1)</f>
        <v>44621</v>
      </c>
      <c r="C152" s="21">
        <v>362122</v>
      </c>
      <c r="D152" s="21">
        <v>292430</v>
      </c>
      <c r="E152" s="23">
        <f t="shared" si="45"/>
        <v>0.23832028177683548</v>
      </c>
      <c r="F152" s="21">
        <f>+C152-178958</f>
        <v>183164</v>
      </c>
      <c r="G152" s="21">
        <f>+D152-142039</f>
        <v>150391</v>
      </c>
      <c r="H152" s="23">
        <f t="shared" si="46"/>
        <v>0.21791862544966123</v>
      </c>
      <c r="I152" s="24">
        <f t="shared" si="47"/>
        <v>64.99591728754397</v>
      </c>
      <c r="J152" s="24">
        <f t="shared" si="48"/>
        <v>128.49933152802953</v>
      </c>
      <c r="K152" s="21">
        <v>23536451.56</v>
      </c>
      <c r="L152" s="21">
        <v>18946242.3</v>
      </c>
      <c r="M152" s="25">
        <f t="shared" si="49"/>
        <v>0.24227544371687876</v>
      </c>
      <c r="N152" s="10"/>
      <c r="R152" s="2"/>
    </row>
    <row r="153" spans="1:18" ht="15.75" customHeight="1">
      <c r="A153" s="19"/>
      <c r="B153" s="20">
        <f>DATE(2022,4,1)</f>
        <v>44652</v>
      </c>
      <c r="C153" s="21">
        <v>362549</v>
      </c>
      <c r="D153" s="21">
        <v>297361</v>
      </c>
      <c r="E153" s="23">
        <f t="shared" si="45"/>
        <v>0.21922175402961383</v>
      </c>
      <c r="F153" s="21">
        <f>+C153-177339</f>
        <v>185210</v>
      </c>
      <c r="G153" s="21">
        <f>+D153-142685</f>
        <v>154676</v>
      </c>
      <c r="H153" s="23">
        <f t="shared" si="46"/>
        <v>0.19740619100571516</v>
      </c>
      <c r="I153" s="24">
        <f t="shared" si="47"/>
        <v>64.4293080659442</v>
      </c>
      <c r="J153" s="24">
        <f t="shared" si="48"/>
        <v>126.12051838453648</v>
      </c>
      <c r="K153" s="21">
        <v>23358781.21</v>
      </c>
      <c r="L153" s="21">
        <v>19138403.7</v>
      </c>
      <c r="M153" s="25">
        <f t="shared" si="49"/>
        <v>0.220518783915087</v>
      </c>
      <c r="N153" s="10"/>
      <c r="R153" s="2"/>
    </row>
    <row r="154" spans="1:18" ht="15.75" customHeight="1">
      <c r="A154" s="19"/>
      <c r="B154" s="20">
        <f>DATE(2022,5,1)</f>
        <v>44682</v>
      </c>
      <c r="C154" s="21">
        <v>339247</v>
      </c>
      <c r="D154" s="21">
        <v>330022</v>
      </c>
      <c r="E154" s="23">
        <f t="shared" si="45"/>
        <v>0.02795268194241596</v>
      </c>
      <c r="F154" s="21">
        <f>+C154-163437</f>
        <v>175810</v>
      </c>
      <c r="G154" s="21">
        <f>+D154-159230</f>
        <v>170792</v>
      </c>
      <c r="H154" s="23">
        <f t="shared" si="46"/>
        <v>0.02938076724905148</v>
      </c>
      <c r="I154" s="24">
        <f t="shared" si="47"/>
        <v>67.3118801050562</v>
      </c>
      <c r="J154" s="24">
        <f t="shared" si="48"/>
        <v>129.886544508276</v>
      </c>
      <c r="K154" s="21">
        <v>22835353.39</v>
      </c>
      <c r="L154" s="21">
        <v>20850404.82</v>
      </c>
      <c r="M154" s="25">
        <f t="shared" si="49"/>
        <v>0.09519952188630937</v>
      </c>
      <c r="N154" s="10"/>
      <c r="R154" s="2"/>
    </row>
    <row r="155" spans="1:18" ht="15.75" customHeight="1">
      <c r="A155" s="19"/>
      <c r="B155" s="20">
        <f>DATE(2022,6,1)</f>
        <v>44713</v>
      </c>
      <c r="C155" s="21">
        <v>320052</v>
      </c>
      <c r="D155" s="21">
        <v>320991</v>
      </c>
      <c r="E155" s="23">
        <f t="shared" si="45"/>
        <v>-0.0029253156630559734</v>
      </c>
      <c r="F155" s="21">
        <f>+C155-153576</f>
        <v>166476</v>
      </c>
      <c r="G155" s="21">
        <f>+D155-150961</f>
        <v>170030</v>
      </c>
      <c r="H155" s="23">
        <f t="shared" si="46"/>
        <v>-0.020902193730518145</v>
      </c>
      <c r="I155" s="24">
        <f t="shared" si="47"/>
        <v>62.281408864809464</v>
      </c>
      <c r="J155" s="24">
        <f t="shared" si="48"/>
        <v>119.73671562267234</v>
      </c>
      <c r="K155" s="21">
        <v>19933289.47</v>
      </c>
      <c r="L155" s="21">
        <v>19675929.48</v>
      </c>
      <c r="M155" s="25">
        <f t="shared" si="49"/>
        <v>0.013079940658539011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6.5" thickBot="1" thickTop="1">
      <c r="A157" s="39" t="s">
        <v>14</v>
      </c>
      <c r="B157" s="40"/>
      <c r="C157" s="41">
        <f>SUM(C144:C156)</f>
        <v>3980449</v>
      </c>
      <c r="D157" s="41">
        <f>SUM(D144:D156)</f>
        <v>3145026</v>
      </c>
      <c r="E157" s="280">
        <f>(+C157-D157)/D157</f>
        <v>0.26563309810475333</v>
      </c>
      <c r="F157" s="41">
        <f>SUM(F144:F156)</f>
        <v>2044210</v>
      </c>
      <c r="G157" s="41">
        <f>SUM(G144:G156)</f>
        <v>1624773</v>
      </c>
      <c r="H157" s="42">
        <f>(+F157-G157)/G157</f>
        <v>0.2581511386513685</v>
      </c>
      <c r="I157" s="43">
        <f>K157/C157</f>
        <v>62.670862457978984</v>
      </c>
      <c r="J157" s="43">
        <f>K157/F157</f>
        <v>122.03157787115805</v>
      </c>
      <c r="K157" s="41">
        <f>SUM(K144:K156)</f>
        <v>249458171.79999998</v>
      </c>
      <c r="L157" s="41">
        <f>SUM(L144:L156)</f>
        <v>199914575.47</v>
      </c>
      <c r="M157" s="44">
        <f>(+K157-L157)/L157</f>
        <v>0.2478238328222081</v>
      </c>
      <c r="N157" s="10"/>
      <c r="R157" s="2"/>
    </row>
    <row r="158" spans="1:18" ht="15.75" customHeight="1" thickTop="1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>
      <c r="A159" s="19" t="s">
        <v>54</v>
      </c>
      <c r="B159" s="20">
        <f>DATE(2021,7,1)</f>
        <v>44378</v>
      </c>
      <c r="C159" s="21">
        <v>54523</v>
      </c>
      <c r="D159" s="21">
        <v>43226</v>
      </c>
      <c r="E159" s="23">
        <f aca="true" t="shared" si="50" ref="E159:E170">(+C159-D159)/D159</f>
        <v>0.26134733725072873</v>
      </c>
      <c r="F159" s="21">
        <f>+C159-27936</f>
        <v>26587</v>
      </c>
      <c r="G159" s="21">
        <f>+D159-22161</f>
        <v>21065</v>
      </c>
      <c r="H159" s="23">
        <f aca="true" t="shared" si="51" ref="H159:H170">(+F159-G159)/G159</f>
        <v>0.26214099216710185</v>
      </c>
      <c r="I159" s="24">
        <f aca="true" t="shared" si="52" ref="I159:I170">K159/C159</f>
        <v>66.70228380683382</v>
      </c>
      <c r="J159" s="24">
        <f aca="true" t="shared" si="53" ref="J159:J170">K159/F159</f>
        <v>136.7889803287321</v>
      </c>
      <c r="K159" s="21">
        <v>3636808.62</v>
      </c>
      <c r="L159" s="21">
        <v>2973337.45</v>
      </c>
      <c r="M159" s="25">
        <f aca="true" t="shared" si="54" ref="M159:M170">(+K159-L159)/L159</f>
        <v>0.22314021908276838</v>
      </c>
      <c r="N159" s="10"/>
      <c r="R159" s="2"/>
    </row>
    <row r="160" spans="1:18" ht="15" customHeight="1">
      <c r="A160" s="19"/>
      <c r="B160" s="20">
        <f>DATE(2021,8,1)</f>
        <v>44409</v>
      </c>
      <c r="C160" s="21">
        <v>47684</v>
      </c>
      <c r="D160" s="21">
        <v>46706</v>
      </c>
      <c r="E160" s="23">
        <f t="shared" si="50"/>
        <v>0.020939493855179205</v>
      </c>
      <c r="F160" s="21">
        <f>+C160-24640</f>
        <v>23044</v>
      </c>
      <c r="G160" s="21">
        <f>+D160-23797</f>
        <v>22909</v>
      </c>
      <c r="H160" s="23">
        <f t="shared" si="51"/>
        <v>0.0058928805273036795</v>
      </c>
      <c r="I160" s="24">
        <f t="shared" si="52"/>
        <v>67.62697319855717</v>
      </c>
      <c r="J160" s="24">
        <f t="shared" si="53"/>
        <v>139.9377100329804</v>
      </c>
      <c r="K160" s="21">
        <v>3224724.59</v>
      </c>
      <c r="L160" s="21">
        <v>3072719.82</v>
      </c>
      <c r="M160" s="25">
        <f t="shared" si="54"/>
        <v>0.04946912797275478</v>
      </c>
      <c r="N160" s="10"/>
      <c r="R160" s="2"/>
    </row>
    <row r="161" spans="1:18" ht="15" customHeight="1">
      <c r="A161" s="19"/>
      <c r="B161" s="20">
        <f>DATE(2021,9,1)</f>
        <v>44440</v>
      </c>
      <c r="C161" s="21">
        <v>47289</v>
      </c>
      <c r="D161" s="21">
        <v>44655</v>
      </c>
      <c r="E161" s="23">
        <f t="shared" si="50"/>
        <v>0.05898555592878737</v>
      </c>
      <c r="F161" s="21">
        <f>+C161-24190</f>
        <v>23099</v>
      </c>
      <c r="G161" s="21">
        <f>+D161-22941</f>
        <v>21714</v>
      </c>
      <c r="H161" s="23">
        <f t="shared" si="51"/>
        <v>0.06378373399649995</v>
      </c>
      <c r="I161" s="24">
        <f t="shared" si="52"/>
        <v>66.49749730381272</v>
      </c>
      <c r="J161" s="24">
        <f t="shared" si="53"/>
        <v>136.13576994675094</v>
      </c>
      <c r="K161" s="21">
        <v>3144600.15</v>
      </c>
      <c r="L161" s="21">
        <v>2816158.99</v>
      </c>
      <c r="M161" s="25">
        <f t="shared" si="54"/>
        <v>0.11662734993523916</v>
      </c>
      <c r="N161" s="10"/>
      <c r="R161" s="2"/>
    </row>
    <row r="162" spans="1:18" ht="15" customHeight="1">
      <c r="A162" s="19"/>
      <c r="B162" s="20">
        <f>DATE(2021,10,1)</f>
        <v>44470</v>
      </c>
      <c r="C162" s="21">
        <v>51019</v>
      </c>
      <c r="D162" s="21">
        <v>42403</v>
      </c>
      <c r="E162" s="23">
        <f t="shared" si="50"/>
        <v>0.20319317029455464</v>
      </c>
      <c r="F162" s="21">
        <f>+C162-26626</f>
        <v>24393</v>
      </c>
      <c r="G162" s="21">
        <f>+D162-22277</f>
        <v>20126</v>
      </c>
      <c r="H162" s="23">
        <f t="shared" si="51"/>
        <v>0.21201430984795785</v>
      </c>
      <c r="I162" s="24">
        <f t="shared" si="52"/>
        <v>68.50660401027069</v>
      </c>
      <c r="J162" s="24">
        <f t="shared" si="53"/>
        <v>143.2844844832534</v>
      </c>
      <c r="K162" s="21">
        <v>3495138.43</v>
      </c>
      <c r="L162" s="21">
        <v>2872212.37</v>
      </c>
      <c r="M162" s="25">
        <f t="shared" si="54"/>
        <v>0.21688022324059555</v>
      </c>
      <c r="N162" s="10"/>
      <c r="R162" s="2"/>
    </row>
    <row r="163" spans="1:18" ht="15" customHeight="1">
      <c r="A163" s="19"/>
      <c r="B163" s="20">
        <f>DATE(2021,11,1)</f>
        <v>44501</v>
      </c>
      <c r="C163" s="21">
        <v>42978</v>
      </c>
      <c r="D163" s="21">
        <v>37816</v>
      </c>
      <c r="E163" s="23">
        <f t="shared" si="50"/>
        <v>0.13650306748466257</v>
      </c>
      <c r="F163" s="21">
        <f>+C163-22231</f>
        <v>20747</v>
      </c>
      <c r="G163" s="21">
        <f>+D163-19316</f>
        <v>18500</v>
      </c>
      <c r="H163" s="23">
        <f t="shared" si="51"/>
        <v>0.12145945945945946</v>
      </c>
      <c r="I163" s="24">
        <f t="shared" si="52"/>
        <v>74.27079645399972</v>
      </c>
      <c r="J163" s="24">
        <f t="shared" si="53"/>
        <v>153.85406516604812</v>
      </c>
      <c r="K163" s="21">
        <v>3192010.29</v>
      </c>
      <c r="L163" s="21">
        <v>2647748.8</v>
      </c>
      <c r="M163" s="25">
        <f t="shared" si="54"/>
        <v>0.20555631636958924</v>
      </c>
      <c r="N163" s="10"/>
      <c r="R163" s="2"/>
    </row>
    <row r="164" spans="1:18" ht="15" customHeight="1">
      <c r="A164" s="19"/>
      <c r="B164" s="20">
        <f>DATE(2021,12,1)</f>
        <v>44531</v>
      </c>
      <c r="C164" s="21">
        <v>46732</v>
      </c>
      <c r="D164" s="21">
        <v>48198</v>
      </c>
      <c r="E164" s="23">
        <f t="shared" si="50"/>
        <v>-0.03041619984231711</v>
      </c>
      <c r="F164" s="21">
        <f>+C164-24398</f>
        <v>22334</v>
      </c>
      <c r="G164" s="21">
        <f>+D164-24463</f>
        <v>23735</v>
      </c>
      <c r="H164" s="23">
        <f t="shared" si="51"/>
        <v>-0.059026753739203706</v>
      </c>
      <c r="I164" s="24">
        <f t="shared" si="52"/>
        <v>67.88380103569288</v>
      </c>
      <c r="J164" s="24">
        <f t="shared" si="53"/>
        <v>142.04109384794484</v>
      </c>
      <c r="K164" s="21">
        <v>3172345.79</v>
      </c>
      <c r="L164" s="21">
        <v>3323052.33</v>
      </c>
      <c r="M164" s="25">
        <f t="shared" si="54"/>
        <v>-0.04535184072770832</v>
      </c>
      <c r="N164" s="10"/>
      <c r="R164" s="2"/>
    </row>
    <row r="165" spans="1:18" ht="15" customHeight="1">
      <c r="A165" s="19"/>
      <c r="B165" s="20">
        <f>DATE(2022,1,1)</f>
        <v>44562</v>
      </c>
      <c r="C165" s="21">
        <v>38219</v>
      </c>
      <c r="D165" s="21">
        <v>49456</v>
      </c>
      <c r="E165" s="23">
        <f t="shared" si="50"/>
        <v>-0.22721206729213847</v>
      </c>
      <c r="F165" s="21">
        <f>+C165-20352</f>
        <v>17867</v>
      </c>
      <c r="G165" s="21">
        <f>+D165-25797</f>
        <v>23659</v>
      </c>
      <c r="H165" s="23">
        <f t="shared" si="51"/>
        <v>-0.2448116995646477</v>
      </c>
      <c r="I165" s="24">
        <f t="shared" si="52"/>
        <v>74.00493864308328</v>
      </c>
      <c r="J165" s="24">
        <f t="shared" si="53"/>
        <v>158.3027228969609</v>
      </c>
      <c r="K165" s="21">
        <v>2828394.75</v>
      </c>
      <c r="L165" s="21">
        <v>3510894.63</v>
      </c>
      <c r="M165" s="25">
        <f t="shared" si="54"/>
        <v>-0.19439486282731303</v>
      </c>
      <c r="N165" s="10"/>
      <c r="R165" s="2"/>
    </row>
    <row r="166" spans="1:18" ht="15" customHeight="1">
      <c r="A166" s="19"/>
      <c r="B166" s="20">
        <f>DATE(2022,2,1)</f>
        <v>44593</v>
      </c>
      <c r="C166" s="21">
        <v>40513</v>
      </c>
      <c r="D166" s="21">
        <v>37429</v>
      </c>
      <c r="E166" s="23">
        <f t="shared" si="50"/>
        <v>0.08239600309920116</v>
      </c>
      <c r="F166" s="21">
        <f>+C166-21623</f>
        <v>18890</v>
      </c>
      <c r="G166" s="21">
        <f>+D166-19952</f>
        <v>17477</v>
      </c>
      <c r="H166" s="23">
        <f t="shared" si="51"/>
        <v>0.08084911598100361</v>
      </c>
      <c r="I166" s="24">
        <f t="shared" si="52"/>
        <v>73.4469397477353</v>
      </c>
      <c r="J166" s="24">
        <f t="shared" si="53"/>
        <v>157.52016251985177</v>
      </c>
      <c r="K166" s="21">
        <v>2975555.87</v>
      </c>
      <c r="L166" s="21">
        <v>2627318.7</v>
      </c>
      <c r="M166" s="25">
        <f t="shared" si="54"/>
        <v>0.13254470042024208</v>
      </c>
      <c r="N166" s="10"/>
      <c r="R166" s="2"/>
    </row>
    <row r="167" spans="1:18" ht="15" customHeight="1">
      <c r="A167" s="19"/>
      <c r="B167" s="20">
        <f>DATE(2022,3,1)</f>
        <v>44621</v>
      </c>
      <c r="C167" s="21">
        <v>49211</v>
      </c>
      <c r="D167" s="21">
        <v>59560</v>
      </c>
      <c r="E167" s="23">
        <f t="shared" si="50"/>
        <v>-0.17375755540631296</v>
      </c>
      <c r="F167" s="21">
        <f>+C167-26110</f>
        <v>23101</v>
      </c>
      <c r="G167" s="21">
        <f>+D167-31450</f>
        <v>28110</v>
      </c>
      <c r="H167" s="23">
        <f t="shared" si="51"/>
        <v>-0.17819281394521522</v>
      </c>
      <c r="I167" s="24">
        <f t="shared" si="52"/>
        <v>71.66710268029506</v>
      </c>
      <c r="J167" s="24">
        <f t="shared" si="53"/>
        <v>152.66913943119346</v>
      </c>
      <c r="K167" s="21">
        <v>3526809.79</v>
      </c>
      <c r="L167" s="21">
        <v>4280670.77</v>
      </c>
      <c r="M167" s="25">
        <f t="shared" si="54"/>
        <v>-0.17610814297685398</v>
      </c>
      <c r="N167" s="10"/>
      <c r="R167" s="2"/>
    </row>
    <row r="168" spans="1:18" ht="15" customHeight="1">
      <c r="A168" s="19"/>
      <c r="B168" s="20">
        <f>DATE(2022,4,1)</f>
        <v>44652</v>
      </c>
      <c r="C168" s="21">
        <v>48033</v>
      </c>
      <c r="D168" s="21">
        <v>56019</v>
      </c>
      <c r="E168" s="23">
        <f t="shared" si="50"/>
        <v>-0.14255877470144057</v>
      </c>
      <c r="F168" s="21">
        <f>+C168-25621</f>
        <v>22412</v>
      </c>
      <c r="G168" s="21">
        <f>+D168-29778</f>
        <v>26241</v>
      </c>
      <c r="H168" s="23">
        <f t="shared" si="51"/>
        <v>-0.14591669524789452</v>
      </c>
      <c r="I168" s="24">
        <f t="shared" si="52"/>
        <v>72.56027168821434</v>
      </c>
      <c r="J168" s="24">
        <f t="shared" si="53"/>
        <v>155.50988443690878</v>
      </c>
      <c r="K168" s="21">
        <v>3485287.53</v>
      </c>
      <c r="L168" s="21">
        <v>3913281.44</v>
      </c>
      <c r="M168" s="25">
        <f t="shared" si="54"/>
        <v>-0.1093695704135198</v>
      </c>
      <c r="N168" s="10"/>
      <c r="R168" s="2"/>
    </row>
    <row r="169" spans="1:18" ht="15" customHeight="1">
      <c r="A169" s="19"/>
      <c r="B169" s="20">
        <f>DATE(2022,5,1)</f>
        <v>44682</v>
      </c>
      <c r="C169" s="21">
        <v>42883</v>
      </c>
      <c r="D169" s="21">
        <v>53383</v>
      </c>
      <c r="E169" s="23">
        <f t="shared" si="50"/>
        <v>-0.19669183073263025</v>
      </c>
      <c r="F169" s="21">
        <f>+C169-22214</f>
        <v>20669</v>
      </c>
      <c r="G169" s="21">
        <f>+D169-27804</f>
        <v>25579</v>
      </c>
      <c r="H169" s="23">
        <f t="shared" si="51"/>
        <v>-0.19195433754251534</v>
      </c>
      <c r="I169" s="24">
        <f t="shared" si="52"/>
        <v>71.97379404425996</v>
      </c>
      <c r="J169" s="24">
        <f t="shared" si="53"/>
        <v>149.32760220620253</v>
      </c>
      <c r="K169" s="21">
        <v>3086452.21</v>
      </c>
      <c r="L169" s="21">
        <v>3315944.52</v>
      </c>
      <c r="M169" s="25">
        <f t="shared" si="54"/>
        <v>-0.06920873030770734</v>
      </c>
      <c r="N169" s="10"/>
      <c r="R169" s="2"/>
    </row>
    <row r="170" spans="1:18" ht="15" customHeight="1">
      <c r="A170" s="19"/>
      <c r="B170" s="20">
        <f>DATE(2022,6,1)</f>
        <v>44713</v>
      </c>
      <c r="C170" s="21">
        <v>38719</v>
      </c>
      <c r="D170" s="21">
        <v>48227</v>
      </c>
      <c r="E170" s="23">
        <f t="shared" si="50"/>
        <v>-0.19715097352105668</v>
      </c>
      <c r="F170" s="21">
        <f>+C170-19665</f>
        <v>19054</v>
      </c>
      <c r="G170" s="21">
        <f>+D170-24893</f>
        <v>23334</v>
      </c>
      <c r="H170" s="23">
        <f t="shared" si="51"/>
        <v>-0.18342333076197823</v>
      </c>
      <c r="I170" s="24">
        <f t="shared" si="52"/>
        <v>70.4249363361657</v>
      </c>
      <c r="J170" s="24">
        <f t="shared" si="53"/>
        <v>143.10817203736747</v>
      </c>
      <c r="K170" s="21">
        <v>2726783.11</v>
      </c>
      <c r="L170" s="21">
        <v>3344875.53</v>
      </c>
      <c r="M170" s="25">
        <f t="shared" si="54"/>
        <v>-0.1847878686236196</v>
      </c>
      <c r="N170" s="10"/>
      <c r="R170" s="2"/>
    </row>
    <row r="171" spans="1:18" ht="1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6.5" thickBot="1" thickTop="1">
      <c r="A172" s="62" t="s">
        <v>14</v>
      </c>
      <c r="B172" s="52"/>
      <c r="C172" s="48">
        <f>SUM(C159:C171)</f>
        <v>547803</v>
      </c>
      <c r="D172" s="48">
        <f>SUM(D159:D171)</f>
        <v>567078</v>
      </c>
      <c r="E172" s="280">
        <f>(+C172-D172)/D172</f>
        <v>-0.033990033117137324</v>
      </c>
      <c r="F172" s="48">
        <f>SUM(F159:F171)</f>
        <v>262197</v>
      </c>
      <c r="G172" s="48">
        <f>SUM(G159:G171)</f>
        <v>272449</v>
      </c>
      <c r="H172" s="42">
        <f>(+F172-G172)/G172</f>
        <v>-0.03762906085175574</v>
      </c>
      <c r="I172" s="50">
        <f>K172/C172</f>
        <v>70.27145001031391</v>
      </c>
      <c r="J172" s="50">
        <f>K172/F172</f>
        <v>146.8167489711934</v>
      </c>
      <c r="K172" s="48">
        <f>SUM(K159:K171)</f>
        <v>38494911.129999995</v>
      </c>
      <c r="L172" s="48">
        <f>SUM(L159:L171)</f>
        <v>38698215.35</v>
      </c>
      <c r="M172" s="44">
        <f>(+K172-L172)/L172</f>
        <v>-0.0052535812869211876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">
      <c r="A174" s="19" t="s">
        <v>17</v>
      </c>
      <c r="B174" s="20">
        <f>DATE(2021,7,1)</f>
        <v>44378</v>
      </c>
      <c r="C174" s="21">
        <v>395405</v>
      </c>
      <c r="D174" s="21">
        <v>316439</v>
      </c>
      <c r="E174" s="23">
        <f aca="true" t="shared" si="55" ref="E174:E185">(+C174-D174)/D174</f>
        <v>0.24954572603250547</v>
      </c>
      <c r="F174" s="21">
        <f>+C174-202613</f>
        <v>192792</v>
      </c>
      <c r="G174" s="21">
        <f>+D174-163690</f>
        <v>152749</v>
      </c>
      <c r="H174" s="23">
        <f aca="true" t="shared" si="56" ref="H174:H185">(+F174-G174)/G174</f>
        <v>0.2621490157055038</v>
      </c>
      <c r="I174" s="24">
        <f aca="true" t="shared" si="57" ref="I174:I185">K174/C174</f>
        <v>66.96832900443849</v>
      </c>
      <c r="J174" s="24">
        <f aca="true" t="shared" si="58" ref="J174:J185">K174/F174</f>
        <v>137.3480856570812</v>
      </c>
      <c r="K174" s="21">
        <v>26479612.13</v>
      </c>
      <c r="L174" s="21">
        <v>22725911.81</v>
      </c>
      <c r="M174" s="25">
        <f aca="true" t="shared" si="59" ref="M174:M185">(+K174-L174)/L174</f>
        <v>0.1651727046810185</v>
      </c>
      <c r="N174" s="10"/>
      <c r="R174" s="2"/>
    </row>
    <row r="175" spans="1:18" ht="15">
      <c r="A175" s="19"/>
      <c r="B175" s="20">
        <f>DATE(2021,8,1)</f>
        <v>44409</v>
      </c>
      <c r="C175" s="21">
        <v>360122</v>
      </c>
      <c r="D175" s="21">
        <v>305395</v>
      </c>
      <c r="E175" s="23">
        <f t="shared" si="55"/>
        <v>0.17920070728073478</v>
      </c>
      <c r="F175" s="21">
        <f>+C175-186327</f>
        <v>173795</v>
      </c>
      <c r="G175" s="21">
        <f>+D175-155433</f>
        <v>149962</v>
      </c>
      <c r="H175" s="23">
        <f t="shared" si="56"/>
        <v>0.15892692815513262</v>
      </c>
      <c r="I175" s="24">
        <f t="shared" si="57"/>
        <v>67.82060901583353</v>
      </c>
      <c r="J175" s="24">
        <f t="shared" si="58"/>
        <v>140.5316226588797</v>
      </c>
      <c r="K175" s="21">
        <v>24423693.36</v>
      </c>
      <c r="L175" s="21">
        <v>20775703.29</v>
      </c>
      <c r="M175" s="25">
        <f t="shared" si="59"/>
        <v>0.17558924572030699</v>
      </c>
      <c r="N175" s="10"/>
      <c r="R175" s="2"/>
    </row>
    <row r="176" spans="1:18" ht="15">
      <c r="A176" s="19"/>
      <c r="B176" s="20">
        <f>DATE(2021,9,1)</f>
        <v>44440</v>
      </c>
      <c r="C176" s="21">
        <v>353289</v>
      </c>
      <c r="D176" s="21">
        <v>318244</v>
      </c>
      <c r="E176" s="23">
        <f t="shared" si="55"/>
        <v>0.11011990799512324</v>
      </c>
      <c r="F176" s="21">
        <f>+C176-183914</f>
        <v>169375</v>
      </c>
      <c r="G176" s="21">
        <f>+D176-166636</f>
        <v>151608</v>
      </c>
      <c r="H176" s="23">
        <f t="shared" si="56"/>
        <v>0.11719038573162366</v>
      </c>
      <c r="I176" s="24">
        <f t="shared" si="57"/>
        <v>67.24789580202044</v>
      </c>
      <c r="J176" s="24">
        <f t="shared" si="58"/>
        <v>140.26829142435423</v>
      </c>
      <c r="K176" s="21">
        <v>23757941.86</v>
      </c>
      <c r="L176" s="21">
        <v>20397277.65</v>
      </c>
      <c r="M176" s="25">
        <f t="shared" si="59"/>
        <v>0.16476042870358246</v>
      </c>
      <c r="N176" s="10"/>
      <c r="R176" s="2"/>
    </row>
    <row r="177" spans="1:18" ht="15">
      <c r="A177" s="19"/>
      <c r="B177" s="20">
        <f>DATE(2021,10,1)</f>
        <v>44470</v>
      </c>
      <c r="C177" s="21">
        <v>364454</v>
      </c>
      <c r="D177" s="21">
        <v>334295</v>
      </c>
      <c r="E177" s="23">
        <f t="shared" si="55"/>
        <v>0.09021672474909885</v>
      </c>
      <c r="F177" s="21">
        <f>+C177-184794</f>
        <v>179660</v>
      </c>
      <c r="G177" s="21">
        <f>+D177-175103</f>
        <v>159192</v>
      </c>
      <c r="H177" s="23">
        <f t="shared" si="56"/>
        <v>0.12857430021609126</v>
      </c>
      <c r="I177" s="24">
        <f t="shared" si="57"/>
        <v>73.07088601030583</v>
      </c>
      <c r="J177" s="24">
        <f t="shared" si="58"/>
        <v>148.22986023600134</v>
      </c>
      <c r="K177" s="21">
        <v>26630976.69</v>
      </c>
      <c r="L177" s="21">
        <v>21914196.89</v>
      </c>
      <c r="M177" s="25">
        <f t="shared" si="59"/>
        <v>0.21523854256107308</v>
      </c>
      <c r="N177" s="10"/>
      <c r="R177" s="2"/>
    </row>
    <row r="178" spans="1:18" ht="15">
      <c r="A178" s="19"/>
      <c r="B178" s="20">
        <f>DATE(2021,11,1)</f>
        <v>44501</v>
      </c>
      <c r="C178" s="21">
        <v>343235</v>
      </c>
      <c r="D178" s="21">
        <v>292924</v>
      </c>
      <c r="E178" s="23">
        <f t="shared" si="55"/>
        <v>0.17175444825278913</v>
      </c>
      <c r="F178" s="21">
        <f>+C178-177609</f>
        <v>165626</v>
      </c>
      <c r="G178" s="21">
        <f>+D178-150746</f>
        <v>142178</v>
      </c>
      <c r="H178" s="23">
        <f t="shared" si="56"/>
        <v>0.1649200298217727</v>
      </c>
      <c r="I178" s="24">
        <f t="shared" si="57"/>
        <v>69.57171861843926</v>
      </c>
      <c r="J178" s="24">
        <f t="shared" si="58"/>
        <v>144.17693381473924</v>
      </c>
      <c r="K178" s="21">
        <v>23879448.84</v>
      </c>
      <c r="L178" s="21">
        <v>19060349.81</v>
      </c>
      <c r="M178" s="25">
        <f t="shared" si="59"/>
        <v>0.25283371386351283</v>
      </c>
      <c r="N178" s="10"/>
      <c r="R178" s="2"/>
    </row>
    <row r="179" spans="1:18" ht="15">
      <c r="A179" s="19"/>
      <c r="B179" s="20">
        <f>DATE(2021,12,1)</f>
        <v>44531</v>
      </c>
      <c r="C179" s="21">
        <v>379724</v>
      </c>
      <c r="D179" s="21">
        <v>344056</v>
      </c>
      <c r="E179" s="23">
        <f t="shared" si="55"/>
        <v>0.10366917013509429</v>
      </c>
      <c r="F179" s="21">
        <f>+C179-197551</f>
        <v>182173</v>
      </c>
      <c r="G179" s="21">
        <f>+D179-176597</f>
        <v>167459</v>
      </c>
      <c r="H179" s="23">
        <f t="shared" si="56"/>
        <v>0.08786628368735033</v>
      </c>
      <c r="I179" s="24">
        <f t="shared" si="57"/>
        <v>71.76307449621304</v>
      </c>
      <c r="J179" s="24">
        <f t="shared" si="58"/>
        <v>149.58397622040587</v>
      </c>
      <c r="K179" s="21">
        <v>27250161.7</v>
      </c>
      <c r="L179" s="21">
        <v>23881076.29</v>
      </c>
      <c r="M179" s="25">
        <f t="shared" si="59"/>
        <v>0.14107762016617217</v>
      </c>
      <c r="N179" s="10"/>
      <c r="R179" s="2"/>
    </row>
    <row r="180" spans="1:18" ht="15">
      <c r="A180" s="19"/>
      <c r="B180" s="20">
        <f>DATE(2022,1,1)</f>
        <v>44562</v>
      </c>
      <c r="C180" s="21">
        <v>335416</v>
      </c>
      <c r="D180" s="21">
        <v>393510</v>
      </c>
      <c r="E180" s="23">
        <f t="shared" si="55"/>
        <v>-0.14763030164417676</v>
      </c>
      <c r="F180" s="21">
        <f>+C180-174643</f>
        <v>160773</v>
      </c>
      <c r="G180" s="21">
        <f>+D180-207236</f>
        <v>186274</v>
      </c>
      <c r="H180" s="23">
        <f t="shared" si="56"/>
        <v>-0.13690047993815563</v>
      </c>
      <c r="I180" s="24">
        <f t="shared" si="57"/>
        <v>72.54911017959788</v>
      </c>
      <c r="J180" s="24">
        <f t="shared" si="58"/>
        <v>151.35708321670927</v>
      </c>
      <c r="K180" s="21">
        <v>24334132.34</v>
      </c>
      <c r="L180" s="21">
        <v>25974745.73</v>
      </c>
      <c r="M180" s="25">
        <f t="shared" si="59"/>
        <v>-0.0631618652615007</v>
      </c>
      <c r="N180" s="10"/>
      <c r="R180" s="2"/>
    </row>
    <row r="181" spans="1:18" ht="15">
      <c r="A181" s="19"/>
      <c r="B181" s="20">
        <f>DATE(2022,2,1)</f>
        <v>44593</v>
      </c>
      <c r="C181" s="21">
        <v>330616</v>
      </c>
      <c r="D181" s="21">
        <v>319714</v>
      </c>
      <c r="E181" s="23">
        <f t="shared" si="55"/>
        <v>0.034099226183401415</v>
      </c>
      <c r="F181" s="21">
        <f>+C181-173794</f>
        <v>156822</v>
      </c>
      <c r="G181" s="21">
        <f>+D181-169622</f>
        <v>150092</v>
      </c>
      <c r="H181" s="23">
        <f t="shared" si="56"/>
        <v>0.04483916531194201</v>
      </c>
      <c r="I181" s="24">
        <f t="shared" si="57"/>
        <v>70.19677674401723</v>
      </c>
      <c r="J181" s="24">
        <f t="shared" si="58"/>
        <v>147.99057236867276</v>
      </c>
      <c r="K181" s="21">
        <v>23208177.54</v>
      </c>
      <c r="L181" s="21">
        <v>22035625.11</v>
      </c>
      <c r="M181" s="25">
        <f t="shared" si="59"/>
        <v>0.05321167083514609</v>
      </c>
      <c r="N181" s="10"/>
      <c r="R181" s="2"/>
    </row>
    <row r="182" spans="1:18" ht="15">
      <c r="A182" s="19"/>
      <c r="B182" s="20">
        <f>DATE(2022,3,1)</f>
        <v>44621</v>
      </c>
      <c r="C182" s="21">
        <v>370986</v>
      </c>
      <c r="D182" s="21">
        <v>399522</v>
      </c>
      <c r="E182" s="23">
        <f t="shared" si="55"/>
        <v>-0.07142535329719014</v>
      </c>
      <c r="F182" s="21">
        <f>+C182-192946</f>
        <v>178040</v>
      </c>
      <c r="G182" s="21">
        <f>+D182-209767</f>
        <v>189755</v>
      </c>
      <c r="H182" s="23">
        <f t="shared" si="56"/>
        <v>-0.06173750362309294</v>
      </c>
      <c r="I182" s="24">
        <f t="shared" si="57"/>
        <v>72.04240979443969</v>
      </c>
      <c r="J182" s="24">
        <f t="shared" si="58"/>
        <v>150.11640889687712</v>
      </c>
      <c r="K182" s="21">
        <v>26726725.44</v>
      </c>
      <c r="L182" s="21">
        <v>27977243.69</v>
      </c>
      <c r="M182" s="25">
        <f t="shared" si="59"/>
        <v>-0.04469769301995167</v>
      </c>
      <c r="N182" s="10"/>
      <c r="R182" s="2"/>
    </row>
    <row r="183" spans="1:18" ht="15">
      <c r="A183" s="19"/>
      <c r="B183" s="20">
        <f>DATE(2022,4,1)</f>
        <v>44652</v>
      </c>
      <c r="C183" s="21">
        <v>365479</v>
      </c>
      <c r="D183" s="21">
        <v>387065</v>
      </c>
      <c r="E183" s="23">
        <f t="shared" si="55"/>
        <v>-0.055768410990402126</v>
      </c>
      <c r="F183" s="21">
        <f>+C183-189071</f>
        <v>176408</v>
      </c>
      <c r="G183" s="21">
        <f>+D183-202718</f>
        <v>184347</v>
      </c>
      <c r="H183" s="23">
        <f t="shared" si="56"/>
        <v>-0.04306552317097647</v>
      </c>
      <c r="I183" s="24">
        <f t="shared" si="57"/>
        <v>72.19142155910463</v>
      </c>
      <c r="J183" s="24">
        <f t="shared" si="58"/>
        <v>149.56492086526688</v>
      </c>
      <c r="K183" s="21">
        <v>26384448.56</v>
      </c>
      <c r="L183" s="21">
        <v>26933252.24</v>
      </c>
      <c r="M183" s="25">
        <f t="shared" si="59"/>
        <v>-0.020376435608654136</v>
      </c>
      <c r="N183" s="10"/>
      <c r="R183" s="2"/>
    </row>
    <row r="184" spans="1:18" ht="15">
      <c r="A184" s="19"/>
      <c r="B184" s="20">
        <f>DATE(2022,5,1)</f>
        <v>44682</v>
      </c>
      <c r="C184" s="21">
        <v>341187</v>
      </c>
      <c r="D184" s="21">
        <v>391047</v>
      </c>
      <c r="E184" s="23">
        <f t="shared" si="55"/>
        <v>-0.12750385503532824</v>
      </c>
      <c r="F184" s="21">
        <f>+C184-174971</f>
        <v>166216</v>
      </c>
      <c r="G184" s="21">
        <f>+D184-203663</f>
        <v>187384</v>
      </c>
      <c r="H184" s="23">
        <f t="shared" si="56"/>
        <v>-0.11296588822951799</v>
      </c>
      <c r="I184" s="24">
        <f t="shared" si="57"/>
        <v>73.92639335613607</v>
      </c>
      <c r="J184" s="24">
        <f t="shared" si="58"/>
        <v>151.74666921355345</v>
      </c>
      <c r="K184" s="21">
        <v>25222724.37</v>
      </c>
      <c r="L184" s="21">
        <v>26849645.41</v>
      </c>
      <c r="M184" s="25">
        <f t="shared" si="59"/>
        <v>-0.060593762604926674</v>
      </c>
      <c r="N184" s="10"/>
      <c r="R184" s="2"/>
    </row>
    <row r="185" spans="1:18" ht="15">
      <c r="A185" s="19"/>
      <c r="B185" s="20">
        <f>DATE(2022,6,1)</f>
        <v>44713</v>
      </c>
      <c r="C185" s="21">
        <v>324197</v>
      </c>
      <c r="D185" s="21">
        <v>355437</v>
      </c>
      <c r="E185" s="23">
        <f t="shared" si="55"/>
        <v>-0.08789180642420458</v>
      </c>
      <c r="F185" s="21">
        <f>+C185-164914</f>
        <v>159283</v>
      </c>
      <c r="G185" s="21">
        <f>+D185-180849</f>
        <v>174588</v>
      </c>
      <c r="H185" s="23">
        <f t="shared" si="56"/>
        <v>-0.08766352784842028</v>
      </c>
      <c r="I185" s="24">
        <f t="shared" si="57"/>
        <v>74.50098816460361</v>
      </c>
      <c r="J185" s="24">
        <f t="shared" si="58"/>
        <v>151.63574807104337</v>
      </c>
      <c r="K185" s="21">
        <v>24152996.86</v>
      </c>
      <c r="L185" s="21">
        <v>24685949.61</v>
      </c>
      <c r="M185" s="25">
        <f t="shared" si="59"/>
        <v>-0.021589315315790277</v>
      </c>
      <c r="N185" s="10"/>
      <c r="R185" s="2"/>
    </row>
    <row r="186" spans="1:18" ht="1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6.5" thickBot="1" thickTop="1">
      <c r="A187" s="39" t="s">
        <v>14</v>
      </c>
      <c r="B187" s="40"/>
      <c r="C187" s="41">
        <f>SUM(C174:C186)</f>
        <v>4264110</v>
      </c>
      <c r="D187" s="41">
        <f>SUM(D174:D186)</f>
        <v>4157648</v>
      </c>
      <c r="E187" s="280">
        <f>(+C187-D187)/D187</f>
        <v>0.025606304333604</v>
      </c>
      <c r="F187" s="41">
        <f>SUM(F174:F186)</f>
        <v>2060963</v>
      </c>
      <c r="G187" s="41">
        <f>SUM(G174:G186)</f>
        <v>1995588</v>
      </c>
      <c r="H187" s="42">
        <f>(+F187-G187)/G187</f>
        <v>0.03275976804831458</v>
      </c>
      <c r="I187" s="43">
        <f>K187/C187</f>
        <v>70.92946469251497</v>
      </c>
      <c r="J187" s="43">
        <f>K187/F187</f>
        <v>146.75228991980933</v>
      </c>
      <c r="K187" s="41">
        <f>SUM(K174:K186)</f>
        <v>302451039.69</v>
      </c>
      <c r="L187" s="41">
        <f>SUM(L174:L186)</f>
        <v>283210977.53</v>
      </c>
      <c r="M187" s="44">
        <f>(+K187-L187)/L187</f>
        <v>0.06793543925380494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">
      <c r="A189" s="19" t="s">
        <v>56</v>
      </c>
      <c r="B189" s="20">
        <f>DATE(2021,7,1)</f>
        <v>44378</v>
      </c>
      <c r="C189" s="21">
        <v>70527</v>
      </c>
      <c r="D189" s="21">
        <v>61338</v>
      </c>
      <c r="E189" s="23">
        <f aca="true" t="shared" si="60" ref="E189:E200">(+C189-D189)/D189</f>
        <v>0.1498092536437445</v>
      </c>
      <c r="F189" s="21">
        <f>+C189-30135</f>
        <v>40392</v>
      </c>
      <c r="G189" s="21">
        <f>+D189-27914</f>
        <v>33424</v>
      </c>
      <c r="H189" s="23">
        <f aca="true" t="shared" si="61" ref="H189:H200">(+F189-G189)/G189</f>
        <v>0.20847295356629966</v>
      </c>
      <c r="I189" s="24">
        <f aca="true" t="shared" si="62" ref="I189:I200">K189/C189</f>
        <v>58.011039318275266</v>
      </c>
      <c r="J189" s="24">
        <f aca="true" t="shared" si="63" ref="J189:J200">K189/F189</f>
        <v>101.29096281441869</v>
      </c>
      <c r="K189" s="21">
        <v>4091344.57</v>
      </c>
      <c r="L189" s="21">
        <v>3513092.29</v>
      </c>
      <c r="M189" s="25">
        <f aca="true" t="shared" si="64" ref="M189:M200">(+K189-L189)/L189</f>
        <v>0.16459922833396437</v>
      </c>
      <c r="N189" s="10"/>
      <c r="R189" s="2"/>
    </row>
    <row r="190" spans="1:18" ht="15">
      <c r="A190" s="19"/>
      <c r="B190" s="20">
        <f>DATE(2021,8,1)</f>
        <v>44409</v>
      </c>
      <c r="C190" s="21">
        <v>69916</v>
      </c>
      <c r="D190" s="21">
        <v>61855</v>
      </c>
      <c r="E190" s="23">
        <f t="shared" si="60"/>
        <v>0.13032091180987795</v>
      </c>
      <c r="F190" s="21">
        <f>+C190-30124</f>
        <v>39792</v>
      </c>
      <c r="G190" s="21">
        <f>+D190-27562</f>
        <v>34293</v>
      </c>
      <c r="H190" s="23">
        <f t="shared" si="61"/>
        <v>0.16035342489720936</v>
      </c>
      <c r="I190" s="24">
        <f t="shared" si="62"/>
        <v>56.214888723611196</v>
      </c>
      <c r="J190" s="24">
        <f t="shared" si="63"/>
        <v>98.7716164053076</v>
      </c>
      <c r="K190" s="21">
        <v>3930320.16</v>
      </c>
      <c r="L190" s="21">
        <v>3548299.04</v>
      </c>
      <c r="M190" s="25">
        <f t="shared" si="64"/>
        <v>0.10766316922375294</v>
      </c>
      <c r="N190" s="10"/>
      <c r="R190" s="2"/>
    </row>
    <row r="191" spans="1:18" ht="15">
      <c r="A191" s="19"/>
      <c r="B191" s="20">
        <f>DATE(2021,9,1)</f>
        <v>44440</v>
      </c>
      <c r="C191" s="21">
        <v>66900</v>
      </c>
      <c r="D191" s="21">
        <v>58255</v>
      </c>
      <c r="E191" s="23">
        <f t="shared" si="60"/>
        <v>0.14839927903184277</v>
      </c>
      <c r="F191" s="21">
        <f>+C191-28690</f>
        <v>38210</v>
      </c>
      <c r="G191" s="21">
        <f>+D191-26013</f>
        <v>32242</v>
      </c>
      <c r="H191" s="23">
        <f t="shared" si="61"/>
        <v>0.18510017988958502</v>
      </c>
      <c r="I191" s="24">
        <f t="shared" si="62"/>
        <v>54.345169955156955</v>
      </c>
      <c r="J191" s="24">
        <f t="shared" si="63"/>
        <v>95.1502713949228</v>
      </c>
      <c r="K191" s="21">
        <v>3635691.87</v>
      </c>
      <c r="L191" s="21">
        <v>3207756.78</v>
      </c>
      <c r="M191" s="25">
        <f t="shared" si="64"/>
        <v>0.13340633949186145</v>
      </c>
      <c r="N191" s="10"/>
      <c r="R191" s="2"/>
    </row>
    <row r="192" spans="1:18" ht="15">
      <c r="A192" s="19"/>
      <c r="B192" s="20">
        <f>DATE(2021,10,1)</f>
        <v>44470</v>
      </c>
      <c r="C192" s="21">
        <v>71041</v>
      </c>
      <c r="D192" s="21">
        <v>55328</v>
      </c>
      <c r="E192" s="23">
        <f t="shared" si="60"/>
        <v>0.28399725274725274</v>
      </c>
      <c r="F192" s="21">
        <f>+C192-30775</f>
        <v>40266</v>
      </c>
      <c r="G192" s="21">
        <f>+D192-22799</f>
        <v>32529</v>
      </c>
      <c r="H192" s="23">
        <f t="shared" si="61"/>
        <v>0.2378493036982385</v>
      </c>
      <c r="I192" s="24">
        <f t="shared" si="62"/>
        <v>58.03491589363888</v>
      </c>
      <c r="J192" s="24">
        <f t="shared" si="63"/>
        <v>102.39056424775245</v>
      </c>
      <c r="K192" s="21">
        <v>4122858.46</v>
      </c>
      <c r="L192" s="21">
        <v>2898446.12</v>
      </c>
      <c r="M192" s="25">
        <f t="shared" si="64"/>
        <v>0.42243750247805184</v>
      </c>
      <c r="N192" s="10"/>
      <c r="R192" s="2"/>
    </row>
    <row r="193" spans="1:18" ht="15">
      <c r="A193" s="19"/>
      <c r="B193" s="20">
        <f>DATE(2021,11,1)</f>
        <v>44501</v>
      </c>
      <c r="C193" s="21">
        <v>63538</v>
      </c>
      <c r="D193" s="21">
        <v>49882</v>
      </c>
      <c r="E193" s="23">
        <f t="shared" si="60"/>
        <v>0.27376608796760354</v>
      </c>
      <c r="F193" s="21">
        <f>+C193-27532</f>
        <v>36006</v>
      </c>
      <c r="G193" s="21">
        <f>+D193-20773</f>
        <v>29109</v>
      </c>
      <c r="H193" s="23">
        <f t="shared" si="61"/>
        <v>0.2369370297846027</v>
      </c>
      <c r="I193" s="24">
        <f t="shared" si="62"/>
        <v>58.94457505744594</v>
      </c>
      <c r="J193" s="24">
        <f t="shared" si="63"/>
        <v>104.01656418374716</v>
      </c>
      <c r="K193" s="21">
        <v>3745220.41</v>
      </c>
      <c r="L193" s="21">
        <v>2559239.66</v>
      </c>
      <c r="M193" s="25">
        <f t="shared" si="64"/>
        <v>0.4634113672652291</v>
      </c>
      <c r="N193" s="10"/>
      <c r="R193" s="2"/>
    </row>
    <row r="194" spans="1:18" ht="15">
      <c r="A194" s="19"/>
      <c r="B194" s="20">
        <f>DATE(2021,12,1)</f>
        <v>44531</v>
      </c>
      <c r="C194" s="21">
        <v>69761</v>
      </c>
      <c r="D194" s="21">
        <v>53490</v>
      </c>
      <c r="E194" s="23">
        <f t="shared" si="60"/>
        <v>0.3041876986352589</v>
      </c>
      <c r="F194" s="21">
        <f>+C194-31055</f>
        <v>38706</v>
      </c>
      <c r="G194" s="21">
        <f>+D194-22512</f>
        <v>30978</v>
      </c>
      <c r="H194" s="23">
        <f t="shared" si="61"/>
        <v>0.2494673639356963</v>
      </c>
      <c r="I194" s="24">
        <f t="shared" si="62"/>
        <v>59.03780880434627</v>
      </c>
      <c r="J194" s="24">
        <f t="shared" si="63"/>
        <v>106.40563685216762</v>
      </c>
      <c r="K194" s="21">
        <v>4118536.58</v>
      </c>
      <c r="L194" s="21">
        <v>2814228.51</v>
      </c>
      <c r="M194" s="25">
        <f t="shared" si="64"/>
        <v>0.4634691409618334</v>
      </c>
      <c r="N194" s="10"/>
      <c r="R194" s="2"/>
    </row>
    <row r="195" spans="1:18" ht="15">
      <c r="A195" s="19"/>
      <c r="B195" s="20">
        <f>DATE(2022,1,1)</f>
        <v>44562</v>
      </c>
      <c r="C195" s="21">
        <v>58380</v>
      </c>
      <c r="D195" s="21">
        <v>60656</v>
      </c>
      <c r="E195" s="23">
        <f t="shared" si="60"/>
        <v>-0.03752308098127143</v>
      </c>
      <c r="F195" s="21">
        <f>+C195-26040</f>
        <v>32340</v>
      </c>
      <c r="G195" s="21">
        <f>+D195-26102</f>
        <v>34554</v>
      </c>
      <c r="H195" s="23">
        <f t="shared" si="61"/>
        <v>-0.06407362389303699</v>
      </c>
      <c r="I195" s="24">
        <f t="shared" si="62"/>
        <v>60.6662183967112</v>
      </c>
      <c r="J195" s="24">
        <f t="shared" si="63"/>
        <v>109.51434230055659</v>
      </c>
      <c r="K195" s="21">
        <v>3541693.83</v>
      </c>
      <c r="L195" s="21">
        <v>3145575.75</v>
      </c>
      <c r="M195" s="25">
        <f t="shared" si="64"/>
        <v>0.12592864120344266</v>
      </c>
      <c r="N195" s="10"/>
      <c r="R195" s="2"/>
    </row>
    <row r="196" spans="1:18" ht="15">
      <c r="A196" s="19"/>
      <c r="B196" s="20">
        <f>DATE(2022,2,1)</f>
        <v>44593</v>
      </c>
      <c r="C196" s="21">
        <v>66748</v>
      </c>
      <c r="D196" s="21">
        <v>50775</v>
      </c>
      <c r="E196" s="23">
        <f t="shared" si="60"/>
        <v>0.31458394879369767</v>
      </c>
      <c r="F196" s="21">
        <f>+C196-30082</f>
        <v>36666</v>
      </c>
      <c r="G196" s="21">
        <f>+D196-21966</f>
        <v>28809</v>
      </c>
      <c r="H196" s="23">
        <f t="shared" si="61"/>
        <v>0.2727272727272727</v>
      </c>
      <c r="I196" s="24">
        <f t="shared" si="62"/>
        <v>60.51974171510757</v>
      </c>
      <c r="J196" s="24">
        <f t="shared" si="63"/>
        <v>110.17214094801724</v>
      </c>
      <c r="K196" s="21">
        <v>4039571.72</v>
      </c>
      <c r="L196" s="21">
        <v>2813909.67</v>
      </c>
      <c r="M196" s="25">
        <f t="shared" si="64"/>
        <v>0.4355726351372183</v>
      </c>
      <c r="N196" s="10"/>
      <c r="R196" s="2"/>
    </row>
    <row r="197" spans="1:18" ht="15">
      <c r="A197" s="19"/>
      <c r="B197" s="20">
        <f>DATE(2022,3,1)</f>
        <v>44621</v>
      </c>
      <c r="C197" s="21">
        <v>73525</v>
      </c>
      <c r="D197" s="21">
        <v>76729</v>
      </c>
      <c r="E197" s="23">
        <f t="shared" si="60"/>
        <v>-0.0417573538036466</v>
      </c>
      <c r="F197" s="21">
        <f>+C197-32882</f>
        <v>40643</v>
      </c>
      <c r="G197" s="21">
        <f>+D197-32968</f>
        <v>43761</v>
      </c>
      <c r="H197" s="23">
        <f t="shared" si="61"/>
        <v>-0.07125065697767419</v>
      </c>
      <c r="I197" s="24">
        <f t="shared" si="62"/>
        <v>61.68331193471608</v>
      </c>
      <c r="J197" s="24">
        <f t="shared" si="63"/>
        <v>111.5878628546121</v>
      </c>
      <c r="K197" s="21">
        <v>4535265.51</v>
      </c>
      <c r="L197" s="21">
        <v>4472904.94</v>
      </c>
      <c r="M197" s="25">
        <f t="shared" si="64"/>
        <v>0.013941850058633118</v>
      </c>
      <c r="N197" s="10"/>
      <c r="R197" s="2"/>
    </row>
    <row r="198" spans="1:18" ht="15">
      <c r="A198" s="19"/>
      <c r="B198" s="20">
        <f>DATE(2022,4,1)</f>
        <v>44652</v>
      </c>
      <c r="C198" s="21">
        <v>72346</v>
      </c>
      <c r="D198" s="21">
        <v>77702</v>
      </c>
      <c r="E198" s="23">
        <f t="shared" si="60"/>
        <v>-0.06893001467143703</v>
      </c>
      <c r="F198" s="21">
        <f>+C198-32026</f>
        <v>40320</v>
      </c>
      <c r="G198" s="21">
        <f>+D198-34358</f>
        <v>43344</v>
      </c>
      <c r="H198" s="23">
        <f t="shared" si="61"/>
        <v>-0.06976744186046512</v>
      </c>
      <c r="I198" s="24">
        <f t="shared" si="62"/>
        <v>63.425217012689025</v>
      </c>
      <c r="J198" s="24">
        <f t="shared" si="63"/>
        <v>113.8035900297619</v>
      </c>
      <c r="K198" s="21">
        <v>4588560.75</v>
      </c>
      <c r="L198" s="21">
        <v>4516812.79</v>
      </c>
      <c r="M198" s="25">
        <f t="shared" si="64"/>
        <v>0.015884643295123145</v>
      </c>
      <c r="N198" s="10"/>
      <c r="R198" s="2"/>
    </row>
    <row r="199" spans="1:18" ht="15">
      <c r="A199" s="19"/>
      <c r="B199" s="20">
        <f>DATE(2022,5,1)</f>
        <v>44682</v>
      </c>
      <c r="C199" s="21">
        <v>65550</v>
      </c>
      <c r="D199" s="21">
        <v>75871</v>
      </c>
      <c r="E199" s="23">
        <f t="shared" si="60"/>
        <v>-0.1360335305979887</v>
      </c>
      <c r="F199" s="21">
        <f>+C199-28739</f>
        <v>36811</v>
      </c>
      <c r="G199" s="21">
        <f>+D199-33334</f>
        <v>42537</v>
      </c>
      <c r="H199" s="23">
        <f t="shared" si="61"/>
        <v>-0.13461221994969086</v>
      </c>
      <c r="I199" s="24">
        <f t="shared" si="62"/>
        <v>61.72239038901602</v>
      </c>
      <c r="J199" s="24">
        <f t="shared" si="63"/>
        <v>109.91015430170329</v>
      </c>
      <c r="K199" s="21">
        <v>4045902.69</v>
      </c>
      <c r="L199" s="21">
        <v>4372407.73</v>
      </c>
      <c r="M199" s="25">
        <f t="shared" si="64"/>
        <v>-0.07467396916343857</v>
      </c>
      <c r="N199" s="10"/>
      <c r="R199" s="2"/>
    </row>
    <row r="200" spans="1:18" ht="15">
      <c r="A200" s="19"/>
      <c r="B200" s="20">
        <f>DATE(2022,6,1)</f>
        <v>44713</v>
      </c>
      <c r="C200" s="21">
        <v>62323</v>
      </c>
      <c r="D200" s="21">
        <v>65617</v>
      </c>
      <c r="E200" s="23">
        <f t="shared" si="60"/>
        <v>-0.050200405382751424</v>
      </c>
      <c r="F200" s="21">
        <f>+C200-26973</f>
        <v>35350</v>
      </c>
      <c r="G200" s="21">
        <f>+D200-28073</f>
        <v>37544</v>
      </c>
      <c r="H200" s="23">
        <f t="shared" si="61"/>
        <v>-0.05843809929682506</v>
      </c>
      <c r="I200" s="24">
        <f t="shared" si="62"/>
        <v>60.10037514240329</v>
      </c>
      <c r="J200" s="24">
        <f t="shared" si="63"/>
        <v>105.9585765205092</v>
      </c>
      <c r="K200" s="21">
        <v>3745635.68</v>
      </c>
      <c r="L200" s="21">
        <v>3617843.36</v>
      </c>
      <c r="M200" s="25">
        <f t="shared" si="64"/>
        <v>0.03532278965223091</v>
      </c>
      <c r="N200" s="10"/>
      <c r="R200" s="2"/>
    </row>
    <row r="201" spans="1:18" ht="1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6.5" thickBot="1" thickTop="1">
      <c r="A202" s="26" t="s">
        <v>14</v>
      </c>
      <c r="B202" s="27"/>
      <c r="C202" s="28">
        <f>SUM(C189:C201)</f>
        <v>810555</v>
      </c>
      <c r="D202" s="28">
        <f>SUM(D189:D201)</f>
        <v>747498</v>
      </c>
      <c r="E202" s="280">
        <f>(+C202-D202)/D202</f>
        <v>0.08435741634091329</v>
      </c>
      <c r="F202" s="28">
        <f>SUM(F189:F201)</f>
        <v>455502</v>
      </c>
      <c r="G202" s="28">
        <f>SUM(G189:G201)</f>
        <v>423124</v>
      </c>
      <c r="H202" s="42">
        <f>(+F202-G202)/G202</f>
        <v>0.07652130344768909</v>
      </c>
      <c r="I202" s="43">
        <f>K202/C202</f>
        <v>59.39214763958029</v>
      </c>
      <c r="J202" s="43">
        <f>K202/F202</f>
        <v>105.68691735711369</v>
      </c>
      <c r="K202" s="28">
        <f>SUM(K189:K201)</f>
        <v>48140602.23</v>
      </c>
      <c r="L202" s="28">
        <f>SUM(L189:L201)</f>
        <v>41480516.64</v>
      </c>
      <c r="M202" s="44">
        <f>(+K202-L202)/L202</f>
        <v>0.16055936930104725</v>
      </c>
      <c r="N202" s="10"/>
      <c r="R202" s="2"/>
    </row>
    <row r="203" spans="1:18" ht="15.75" thickBot="1" thickTop="1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6.5" thickBot="1" thickTop="1">
      <c r="A204" s="64" t="s">
        <v>18</v>
      </c>
      <c r="B204" s="65"/>
      <c r="C204" s="28">
        <f>C202+C187+C82+C112+C127+C52+C22+C142+C157+C67+C172+C37+C97</f>
        <v>29760042</v>
      </c>
      <c r="D204" s="28">
        <f>D202+D187+D82+D112+D127+D52+D22+D142+D157+D67+D172+D37+D97</f>
        <v>27622033</v>
      </c>
      <c r="E204" s="279">
        <f>(+C204-D204)/D204</f>
        <v>0.07740230416783588</v>
      </c>
      <c r="F204" s="28">
        <f>F202+F187+F82+F112+F127+F52+F22+F142+F157+F67+F172+F37+F97</f>
        <v>15060556</v>
      </c>
      <c r="G204" s="28">
        <f>G202+G187+G82+G112+G127+G52+G22+G142+G157+G67+G172+G37+G97</f>
        <v>13999195</v>
      </c>
      <c r="H204" s="30">
        <f>(+F204-G204)/G204</f>
        <v>0.07581585941191618</v>
      </c>
      <c r="I204" s="31">
        <f>K204/C204</f>
        <v>64.00130490004013</v>
      </c>
      <c r="J204" s="31">
        <f>K204/F204</f>
        <v>126.46820754027938</v>
      </c>
      <c r="K204" s="28">
        <f>K202+K187+K82+K112+K127+K52+K22+K142+K157+K67+K172+K37+K97</f>
        <v>1904681521.8799999</v>
      </c>
      <c r="L204" s="28">
        <f>L202+L187+L82+L112+L127+L52+L22+L142+L157+L67+L172+L37+L97</f>
        <v>1726021482.12</v>
      </c>
      <c r="M204" s="32">
        <f>(+K204-L204)/L204</f>
        <v>0.10350974284547104</v>
      </c>
      <c r="N204" s="10"/>
      <c r="R204" s="2"/>
    </row>
    <row r="205" spans="1:18" ht="16.5" thickBot="1" thickTop="1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6.5" thickBot="1" thickTop="1">
      <c r="A206" s="64" t="s">
        <v>19</v>
      </c>
      <c r="B206" s="65"/>
      <c r="C206" s="28">
        <f>SUM(C20+C35+C50+C65+C80+C95+C110+C125+C140+C155+C170+C185+C200)</f>
        <v>2285204</v>
      </c>
      <c r="D206" s="28">
        <f>SUM(D20+D35+D50+D65+D80+D95+D110+D125+D140+D155+D170+D185+D200)</f>
        <v>2515336</v>
      </c>
      <c r="E206" s="279">
        <f>(+C206-D206)/D206</f>
        <v>-0.09149155420985507</v>
      </c>
      <c r="F206" s="28">
        <f>SUM(F20+F35+F50+F65+F80+F95+F110+F125+F140+F155+F170+F185+F200)</f>
        <v>1182084</v>
      </c>
      <c r="G206" s="28">
        <f>SUM(G20+G35+G50+G65+G80+G95+G110+G125+G140+G155+G170+G185+G200)</f>
        <v>1289789</v>
      </c>
      <c r="H206" s="30">
        <f>(+F206-G206)/G206</f>
        <v>-0.08350590678010124</v>
      </c>
      <c r="I206" s="31">
        <f>K206/C206</f>
        <v>66.32965128277388</v>
      </c>
      <c r="J206" s="31">
        <f>K206/F206</f>
        <v>128.22843759834328</v>
      </c>
      <c r="K206" s="28">
        <f>SUM(K20+K35+K50+K65+K80+K95+K110+K125+K140+K155+K170+K185+K200)</f>
        <v>151576784.43</v>
      </c>
      <c r="L206" s="28">
        <f>SUM(L20+L35+L50+L65+L80+L95+L110+L125+L140+L155+L170+L185+L200)</f>
        <v>155631103.88</v>
      </c>
      <c r="M206" s="32">
        <f>(+K206-L206)/L206</f>
        <v>-0.026050830129214324</v>
      </c>
      <c r="N206" s="10"/>
      <c r="R206" s="2"/>
    </row>
    <row r="207" spans="1:18" ht="15" thickTop="1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7.25">
      <c r="A208" s="264" t="s">
        <v>20</v>
      </c>
      <c r="B208" s="70"/>
      <c r="C208" s="71"/>
      <c r="D208" s="71"/>
      <c r="E208" s="71"/>
      <c r="F208" s="71"/>
      <c r="G208" s="71"/>
      <c r="H208" s="71"/>
      <c r="I208" s="71"/>
      <c r="J208" s="71"/>
      <c r="K208" s="198"/>
      <c r="L208" s="198"/>
      <c r="M208" s="71"/>
      <c r="N208" s="2"/>
      <c r="O208" s="2"/>
      <c r="P208" s="2"/>
      <c r="Q208" s="2"/>
      <c r="R208" s="2"/>
    </row>
    <row r="209" spans="1:18" ht="17.25">
      <c r="A209" s="69"/>
      <c r="B209" s="70"/>
      <c r="C209" s="71"/>
      <c r="D209" s="71"/>
      <c r="E209" s="71"/>
      <c r="F209" s="71"/>
      <c r="G209" s="71"/>
      <c r="H209" s="71"/>
      <c r="I209" s="71"/>
      <c r="J209" s="71"/>
      <c r="K209" s="198"/>
      <c r="L209" s="198"/>
      <c r="M209" s="71"/>
      <c r="N209" s="2"/>
      <c r="O209" s="2"/>
      <c r="P209" s="2"/>
      <c r="Q209" s="2"/>
      <c r="R209" s="2"/>
    </row>
    <row r="210" spans="1:18" ht="15">
      <c r="A210" s="72"/>
      <c r="B210" s="73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3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3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4"/>
      <c r="N219" s="2"/>
      <c r="O219" s="2"/>
      <c r="P219" s="2"/>
      <c r="Q219" s="2"/>
      <c r="R219" s="2"/>
    </row>
    <row r="220" spans="1:18" ht="15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4"/>
      <c r="N220" s="2"/>
      <c r="O220" s="2"/>
      <c r="P220" s="2"/>
      <c r="Q220" s="2"/>
      <c r="R220" s="2"/>
    </row>
    <row r="221" spans="1:18" ht="15">
      <c r="A221" s="2"/>
      <c r="B221" s="70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4"/>
      <c r="N221" s="2"/>
      <c r="O221" s="2"/>
      <c r="P221" s="2"/>
      <c r="Q221" s="2"/>
      <c r="R221" s="2"/>
    </row>
    <row r="222" spans="1:18" ht="15">
      <c r="A222" s="76"/>
      <c r="B222" s="70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76"/>
      <c r="B223" s="70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76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76"/>
      <c r="B226" s="73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3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3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7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76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76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76"/>
      <c r="B244" s="77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77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77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76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76"/>
      <c r="B260" s="77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77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77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76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76"/>
      <c r="B269" s="76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69</v>
      </c>
      <c r="I7" s="84" t="s">
        <v>71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DATE(2021,7,1)</f>
        <v>44378</v>
      </c>
      <c r="B10" s="89">
        <f>'MONTHLY STATS'!$C$9*2</f>
        <v>465606</v>
      </c>
      <c r="C10" s="89">
        <f>'MONTHLY STATS'!$C$24*2</f>
        <v>232214</v>
      </c>
      <c r="D10" s="89">
        <f>'MONTHLY STATS'!$C$39*2</f>
        <v>133674</v>
      </c>
      <c r="E10" s="89">
        <f>'MONTHLY STATS'!$C$54*2</f>
        <v>674450</v>
      </c>
      <c r="F10" s="89">
        <f>'MONTHLY STATS'!$C$69*2</f>
        <v>512458</v>
      </c>
      <c r="G10" s="89">
        <f>'MONTHLY STATS'!$C$84*2</f>
        <v>208586</v>
      </c>
      <c r="H10" s="89">
        <f>'MONTHLY STATS'!$C$99*2</f>
        <v>449386</v>
      </c>
      <c r="I10" s="89">
        <f>'MONTHLY STATS'!$C$114*2</f>
        <v>502180</v>
      </c>
      <c r="J10" s="89">
        <f>'MONTHLY STATS'!$C$129*2</f>
        <v>585252</v>
      </c>
      <c r="K10" s="89">
        <f>'MONTHLY STATS'!$C$144*2</f>
        <v>677802</v>
      </c>
      <c r="L10" s="89">
        <f>'MONTHLY STATS'!$C$159*2</f>
        <v>109046</v>
      </c>
      <c r="M10" s="89">
        <f>'MONTHLY STATS'!$C$174*2</f>
        <v>790810</v>
      </c>
      <c r="N10" s="89">
        <f>'MONTHLY STATS'!$C$189*2</f>
        <v>141054</v>
      </c>
      <c r="O10" s="90">
        <f aca="true" t="shared" si="0" ref="O10:O15">SUM(B10:N10)</f>
        <v>5482518</v>
      </c>
      <c r="P10" s="83"/>
    </row>
    <row r="11" spans="1:16" ht="15">
      <c r="A11" s="88">
        <f>DATE(2021,8,1)</f>
        <v>44409</v>
      </c>
      <c r="B11" s="89">
        <f>'MONTHLY STATS'!$C$10*2</f>
        <v>449698</v>
      </c>
      <c r="C11" s="89">
        <f>'MONTHLY STATS'!$C$25*2</f>
        <v>206706</v>
      </c>
      <c r="D11" s="89">
        <f>'MONTHLY STATS'!$C$40*2</f>
        <v>112224</v>
      </c>
      <c r="E11" s="89">
        <f>'MONTHLY STATS'!$C$55*2</f>
        <v>604600</v>
      </c>
      <c r="F11" s="89">
        <f>'MONTHLY STATS'!$C$70*2</f>
        <v>465706</v>
      </c>
      <c r="G11" s="89">
        <f>'MONTHLY STATS'!$C$85*2</f>
        <v>186244</v>
      </c>
      <c r="H11" s="89">
        <f>'MONTHLY STATS'!$C$100*2</f>
        <v>507374</v>
      </c>
      <c r="I11" s="89">
        <f>'MONTHLY STATS'!$C$115*2</f>
        <v>430958</v>
      </c>
      <c r="J11" s="89">
        <f>'MONTHLY STATS'!$C$130*2</f>
        <v>505624</v>
      </c>
      <c r="K11" s="89">
        <f>'MONTHLY STATS'!$C$145*2</f>
        <v>631006</v>
      </c>
      <c r="L11" s="89">
        <f>'MONTHLY STATS'!$C$160*2</f>
        <v>95368</v>
      </c>
      <c r="M11" s="89">
        <f>'MONTHLY STATS'!$C$175*2</f>
        <v>720244</v>
      </c>
      <c r="N11" s="89">
        <f>'MONTHLY STATS'!$C$190*2</f>
        <v>139832</v>
      </c>
      <c r="O11" s="90">
        <f t="shared" si="0"/>
        <v>5055584</v>
      </c>
      <c r="P11" s="83"/>
    </row>
    <row r="12" spans="1:16" ht="15">
      <c r="A12" s="88">
        <f>DATE(2021,9,1)</f>
        <v>44440</v>
      </c>
      <c r="B12" s="89">
        <f>'MONTHLY STATS'!$C$11*2</f>
        <v>412100</v>
      </c>
      <c r="C12" s="89">
        <f>'MONTHLY STATS'!$C$26*2</f>
        <v>207192</v>
      </c>
      <c r="D12" s="89">
        <f>'MONTHLY STATS'!$C$41*2</f>
        <v>116168</v>
      </c>
      <c r="E12" s="89">
        <f>'MONTHLY STATS'!$C$56*2</f>
        <v>672284</v>
      </c>
      <c r="F12" s="89">
        <f>'MONTHLY STATS'!$C$71*2</f>
        <v>448838</v>
      </c>
      <c r="G12" s="89">
        <f>'MONTHLY STATS'!$C$86*2</f>
        <v>184408</v>
      </c>
      <c r="H12" s="89">
        <f>'MONTHLY STATS'!$C$101*2</f>
        <v>471842</v>
      </c>
      <c r="I12" s="89">
        <f>'MONTHLY STATS'!$C$116*2</f>
        <v>427862</v>
      </c>
      <c r="J12" s="89">
        <f>'MONTHLY STATS'!$C$131*2</f>
        <v>487168</v>
      </c>
      <c r="K12" s="89">
        <f>'MONTHLY STATS'!$C$146*2</f>
        <v>658594</v>
      </c>
      <c r="L12" s="89">
        <f>'MONTHLY STATS'!$C$161*2</f>
        <v>94578</v>
      </c>
      <c r="M12" s="89">
        <f>'MONTHLY STATS'!$C$176*2</f>
        <v>706578</v>
      </c>
      <c r="N12" s="89">
        <f>'MONTHLY STATS'!$C$191*2</f>
        <v>133800</v>
      </c>
      <c r="O12" s="90">
        <f t="shared" si="0"/>
        <v>5021412</v>
      </c>
      <c r="P12" s="83"/>
    </row>
    <row r="13" spans="1:16" ht="15">
      <c r="A13" s="88">
        <f>DATE(2021,10,1)</f>
        <v>44470</v>
      </c>
      <c r="B13" s="89">
        <f>'MONTHLY STATS'!$C$12*2</f>
        <v>439076</v>
      </c>
      <c r="C13" s="89">
        <f>'MONTHLY STATS'!$C$27*2</f>
        <v>220158</v>
      </c>
      <c r="D13" s="89">
        <f>'MONTHLY STATS'!$C$42*2</f>
        <v>115720</v>
      </c>
      <c r="E13" s="89">
        <f>'MONTHLY STATS'!$C$57*2</f>
        <v>667614</v>
      </c>
      <c r="F13" s="89">
        <f>'MONTHLY STATS'!$C$72*2</f>
        <v>463784</v>
      </c>
      <c r="G13" s="89">
        <f>'MONTHLY STATS'!$C$87*2</f>
        <v>186650</v>
      </c>
      <c r="H13" s="89">
        <f>'MONTHLY STATS'!$C$102*2</f>
        <v>443600</v>
      </c>
      <c r="I13" s="89">
        <f>'MONTHLY STATS'!$C$117*2</f>
        <v>425830</v>
      </c>
      <c r="J13" s="89">
        <f>'MONTHLY STATS'!$C$132*2</f>
        <v>531886</v>
      </c>
      <c r="K13" s="89">
        <f>'MONTHLY STATS'!$C$147*2</f>
        <v>686336</v>
      </c>
      <c r="L13" s="89">
        <f>'MONTHLY STATS'!$C$162*2</f>
        <v>102038</v>
      </c>
      <c r="M13" s="89">
        <f>'MONTHLY STATS'!$C$177*2</f>
        <v>728908</v>
      </c>
      <c r="N13" s="89">
        <f>'MONTHLY STATS'!$C$192*2</f>
        <v>142082</v>
      </c>
      <c r="O13" s="90">
        <f t="shared" si="0"/>
        <v>5153682</v>
      </c>
      <c r="P13" s="83"/>
    </row>
    <row r="14" spans="1:16" ht="15">
      <c r="A14" s="88">
        <f>DATE(2021,11,1)</f>
        <v>44501</v>
      </c>
      <c r="B14" s="89">
        <f>'MONTHLY STATS'!$C$13*2</f>
        <v>402662</v>
      </c>
      <c r="C14" s="89">
        <f>'MONTHLY STATS'!$C$28*2</f>
        <v>190628</v>
      </c>
      <c r="D14" s="89">
        <f>'MONTHLY STATS'!$C$43*2</f>
        <v>103506</v>
      </c>
      <c r="E14" s="89">
        <f>'MONTHLY STATS'!$C$58*2</f>
        <v>606872</v>
      </c>
      <c r="F14" s="89">
        <f>'MONTHLY STATS'!$C$73*2</f>
        <v>439354</v>
      </c>
      <c r="G14" s="89">
        <f>'MONTHLY STATS'!$C$88*2</f>
        <v>175200</v>
      </c>
      <c r="H14" s="89">
        <f>'MONTHLY STATS'!$C$103*2</f>
        <v>404266</v>
      </c>
      <c r="I14" s="89">
        <f>'MONTHLY STATS'!$C$118*2</f>
        <v>368842</v>
      </c>
      <c r="J14" s="89">
        <f>'MONTHLY STATS'!$C$133*2</f>
        <v>503654</v>
      </c>
      <c r="K14" s="89">
        <f>'MONTHLY STATS'!$C$148*2</f>
        <v>638286</v>
      </c>
      <c r="L14" s="89">
        <f>'MONTHLY STATS'!$C$163*2</f>
        <v>85956</v>
      </c>
      <c r="M14" s="89">
        <f>'MONTHLY STATS'!$C$178*2</f>
        <v>686470</v>
      </c>
      <c r="N14" s="89">
        <f>'MONTHLY STATS'!$C$193*2</f>
        <v>127076</v>
      </c>
      <c r="O14" s="90">
        <f t="shared" si="0"/>
        <v>4732772</v>
      </c>
      <c r="P14" s="83"/>
    </row>
    <row r="15" spans="1:16" ht="15">
      <c r="A15" s="88">
        <f>DATE(2021,12,1)</f>
        <v>44531</v>
      </c>
      <c r="B15" s="89">
        <f>'MONTHLY STATS'!$C$14*2</f>
        <v>425362</v>
      </c>
      <c r="C15" s="89">
        <f>'MONTHLY STATS'!$C$29*2</f>
        <v>209106</v>
      </c>
      <c r="D15" s="89">
        <f>'MONTHLY STATS'!$C$44*2</f>
        <v>114218</v>
      </c>
      <c r="E15" s="89">
        <f>'MONTHLY STATS'!$C$59*2</f>
        <v>627794</v>
      </c>
      <c r="F15" s="89">
        <f>'MONTHLY STATS'!$C$74*2</f>
        <v>466760</v>
      </c>
      <c r="G15" s="89">
        <f>'MONTHLY STATS'!$C$89*2</f>
        <v>195630</v>
      </c>
      <c r="H15" s="89">
        <f>'MONTHLY STATS'!$C$104*2</f>
        <v>411716</v>
      </c>
      <c r="I15" s="89">
        <f>'MONTHLY STATS'!$C$119*2</f>
        <v>422928</v>
      </c>
      <c r="J15" s="89">
        <f>'MONTHLY STATS'!$C$134*2</f>
        <v>536030</v>
      </c>
      <c r="K15" s="89">
        <f>'MONTHLY STATS'!$C$149*2</f>
        <v>675412</v>
      </c>
      <c r="L15" s="89">
        <f>'MONTHLY STATS'!$C$164*2</f>
        <v>93464</v>
      </c>
      <c r="M15" s="89">
        <f>'MONTHLY STATS'!$C$179*2</f>
        <v>759448</v>
      </c>
      <c r="N15" s="89">
        <f>'MONTHLY STATS'!$C$194*2</f>
        <v>139522</v>
      </c>
      <c r="O15" s="90">
        <f t="shared" si="0"/>
        <v>5077390</v>
      </c>
      <c r="P15" s="83"/>
    </row>
    <row r="16" spans="1:16" ht="15">
      <c r="A16" s="88">
        <f>DATE(2022,1,1)</f>
        <v>44562</v>
      </c>
      <c r="B16" s="89">
        <f>'MONTHLY STATS'!$C$15*2</f>
        <v>367126</v>
      </c>
      <c r="C16" s="89">
        <f>'MONTHLY STATS'!$C$30*2</f>
        <v>171746</v>
      </c>
      <c r="D16" s="89">
        <f>'MONTHLY STATS'!$C$45*2</f>
        <v>94542</v>
      </c>
      <c r="E16" s="89">
        <f>'MONTHLY STATS'!$C$60*2</f>
        <v>568630</v>
      </c>
      <c r="F16" s="89">
        <f>'MONTHLY STATS'!$C$75*2</f>
        <v>392450</v>
      </c>
      <c r="G16" s="89">
        <f>'MONTHLY STATS'!$C$90*2</f>
        <v>168356</v>
      </c>
      <c r="H16" s="89">
        <f>'MONTHLY STATS'!$C$105*2</f>
        <v>358398</v>
      </c>
      <c r="I16" s="89">
        <f>'MONTHLY STATS'!$C$120*2</f>
        <v>368476</v>
      </c>
      <c r="J16" s="89">
        <f>'MONTHLY STATS'!$C$135*2</f>
        <v>468718</v>
      </c>
      <c r="K16" s="89">
        <f>'MONTHLY STATS'!$C$150*2</f>
        <v>621122</v>
      </c>
      <c r="L16" s="89">
        <f>'MONTHLY STATS'!$C$165*2</f>
        <v>76438</v>
      </c>
      <c r="M16" s="89">
        <f>'MONTHLY STATS'!$C$180*2</f>
        <v>670832</v>
      </c>
      <c r="N16" s="89">
        <f>'MONTHLY STATS'!$C$195*2</f>
        <v>116760</v>
      </c>
      <c r="O16" s="90">
        <f>SUM(B16:N16)</f>
        <v>4443594</v>
      </c>
      <c r="P16" s="83"/>
    </row>
    <row r="17" spans="1:16" ht="15">
      <c r="A17" s="88">
        <f>DATE(2022,2,1)</f>
        <v>44593</v>
      </c>
      <c r="B17" s="89">
        <f>'MONTHLY STATS'!$C$16*2</f>
        <v>396266</v>
      </c>
      <c r="C17" s="89">
        <f>'MONTHLY STATS'!$C$31*2</f>
        <v>190868</v>
      </c>
      <c r="D17" s="89">
        <f>'MONTHLY STATS'!$C$46*2</f>
        <v>102558</v>
      </c>
      <c r="E17" s="89">
        <f>'MONTHLY STATS'!$C$61*2</f>
        <v>558304</v>
      </c>
      <c r="F17" s="89">
        <f>'MONTHLY STATS'!$C$76*2</f>
        <v>396010</v>
      </c>
      <c r="G17" s="89">
        <f>'MONTHLY STATS'!$C$91*2</f>
        <v>172648</v>
      </c>
      <c r="H17" s="89">
        <f>'MONTHLY STATS'!$C$106*2</f>
        <v>369476</v>
      </c>
      <c r="I17" s="89">
        <f>'MONTHLY STATS'!$C$121*2</f>
        <v>372166</v>
      </c>
      <c r="J17" s="89">
        <f>'MONTHLY STATS'!$C$136*2</f>
        <v>507200</v>
      </c>
      <c r="K17" s="89">
        <f>'MONTHLY STATS'!$C$151*2</f>
        <v>604400</v>
      </c>
      <c r="L17" s="89">
        <f>'MONTHLY STATS'!$C$166*2</f>
        <v>81026</v>
      </c>
      <c r="M17" s="89">
        <f>'MONTHLY STATS'!$C$181*2</f>
        <v>661232</v>
      </c>
      <c r="N17" s="89">
        <f>'MONTHLY STATS'!$C$196*2</f>
        <v>133496</v>
      </c>
      <c r="O17" s="90">
        <f>SUM(B17:N17)</f>
        <v>4545650</v>
      </c>
      <c r="P17" s="83"/>
    </row>
    <row r="18" spans="1:16" ht="15">
      <c r="A18" s="88">
        <f>DATE(2022,3,1)</f>
        <v>44621</v>
      </c>
      <c r="B18" s="89">
        <f>'MONTHLY STATS'!$C$17*2</f>
        <v>458554</v>
      </c>
      <c r="C18" s="89">
        <f>'MONTHLY STATS'!$C$32*2</f>
        <v>219670</v>
      </c>
      <c r="D18" s="89">
        <f>'MONTHLY STATS'!$C$47*2</f>
        <v>121536</v>
      </c>
      <c r="E18" s="89">
        <f>'MONTHLY STATS'!$C$62*2</f>
        <v>686284</v>
      </c>
      <c r="F18" s="89">
        <f>'MONTHLY STATS'!$C$77*2</f>
        <v>454644</v>
      </c>
      <c r="G18" s="89">
        <f>'MONTHLY STATS'!$C$92*2</f>
        <v>200722</v>
      </c>
      <c r="H18" s="89">
        <f>'MONTHLY STATS'!$C$107*2</f>
        <v>430512</v>
      </c>
      <c r="I18" s="89">
        <f>'MONTHLY STATS'!$C$122*2</f>
        <v>473458</v>
      </c>
      <c r="J18" s="89">
        <f>'MONTHLY STATS'!$C$137*2</f>
        <v>572962</v>
      </c>
      <c r="K18" s="89">
        <f>'MONTHLY STATS'!$C$152*2</f>
        <v>724244</v>
      </c>
      <c r="L18" s="89">
        <f>'MONTHLY STATS'!$C$167*2</f>
        <v>98422</v>
      </c>
      <c r="M18" s="89">
        <f>'MONTHLY STATS'!$C$182*2</f>
        <v>741972</v>
      </c>
      <c r="N18" s="89">
        <f>'MONTHLY STATS'!$C$197*2</f>
        <v>147050</v>
      </c>
      <c r="O18" s="90">
        <f>SUM(B18:N18)</f>
        <v>5330030</v>
      </c>
      <c r="P18" s="83"/>
    </row>
    <row r="19" spans="1:16" ht="15">
      <c r="A19" s="88">
        <f>DATE(2022,4,1)</f>
        <v>44652</v>
      </c>
      <c r="B19" s="89">
        <f>'MONTHLY STATS'!$C$18*2</f>
        <v>446768</v>
      </c>
      <c r="C19" s="89">
        <f>'MONTHLY STATS'!$C$33*2</f>
        <v>218136</v>
      </c>
      <c r="D19" s="89">
        <f>'MONTHLY STATS'!$C$48*2</f>
        <v>116364</v>
      </c>
      <c r="E19" s="89">
        <f>'MONTHLY STATS'!$C$63*2</f>
        <v>658610</v>
      </c>
      <c r="F19" s="89">
        <f>'MONTHLY STATS'!$C$78*2</f>
        <v>442902</v>
      </c>
      <c r="G19" s="89">
        <f>'MONTHLY STATS'!$C$93*2</f>
        <v>194388</v>
      </c>
      <c r="H19" s="89">
        <f>'MONTHLY STATS'!$C$108*2</f>
        <v>425826</v>
      </c>
      <c r="I19" s="89">
        <f>'MONTHLY STATS'!$C$123*2</f>
        <v>428416</v>
      </c>
      <c r="J19" s="89">
        <f>'MONTHLY STATS'!$C$138*2</f>
        <v>541996</v>
      </c>
      <c r="K19" s="89">
        <f>'MONTHLY STATS'!$C$153*2</f>
        <v>725098</v>
      </c>
      <c r="L19" s="89">
        <f>'MONTHLY STATS'!$C$168*2</f>
        <v>96066</v>
      </c>
      <c r="M19" s="89">
        <f>'MONTHLY STATS'!$C$183*2</f>
        <v>730958</v>
      </c>
      <c r="N19" s="89">
        <f>'MONTHLY STATS'!$C$198*2</f>
        <v>144692</v>
      </c>
      <c r="O19" s="90">
        <f>SUM(B19:N19)</f>
        <v>5170220</v>
      </c>
      <c r="P19" s="83"/>
    </row>
    <row r="20" spans="1:16" ht="15">
      <c r="A20" s="88">
        <f>DATE(2022,5,1)</f>
        <v>44682</v>
      </c>
      <c r="B20" s="89">
        <f>'MONTHLY STATS'!$C$19*2</f>
        <v>434424</v>
      </c>
      <c r="C20" s="89">
        <f>'MONTHLY STATS'!$C$34*2</f>
        <v>203826</v>
      </c>
      <c r="D20" s="89">
        <f>'MONTHLY STATS'!$C$49*2</f>
        <v>107310</v>
      </c>
      <c r="E20" s="89">
        <f>'MONTHLY STATS'!$C$64*2</f>
        <v>649786</v>
      </c>
      <c r="F20" s="89">
        <f>'MONTHLY STATS'!$C$79*2</f>
        <v>422574</v>
      </c>
      <c r="G20" s="89">
        <f>'MONTHLY STATS'!$C$94*2</f>
        <v>185712</v>
      </c>
      <c r="H20" s="89">
        <f>'MONTHLY STATS'!$C$109*2</f>
        <v>427616</v>
      </c>
      <c r="I20" s="89">
        <f>'MONTHLY STATS'!$C$124*2</f>
        <v>421236</v>
      </c>
      <c r="J20" s="89">
        <f>'MONTHLY STATS'!$C$139*2</f>
        <v>506606</v>
      </c>
      <c r="K20" s="89">
        <f>'MONTHLY STATS'!$C$154*2</f>
        <v>678494</v>
      </c>
      <c r="L20" s="89">
        <f>'MONTHLY STATS'!$C$169*2</f>
        <v>85766</v>
      </c>
      <c r="M20" s="89">
        <f>'MONTHLY STATS'!$C$184*2</f>
        <v>682374</v>
      </c>
      <c r="N20" s="89">
        <f>'MONTHLY STATS'!$C$199*2</f>
        <v>131100</v>
      </c>
      <c r="O20" s="90">
        <f>SUM(B20:N20)</f>
        <v>4936824</v>
      </c>
      <c r="P20" s="83"/>
    </row>
    <row r="21" spans="1:16" ht="15">
      <c r="A21" s="88">
        <f>DATE(2022,6,1)</f>
        <v>44713</v>
      </c>
      <c r="B21" s="89">
        <f>'MONTHLY STATS'!$C$20*2</f>
        <v>392310</v>
      </c>
      <c r="C21" s="89">
        <f>'MONTHLY STATS'!$C$35*2</f>
        <v>189182</v>
      </c>
      <c r="D21" s="89">
        <f>'MONTHLY STATS'!$C$50*2</f>
        <v>96116</v>
      </c>
      <c r="E21" s="89">
        <f>'MONTHLY STATS'!$C$65*2</f>
        <v>583864</v>
      </c>
      <c r="F21" s="89">
        <f>'MONTHLY STATS'!$C$80*2</f>
        <v>382036</v>
      </c>
      <c r="G21" s="89">
        <f>'MONTHLY STATS'!$C$95*2</f>
        <v>167670</v>
      </c>
      <c r="H21" s="89">
        <f>'MONTHLY STATS'!$C$110*2</f>
        <v>411714</v>
      </c>
      <c r="I21" s="89">
        <f>'MONTHLY STATS'!$C$125*2</f>
        <v>386060</v>
      </c>
      <c r="J21" s="89">
        <f>'MONTHLY STATS'!$C$140*2</f>
        <v>470874</v>
      </c>
      <c r="K21" s="89">
        <f>'MONTHLY STATS'!$C$155*2</f>
        <v>640104</v>
      </c>
      <c r="L21" s="89">
        <f>'MONTHLY STATS'!$C$170*2</f>
        <v>77438</v>
      </c>
      <c r="M21" s="89">
        <f>'MONTHLY STATS'!$C$185*2</f>
        <v>648394</v>
      </c>
      <c r="N21" s="89">
        <f>'MONTHLY STATS'!$C$200*2</f>
        <v>124646</v>
      </c>
      <c r="O21" s="90">
        <f>SUM(B21:N21)</f>
        <v>4570408</v>
      </c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5089952</v>
      </c>
      <c r="C23" s="90">
        <f t="shared" si="1"/>
        <v>2459432</v>
      </c>
      <c r="D23" s="90">
        <f t="shared" si="1"/>
        <v>1333936</v>
      </c>
      <c r="E23" s="90">
        <f t="shared" si="1"/>
        <v>7559092</v>
      </c>
      <c r="F23" s="90">
        <f t="shared" si="1"/>
        <v>5287516</v>
      </c>
      <c r="G23" s="90">
        <f>SUM(G10:G21)</f>
        <v>2226214</v>
      </c>
      <c r="H23" s="90">
        <f t="shared" si="1"/>
        <v>5111726</v>
      </c>
      <c r="I23" s="90">
        <f>SUM(I10:I21)</f>
        <v>5028412</v>
      </c>
      <c r="J23" s="90">
        <f t="shared" si="1"/>
        <v>6217970</v>
      </c>
      <c r="K23" s="90">
        <f>SUM(K10:K21)</f>
        <v>7960898</v>
      </c>
      <c r="L23" s="90">
        <f t="shared" si="1"/>
        <v>1095606</v>
      </c>
      <c r="M23" s="90">
        <f t="shared" si="1"/>
        <v>8528220</v>
      </c>
      <c r="N23" s="90">
        <f t="shared" si="1"/>
        <v>1621110</v>
      </c>
      <c r="O23" s="90">
        <f t="shared" si="1"/>
        <v>59520084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69</v>
      </c>
      <c r="I28" s="84" t="s">
        <v>71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DATE(2021,7,1)</f>
        <v>44378</v>
      </c>
      <c r="B31" s="89">
        <f>'MONTHLY STATS'!$K$9*0.21</f>
        <v>3347290.5080999997</v>
      </c>
      <c r="C31" s="89">
        <f>'MONTHLY STATS'!$K$24*0.21</f>
        <v>1692376.4865</v>
      </c>
      <c r="D31" s="89">
        <f>'MONTHLY STATS'!$K$39*0.21</f>
        <v>966002.7195</v>
      </c>
      <c r="E31" s="89">
        <f>'MONTHLY STATS'!$K$54*0.21</f>
        <v>4051465.2297</v>
      </c>
      <c r="F31" s="89">
        <f>'MONTHLY STATS'!$K$69*0.21</f>
        <v>3404376.3956999998</v>
      </c>
      <c r="G31" s="89">
        <f>'MONTHLY STATS'!$K$84*0.21</f>
        <v>1359356.1113999998</v>
      </c>
      <c r="H31" s="89">
        <f>'MONTHLY STATS'!$K$99*0.21</f>
        <v>1998001.6497</v>
      </c>
      <c r="I31" s="89">
        <f>'MONTHLY STATS'!$K$114*0.21</f>
        <v>3112641.8022</v>
      </c>
      <c r="J31" s="89">
        <f>'MONTHLY STATS'!$K$129*0.21</f>
        <v>3802869.9156</v>
      </c>
      <c r="K31" s="89">
        <f>'MONTHLY STATS'!$K$144*0.21</f>
        <v>4229164.459799999</v>
      </c>
      <c r="L31" s="89">
        <f>'MONTHLY STATS'!$K$159*0.21</f>
        <v>763729.8102</v>
      </c>
      <c r="M31" s="89">
        <f>'MONTHLY STATS'!$K$174*0.21</f>
        <v>5560718.5473</v>
      </c>
      <c r="N31" s="89">
        <f>'MONTHLY STATS'!$K$189*0.21</f>
        <v>859182.3596999999</v>
      </c>
      <c r="O31" s="90">
        <f aca="true" t="shared" si="2" ref="O31:O36">SUM(B31:N31)</f>
        <v>35147175.995400004</v>
      </c>
      <c r="P31" s="83"/>
    </row>
    <row r="32" spans="1:16" ht="15">
      <c r="A32" s="88">
        <f>DATE(2021,8,1)</f>
        <v>44409</v>
      </c>
      <c r="B32" s="89">
        <f>'MONTHLY STATS'!$K$10*0.21</f>
        <v>3166085.3951999997</v>
      </c>
      <c r="C32" s="89">
        <f>'MONTHLY STATS'!$K$25*0.21</f>
        <v>1509930.7881</v>
      </c>
      <c r="D32" s="89">
        <f>'MONTHLY STATS'!$K$40*0.21</f>
        <v>806000.4729</v>
      </c>
      <c r="E32" s="89">
        <f>'MONTHLY STATS'!$K$55*0.21</f>
        <v>3699418.1552999998</v>
      </c>
      <c r="F32" s="89">
        <f>'MONTHLY STATS'!$K$70*0.21</f>
        <v>2811660.0855</v>
      </c>
      <c r="G32" s="89">
        <f>'MONTHLY STATS'!$K$85*0.21</f>
        <v>1231968.5007</v>
      </c>
      <c r="H32" s="89">
        <f>'MONTHLY STATS'!$K$100*0.21</f>
        <v>1988771.3874</v>
      </c>
      <c r="I32" s="89">
        <f>'MONTHLY STATS'!$K$115*0.21</f>
        <v>2755751.5986</v>
      </c>
      <c r="J32" s="89">
        <f>'MONTHLY STATS'!$K$130*0.21</f>
        <v>3419316.1169999996</v>
      </c>
      <c r="K32" s="89">
        <f>'MONTHLY STATS'!$K$145*0.21</f>
        <v>4030922.8197</v>
      </c>
      <c r="L32" s="89">
        <f>'MONTHLY STATS'!$K$160*0.21</f>
        <v>677192.1638999999</v>
      </c>
      <c r="M32" s="89">
        <f>'MONTHLY STATS'!$K$175*0.21</f>
        <v>5128975.605599999</v>
      </c>
      <c r="N32" s="89">
        <f>'MONTHLY STATS'!$K$190*0.21</f>
        <v>825367.2336</v>
      </c>
      <c r="O32" s="90">
        <f t="shared" si="2"/>
        <v>32051360.323499996</v>
      </c>
      <c r="P32" s="83"/>
    </row>
    <row r="33" spans="1:16" ht="15">
      <c r="A33" s="88">
        <f>DATE(2021,9,1)</f>
        <v>44440</v>
      </c>
      <c r="B33" s="89">
        <f>'MONTHLY STATS'!$K$11*0.21</f>
        <v>2914050.8712</v>
      </c>
      <c r="C33" s="89">
        <f>'MONTHLY STATS'!$K$26*0.21</f>
        <v>1602237.4431</v>
      </c>
      <c r="D33" s="89">
        <f>'MONTHLY STATS'!$K$41*0.21</f>
        <v>858189.4209</v>
      </c>
      <c r="E33" s="89">
        <f>'MONTHLY STATS'!$K$56*0.21</f>
        <v>4071781.6902</v>
      </c>
      <c r="F33" s="89">
        <f>'MONTHLY STATS'!$K$71*0.21</f>
        <v>3042866.5428</v>
      </c>
      <c r="G33" s="89">
        <f>'MONTHLY STATS'!$K$86*0.21</f>
        <v>1257725.1036</v>
      </c>
      <c r="H33" s="89">
        <f>'MONTHLY STATS'!$K$101*0.21</f>
        <v>2110648.4133</v>
      </c>
      <c r="I33" s="89">
        <f>'MONTHLY STATS'!$K$116*0.21</f>
        <v>2545471.0763999997</v>
      </c>
      <c r="J33" s="89">
        <f>'MONTHLY STATS'!$K$131*0.21</f>
        <v>3038934.9795</v>
      </c>
      <c r="K33" s="89">
        <f>'MONTHLY STATS'!$K$146*0.21</f>
        <v>4090020.0474</v>
      </c>
      <c r="L33" s="89">
        <f>'MONTHLY STATS'!$K$161*0.21</f>
        <v>660366.0314999999</v>
      </c>
      <c r="M33" s="89">
        <f>'MONTHLY STATS'!$K$176*0.21</f>
        <v>4989167.7906</v>
      </c>
      <c r="N33" s="89">
        <f>'MONTHLY STATS'!$K$191*0.21</f>
        <v>763495.2927</v>
      </c>
      <c r="O33" s="90">
        <f t="shared" si="2"/>
        <v>31944954.703200005</v>
      </c>
      <c r="P33" s="83"/>
    </row>
    <row r="34" spans="1:16" ht="15">
      <c r="A34" s="88">
        <f>DATE(2021,10,1)</f>
        <v>44470</v>
      </c>
      <c r="B34" s="89">
        <f>'MONTHLY STATS'!$K$12*0.21</f>
        <v>3202283.8911</v>
      </c>
      <c r="C34" s="89">
        <f>'MONTHLY STATS'!$K$27*0.21</f>
        <v>1646199.1896</v>
      </c>
      <c r="D34" s="89">
        <f>'MONTHLY STATS'!$K$42*0.21</f>
        <v>861622.5680999999</v>
      </c>
      <c r="E34" s="89">
        <f>'MONTHLY STATS'!$K$57*0.21</f>
        <v>4026629.2458</v>
      </c>
      <c r="F34" s="89">
        <f>'MONTHLY STATS'!$K$72*0.21</f>
        <v>3131092.1816999996</v>
      </c>
      <c r="G34" s="89">
        <f>'MONTHLY STATS'!$K$87*0.21</f>
        <v>1210593.4700999998</v>
      </c>
      <c r="H34" s="89">
        <f>'MONTHLY STATS'!$K$102*0.21</f>
        <v>2183798.0157</v>
      </c>
      <c r="I34" s="89">
        <f>'MONTHLY STATS'!$K$117*0.21</f>
        <v>2694564.7301999996</v>
      </c>
      <c r="J34" s="89">
        <f>'MONTHLY STATS'!$K$132*0.21</f>
        <v>3463632.4316999996</v>
      </c>
      <c r="K34" s="89">
        <f>'MONTHLY STATS'!$K$147*0.21</f>
        <v>4415796.312899999</v>
      </c>
      <c r="L34" s="89">
        <f>'MONTHLY STATS'!$K$162*0.21</f>
        <v>733979.0703</v>
      </c>
      <c r="M34" s="89">
        <f>'MONTHLY STATS'!$K$177*0.21</f>
        <v>5592505.1049</v>
      </c>
      <c r="N34" s="89">
        <f>'MONTHLY STATS'!$K$192*0.21</f>
        <v>865800.2766</v>
      </c>
      <c r="O34" s="90">
        <f t="shared" si="2"/>
        <v>34028496.488699995</v>
      </c>
      <c r="P34" s="83"/>
    </row>
    <row r="35" spans="1:16" ht="15">
      <c r="A35" s="88">
        <f>DATE(2021,11,1)</f>
        <v>44501</v>
      </c>
      <c r="B35" s="89">
        <f>'MONTHLY STATS'!$K$13*0.21</f>
        <v>2842089.2094</v>
      </c>
      <c r="C35" s="89">
        <f>'MONTHLY STATS'!$K$28*0.21</f>
        <v>1427173.0494</v>
      </c>
      <c r="D35" s="89">
        <f>'MONTHLY STATS'!$K$43*0.21</f>
        <v>776239.1658</v>
      </c>
      <c r="E35" s="89">
        <f>'MONTHLY STATS'!$K$58*0.21</f>
        <v>3955215.5244</v>
      </c>
      <c r="F35" s="89">
        <f>'MONTHLY STATS'!$K$73*0.21</f>
        <v>3166545.8832</v>
      </c>
      <c r="G35" s="89">
        <f>'MONTHLY STATS'!$K$88*0.21</f>
        <v>1193974.2255</v>
      </c>
      <c r="H35" s="89">
        <f>'MONTHLY STATS'!$K$103*0.21</f>
        <v>2017320.8328</v>
      </c>
      <c r="I35" s="89">
        <f>'MONTHLY STATS'!$K$118*0.21</f>
        <v>2493711.2319</v>
      </c>
      <c r="J35" s="89">
        <f>'MONTHLY STATS'!$K$133*0.21</f>
        <v>3373022.6943</v>
      </c>
      <c r="K35" s="89">
        <f>'MONTHLY STATS'!$K$148*0.21</f>
        <v>4165210.1064</v>
      </c>
      <c r="L35" s="89">
        <f>'MONTHLY STATS'!$K$163*0.21</f>
        <v>670322.1609</v>
      </c>
      <c r="M35" s="89">
        <f>'MONTHLY STATS'!$K$178*0.21</f>
        <v>5014684.256399999</v>
      </c>
      <c r="N35" s="89">
        <f>'MONTHLY STATS'!$K$193*0.21</f>
        <v>786496.2861</v>
      </c>
      <c r="O35" s="90">
        <f t="shared" si="2"/>
        <v>31882004.626499996</v>
      </c>
      <c r="P35" s="83"/>
    </row>
    <row r="36" spans="1:16" ht="15">
      <c r="A36" s="88">
        <f>DATE(2021,12,1)</f>
        <v>44531</v>
      </c>
      <c r="B36" s="89">
        <f>'MONTHLY STATS'!$K$14*0.21</f>
        <v>3068195.6969999997</v>
      </c>
      <c r="C36" s="89">
        <f>'MONTHLY STATS'!$K$29*0.21</f>
        <v>1551523.869</v>
      </c>
      <c r="D36" s="89">
        <f>'MONTHLY STATS'!$K$44*0.21</f>
        <v>826341.0456</v>
      </c>
      <c r="E36" s="89">
        <f>'MONTHLY STATS'!$K$59*0.21</f>
        <v>4273948.5012</v>
      </c>
      <c r="F36" s="89">
        <f>'MONTHLY STATS'!$K$74*0.21</f>
        <v>3112418.652</v>
      </c>
      <c r="G36" s="89">
        <f>'MONTHLY STATS'!$K$89*0.21</f>
        <v>1324283.4969</v>
      </c>
      <c r="H36" s="89">
        <f>'MONTHLY STATS'!$K$104*0.21</f>
        <v>2139857.8068</v>
      </c>
      <c r="I36" s="89">
        <f>'MONTHLY STATS'!$K$119*0.21</f>
        <v>2634099.6297</v>
      </c>
      <c r="J36" s="89">
        <f>'MONTHLY STATS'!$K$134*0.21</f>
        <v>3519414.1374</v>
      </c>
      <c r="K36" s="89">
        <f>'MONTHLY STATS'!$K$149*0.21</f>
        <v>4594080.498</v>
      </c>
      <c r="L36" s="89">
        <f>'MONTHLY STATS'!$K$164*0.21</f>
        <v>666192.6159</v>
      </c>
      <c r="M36" s="89">
        <f>'MONTHLY STATS'!$K$179*0.21</f>
        <v>5722533.9569999995</v>
      </c>
      <c r="N36" s="89">
        <f>'MONTHLY STATS'!$K$194*0.21</f>
        <v>864892.6818</v>
      </c>
      <c r="O36" s="90">
        <f t="shared" si="2"/>
        <v>34297782.5883</v>
      </c>
      <c r="P36" s="83"/>
    </row>
    <row r="37" spans="1:16" ht="15">
      <c r="A37" s="88">
        <f>DATE(2022,1,1)</f>
        <v>44562</v>
      </c>
      <c r="B37" s="89">
        <f>'MONTHLY STATS'!$K$15*0.21</f>
        <v>2672120.6484</v>
      </c>
      <c r="C37" s="89">
        <f>'MONTHLY STATS'!$K$30*0.21</f>
        <v>1399123.0491</v>
      </c>
      <c r="D37" s="89">
        <f>'MONTHLY STATS'!$K$45*0.21</f>
        <v>721398.6065999999</v>
      </c>
      <c r="E37" s="89">
        <f>'MONTHLY STATS'!$K$60*0.21</f>
        <v>3980140.7394</v>
      </c>
      <c r="F37" s="89">
        <f>'MONTHLY STATS'!$K$75*0.21</f>
        <v>2935660.7973</v>
      </c>
      <c r="G37" s="89">
        <f>'MONTHLY STATS'!$K$90*0.21</f>
        <v>1166561.2749</v>
      </c>
      <c r="H37" s="89">
        <f>'MONTHLY STATS'!$K$105*0.21</f>
        <v>1915632.1316999998</v>
      </c>
      <c r="I37" s="89">
        <f>'MONTHLY STATS'!$K$120*0.21</f>
        <v>2244748.3317</v>
      </c>
      <c r="J37" s="89">
        <f>'MONTHLY STATS'!$K$135*0.21</f>
        <v>3129722.2761</v>
      </c>
      <c r="K37" s="89">
        <f>'MONTHLY STATS'!$K$150*0.21</f>
        <v>3939683.6366999997</v>
      </c>
      <c r="L37" s="89">
        <f>'MONTHLY STATS'!$K$165*0.21</f>
        <v>593962.8975</v>
      </c>
      <c r="M37" s="89">
        <f>'MONTHLY STATS'!$K$180*0.21</f>
        <v>5110167.7913999995</v>
      </c>
      <c r="N37" s="89">
        <f>'MONTHLY STATS'!$K$195*0.21</f>
        <v>743755.7043</v>
      </c>
      <c r="O37" s="90">
        <f>SUM(B37:N37)</f>
        <v>30552677.8851</v>
      </c>
      <c r="P37" s="83"/>
    </row>
    <row r="38" spans="1:16" ht="15">
      <c r="A38" s="88">
        <f>DATE(2022,2,1)</f>
        <v>44593</v>
      </c>
      <c r="B38" s="89">
        <f>'MONTHLY STATS'!$K$16*0.21</f>
        <v>2932193.7897</v>
      </c>
      <c r="C38" s="89">
        <f>'MONTHLY STATS'!$K$31*0.21</f>
        <v>1386037.2141</v>
      </c>
      <c r="D38" s="89">
        <f>'MONTHLY STATS'!$K$46*0.21</f>
        <v>795783.2609999999</v>
      </c>
      <c r="E38" s="89">
        <f>'MONTHLY STATS'!$K$61*0.21</f>
        <v>3693007.5819</v>
      </c>
      <c r="F38" s="89">
        <f>'MONTHLY STATS'!$K$76*0.21</f>
        <v>2543536.8041999997</v>
      </c>
      <c r="G38" s="89">
        <f>'MONTHLY STATS'!$K$91*0.21</f>
        <v>1144195.122</v>
      </c>
      <c r="H38" s="89">
        <f>'MONTHLY STATS'!$K$106*0.21</f>
        <v>1940982.6113999998</v>
      </c>
      <c r="I38" s="89">
        <f>'MONTHLY STATS'!$K$121*0.21</f>
        <v>2380489.9502999997</v>
      </c>
      <c r="J38" s="89">
        <f>'MONTHLY STATS'!$K$136*0.21</f>
        <v>3358385.2427999997</v>
      </c>
      <c r="K38" s="89">
        <f>'MONTHLY STATS'!$K$151*0.21</f>
        <v>4091924.3148</v>
      </c>
      <c r="L38" s="89">
        <f>'MONTHLY STATS'!$K$166*0.21</f>
        <v>624866.7327</v>
      </c>
      <c r="M38" s="89">
        <f>'MONTHLY STATS'!$K$181*0.21</f>
        <v>4873717.2834</v>
      </c>
      <c r="N38" s="89">
        <f>'MONTHLY STATS'!$K$196*0.21</f>
        <v>848310.0612</v>
      </c>
      <c r="O38" s="90">
        <f>SUM(B38:N38)</f>
        <v>30613429.9695</v>
      </c>
      <c r="P38" s="83"/>
    </row>
    <row r="39" spans="1:16" ht="15">
      <c r="A39" s="88">
        <f>DATE(2022,3,1)</f>
        <v>44621</v>
      </c>
      <c r="B39" s="89">
        <f>'MONTHLY STATS'!$K$17*0.21</f>
        <v>3323096.2254</v>
      </c>
      <c r="C39" s="89">
        <f>'MONTHLY STATS'!$K$32*0.21</f>
        <v>1667856.3909</v>
      </c>
      <c r="D39" s="89">
        <f>'MONTHLY STATS'!$K$47*0.21</f>
        <v>1006201.9925999999</v>
      </c>
      <c r="E39" s="89">
        <f>'MONTHLY STATS'!$K$62*0.21</f>
        <v>4644336.7803</v>
      </c>
      <c r="F39" s="89">
        <f>'MONTHLY STATS'!$K$77*0.21</f>
        <v>3555286.7889</v>
      </c>
      <c r="G39" s="89">
        <f>'MONTHLY STATS'!$K$92*0.21</f>
        <v>1420370.4017999999</v>
      </c>
      <c r="H39" s="89">
        <f>'MONTHLY STATS'!$K$107*0.21</f>
        <v>2341345.6583999996</v>
      </c>
      <c r="I39" s="89">
        <f>'MONTHLY STATS'!$K$122*0.21</f>
        <v>3035063.8668</v>
      </c>
      <c r="J39" s="89">
        <f>'MONTHLY STATS'!$K$137*0.21</f>
        <v>3874557.0822</v>
      </c>
      <c r="K39" s="89">
        <f>'MONTHLY STATS'!$K$152*0.21</f>
        <v>4942654.8275999995</v>
      </c>
      <c r="L39" s="89">
        <f>'MONTHLY STATS'!$K$167*0.21</f>
        <v>740630.0559</v>
      </c>
      <c r="M39" s="89">
        <f>'MONTHLY STATS'!$K$182*0.21</f>
        <v>5612612.3424</v>
      </c>
      <c r="N39" s="89">
        <f>'MONTHLY STATS'!$K$197*0.21</f>
        <v>952405.7570999999</v>
      </c>
      <c r="O39" s="90">
        <f>SUM(B39:N39)</f>
        <v>37116418.1703</v>
      </c>
      <c r="P39" s="83"/>
    </row>
    <row r="40" spans="1:16" ht="15">
      <c r="A40" s="88">
        <f>DATE(2022,4,1)</f>
        <v>44652</v>
      </c>
      <c r="B40" s="89">
        <f>'MONTHLY STATS'!$K$18*0.21</f>
        <v>3309446.5319999997</v>
      </c>
      <c r="C40" s="89">
        <f>'MONTHLY STATS'!$K$33*0.21</f>
        <v>1749137.1996</v>
      </c>
      <c r="D40" s="89">
        <f>'MONTHLY STATS'!$K$48*0.21</f>
        <v>922539.1686</v>
      </c>
      <c r="E40" s="89">
        <f>'MONTHLY STATS'!$K$63*0.21</f>
        <v>4661826.3531</v>
      </c>
      <c r="F40" s="89">
        <f>'MONTHLY STATS'!$K$78*0.21</f>
        <v>3303345.0659999996</v>
      </c>
      <c r="G40" s="89">
        <f>'MONTHLY STATS'!$K$93*0.21</f>
        <v>1338221.0184</v>
      </c>
      <c r="H40" s="89">
        <f>'MONTHLY STATS'!$K$108*0.21</f>
        <v>2340597.0335999997</v>
      </c>
      <c r="I40" s="89">
        <f>'MONTHLY STATS'!$K$123*0.21</f>
        <v>2673129.8916</v>
      </c>
      <c r="J40" s="89">
        <f>'MONTHLY STATS'!$K$138*0.21</f>
        <v>3734589.2241</v>
      </c>
      <c r="K40" s="89">
        <f>'MONTHLY STATS'!$K$153*0.21</f>
        <v>4905344.0541</v>
      </c>
      <c r="L40" s="89">
        <f>'MONTHLY STATS'!$K$168*0.21</f>
        <v>731910.3812999999</v>
      </c>
      <c r="M40" s="89">
        <f>'MONTHLY STATS'!$K$183*0.21</f>
        <v>5540734.1976</v>
      </c>
      <c r="N40" s="89">
        <f>'MONTHLY STATS'!$K$198*0.21</f>
        <v>963597.7575</v>
      </c>
      <c r="O40" s="90">
        <f>SUM(B40:N40)</f>
        <v>36174417.877500005</v>
      </c>
      <c r="P40" s="83"/>
    </row>
    <row r="41" spans="1:16" ht="15">
      <c r="A41" s="88">
        <f>DATE(2022,5,1)</f>
        <v>44682</v>
      </c>
      <c r="B41" s="89">
        <f>'MONTHLY STATS'!$K$19*0.21</f>
        <v>3258660.426</v>
      </c>
      <c r="C41" s="89">
        <f>'MONTHLY STATS'!$K$34*0.21</f>
        <v>1509171.9908999999</v>
      </c>
      <c r="D41" s="89">
        <f>'MONTHLY STATS'!$K$49*0.21</f>
        <v>837299.3328</v>
      </c>
      <c r="E41" s="89">
        <f>'MONTHLY STATS'!$K$64*0.21</f>
        <v>4358605.6311</v>
      </c>
      <c r="F41" s="89">
        <f>'MONTHLY STATS'!$K$79*0.21</f>
        <v>3146796.8258999996</v>
      </c>
      <c r="G41" s="89">
        <f>'MONTHLY STATS'!$K$94*0.21</f>
        <v>1262022.699</v>
      </c>
      <c r="H41" s="89">
        <f>'MONTHLY STATS'!$K$109*0.21</f>
        <v>2213018.5623</v>
      </c>
      <c r="I41" s="89">
        <f>'MONTHLY STATS'!$K$124*0.21</f>
        <v>2640162.9576</v>
      </c>
      <c r="J41" s="89">
        <f>'MONTHLY STATS'!$K$139*0.21</f>
        <v>3527546.9522999995</v>
      </c>
      <c r="K41" s="89">
        <f>'MONTHLY STATS'!$K$154*0.21</f>
        <v>4795424.2118999995</v>
      </c>
      <c r="L41" s="89">
        <f>'MONTHLY STATS'!$K$169*0.21</f>
        <v>648154.9641</v>
      </c>
      <c r="M41" s="89">
        <f>'MONTHLY STATS'!$K$184*0.21</f>
        <v>5296772.1177</v>
      </c>
      <c r="N41" s="89">
        <f>'MONTHLY STATS'!$K$199*0.21</f>
        <v>849639.5649</v>
      </c>
      <c r="O41" s="90">
        <f>SUM(B41:N41)</f>
        <v>34343276.2365</v>
      </c>
      <c r="P41" s="83"/>
    </row>
    <row r="42" spans="1:16" ht="15">
      <c r="A42" s="88">
        <f>DATE(2022,6,1)</f>
        <v>44713</v>
      </c>
      <c r="B42" s="89">
        <f>'MONTHLY STATS'!$K$20*0.21</f>
        <v>3149102.3172</v>
      </c>
      <c r="C42" s="89">
        <f>'MONTHLY STATS'!$K$35*0.21</f>
        <v>1445128.3875</v>
      </c>
      <c r="D42" s="89">
        <f>'MONTHLY STATS'!$K$50*0.21</f>
        <v>762089.6345999999</v>
      </c>
      <c r="E42" s="89">
        <f>'MONTHLY STATS'!$K$65*0.21</f>
        <v>3801375.9966</v>
      </c>
      <c r="F42" s="89">
        <f>'MONTHLY STATS'!$K$80*0.21</f>
        <v>2975821.6613999996</v>
      </c>
      <c r="G42" s="89">
        <f>'MONTHLY STATS'!$K$95*0.21</f>
        <v>1221714.3456000001</v>
      </c>
      <c r="H42" s="89">
        <f>'MONTHLY STATS'!$K$110*0.21</f>
        <v>1980118.3205999997</v>
      </c>
      <c r="I42" s="89">
        <f>'MONTHLY STATS'!$K$125*0.21</f>
        <v>2393956.9458</v>
      </c>
      <c r="J42" s="89">
        <f>'MONTHLY STATS'!$K$140*0.21</f>
        <v>3484489.0458</v>
      </c>
      <c r="K42" s="89">
        <f>'MONTHLY STATS'!$K$155*0.21</f>
        <v>4185990.7886999995</v>
      </c>
      <c r="L42" s="89">
        <f>'MONTHLY STATS'!$K$170*0.21</f>
        <v>572624.4530999999</v>
      </c>
      <c r="M42" s="89">
        <f>'MONTHLY STATS'!$K$185*0.21</f>
        <v>5072129.3406</v>
      </c>
      <c r="N42" s="89">
        <f>'MONTHLY STATS'!$K$200*0.21</f>
        <v>786583.4928</v>
      </c>
      <c r="O42" s="90">
        <f>SUM(B42:N42)</f>
        <v>31831124.730299998</v>
      </c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37184615.5107</v>
      </c>
      <c r="C44" s="90">
        <f t="shared" si="3"/>
        <v>18585895.0578</v>
      </c>
      <c r="D44" s="90">
        <f t="shared" si="3"/>
        <v>10139707.389</v>
      </c>
      <c r="E44" s="90">
        <f t="shared" si="3"/>
        <v>49217751.429</v>
      </c>
      <c r="F44" s="90">
        <f t="shared" si="3"/>
        <v>37129407.684599996</v>
      </c>
      <c r="G44" s="90">
        <f t="shared" si="3"/>
        <v>15130985.769899996</v>
      </c>
      <c r="H44" s="90">
        <f t="shared" si="3"/>
        <v>25170092.423699997</v>
      </c>
      <c r="I44" s="90">
        <f>SUM(I31:I42)</f>
        <v>31603792.0128</v>
      </c>
      <c r="J44" s="90">
        <f t="shared" si="3"/>
        <v>41726480.098799996</v>
      </c>
      <c r="K44" s="90">
        <f>SUM(K31:K42)</f>
        <v>52386216.077999994</v>
      </c>
      <c r="L44" s="90">
        <f t="shared" si="3"/>
        <v>8083931.337299999</v>
      </c>
      <c r="M44" s="90">
        <f t="shared" si="3"/>
        <v>63514718.3349</v>
      </c>
      <c r="N44" s="90">
        <f t="shared" si="3"/>
        <v>10109526.4683</v>
      </c>
      <c r="O44" s="90">
        <f t="shared" si="3"/>
        <v>399983119.59480006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DATE(2021,7,1)</f>
        <v>44378</v>
      </c>
      <c r="C9" s="204">
        <v>13122165.06</v>
      </c>
      <c r="D9" s="204">
        <v>2401856.06</v>
      </c>
      <c r="E9" s="204">
        <v>1959351.91</v>
      </c>
      <c r="F9" s="132">
        <f aca="true" t="shared" si="0" ref="F9:F20">(+D9-E9)/E9</f>
        <v>0.22584210000336294</v>
      </c>
      <c r="G9" s="215">
        <f aca="true" t="shared" si="1" ref="G9:G20">D9/C9</f>
        <v>0.1830380923435816</v>
      </c>
      <c r="H9" s="123"/>
    </row>
    <row r="10" spans="1:8" ht="1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0.6018756759487907</v>
      </c>
      <c r="G10" s="215">
        <f t="shared" si="1"/>
        <v>0.1961917700946535</v>
      </c>
      <c r="H10" s="123"/>
    </row>
    <row r="11" spans="1:8" ht="1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0.4105988830755546</v>
      </c>
      <c r="G11" s="215">
        <f t="shared" si="1"/>
        <v>0.15141541376733514</v>
      </c>
      <c r="H11" s="123"/>
    </row>
    <row r="12" spans="1:8" ht="1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0.7760464490509466</v>
      </c>
      <c r="G12" s="215">
        <f t="shared" si="1"/>
        <v>0.21265524892658516</v>
      </c>
      <c r="H12" s="123"/>
    </row>
    <row r="13" spans="1:8" ht="1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</v>
      </c>
      <c r="G13" s="215">
        <f t="shared" si="1"/>
        <v>0.1893508166142796</v>
      </c>
      <c r="H13" s="123"/>
    </row>
    <row r="14" spans="1:8" ht="15">
      <c r="A14" s="130"/>
      <c r="B14" s="131">
        <f>DATE(2021,12,1)</f>
        <v>44531</v>
      </c>
      <c r="C14" s="204">
        <v>13044632</v>
      </c>
      <c r="D14" s="204">
        <v>2277304.5</v>
      </c>
      <c r="E14" s="204">
        <v>1661463</v>
      </c>
      <c r="F14" s="132">
        <f t="shared" si="0"/>
        <v>0.37066218146296365</v>
      </c>
      <c r="G14" s="215">
        <f t="shared" si="1"/>
        <v>0.17457790300255308</v>
      </c>
      <c r="H14" s="123"/>
    </row>
    <row r="15" spans="1:8" ht="15">
      <c r="A15" s="130"/>
      <c r="B15" s="131">
        <f>DATE(2022,1,1)</f>
        <v>44562</v>
      </c>
      <c r="C15" s="204">
        <v>14518603</v>
      </c>
      <c r="D15" s="204">
        <v>2164427.5</v>
      </c>
      <c r="E15" s="204">
        <v>1430188</v>
      </c>
      <c r="F15" s="132">
        <f t="shared" si="0"/>
        <v>0.5133867016084599</v>
      </c>
      <c r="G15" s="215">
        <f t="shared" si="1"/>
        <v>0.1490795980852979</v>
      </c>
      <c r="H15" s="123"/>
    </row>
    <row r="16" spans="1:8" ht="15">
      <c r="A16" s="130"/>
      <c r="B16" s="131">
        <f>DATE(2022,2,1)</f>
        <v>44593</v>
      </c>
      <c r="C16" s="204">
        <v>13130349</v>
      </c>
      <c r="D16" s="204">
        <v>2316245</v>
      </c>
      <c r="E16" s="204">
        <v>1356444</v>
      </c>
      <c r="F16" s="132">
        <f t="shared" si="0"/>
        <v>0.707586159104246</v>
      </c>
      <c r="G16" s="215">
        <f t="shared" si="1"/>
        <v>0.17640391736731445</v>
      </c>
      <c r="H16" s="123"/>
    </row>
    <row r="17" spans="1:8" ht="15">
      <c r="A17" s="130"/>
      <c r="B17" s="131">
        <f>DATE(2022,3,1)</f>
        <v>44621</v>
      </c>
      <c r="C17" s="204">
        <v>15428259</v>
      </c>
      <c r="D17" s="204">
        <v>2654540</v>
      </c>
      <c r="E17" s="204">
        <v>2088206.5</v>
      </c>
      <c r="F17" s="132">
        <f t="shared" si="0"/>
        <v>0.2712056973292632</v>
      </c>
      <c r="G17" s="215">
        <f t="shared" si="1"/>
        <v>0.17205700267282265</v>
      </c>
      <c r="H17" s="123"/>
    </row>
    <row r="18" spans="1:8" ht="15">
      <c r="A18" s="130"/>
      <c r="B18" s="131">
        <f>DATE(2022,4,1)</f>
        <v>44652</v>
      </c>
      <c r="C18" s="204">
        <v>16332532.5</v>
      </c>
      <c r="D18" s="204">
        <v>2452491.5</v>
      </c>
      <c r="E18" s="204">
        <v>1972772</v>
      </c>
      <c r="F18" s="132">
        <f t="shared" si="0"/>
        <v>0.24317027005654987</v>
      </c>
      <c r="G18" s="215">
        <f t="shared" si="1"/>
        <v>0.15015990324831743</v>
      </c>
      <c r="H18" s="123"/>
    </row>
    <row r="19" spans="1:8" ht="15">
      <c r="A19" s="130"/>
      <c r="B19" s="131">
        <f>DATE(2022,5,1)</f>
        <v>44682</v>
      </c>
      <c r="C19" s="204">
        <v>17315330</v>
      </c>
      <c r="D19" s="204">
        <v>2927174.5</v>
      </c>
      <c r="E19" s="204">
        <v>1636491.5</v>
      </c>
      <c r="F19" s="132">
        <f t="shared" si="0"/>
        <v>0.7886890949326654</v>
      </c>
      <c r="G19" s="215">
        <f t="shared" si="1"/>
        <v>0.16905103743330332</v>
      </c>
      <c r="H19" s="123"/>
    </row>
    <row r="20" spans="1:8" ht="15">
      <c r="A20" s="130"/>
      <c r="B20" s="131">
        <f>DATE(2022,6,1)</f>
        <v>44713</v>
      </c>
      <c r="C20" s="204">
        <v>15179564</v>
      </c>
      <c r="D20" s="204">
        <v>3269860</v>
      </c>
      <c r="E20" s="204">
        <v>1636889.5</v>
      </c>
      <c r="F20" s="132">
        <f t="shared" si="0"/>
        <v>0.9976058249503097</v>
      </c>
      <c r="G20" s="215">
        <f t="shared" si="1"/>
        <v>0.21541198416502608</v>
      </c>
      <c r="H20" s="123"/>
    </row>
    <row r="21" spans="1:8" ht="15" thickBot="1">
      <c r="A21" s="133"/>
      <c r="B21" s="134"/>
      <c r="C21" s="204"/>
      <c r="D21" s="204"/>
      <c r="E21" s="204"/>
      <c r="F21" s="132"/>
      <c r="G21" s="215"/>
      <c r="H21" s="123"/>
    </row>
    <row r="22" spans="1:8" ht="16.5" thickBot="1" thickTop="1">
      <c r="A22" s="135" t="s">
        <v>14</v>
      </c>
      <c r="B22" s="136"/>
      <c r="C22" s="201">
        <f>SUM(C9:C21)</f>
        <v>168076175.06</v>
      </c>
      <c r="D22" s="201">
        <f>SUM(D9:D21)</f>
        <v>29823722.060000002</v>
      </c>
      <c r="E22" s="201">
        <f>SUM(E9:E21)</f>
        <v>19626048.91</v>
      </c>
      <c r="F22" s="137">
        <f>(+D22-E22)/E22</f>
        <v>0.5195988859889171</v>
      </c>
      <c r="G22" s="212">
        <f>D22/C22</f>
        <v>0.17744169897579773</v>
      </c>
      <c r="H22" s="123"/>
    </row>
    <row r="23" spans="1:8" ht="15.75" customHeight="1" thickTop="1">
      <c r="A23" s="138"/>
      <c r="B23" s="139"/>
      <c r="C23" s="205"/>
      <c r="D23" s="205"/>
      <c r="E23" s="205"/>
      <c r="F23" s="140"/>
      <c r="G23" s="216"/>
      <c r="H23" s="123"/>
    </row>
    <row r="24" spans="1:8" ht="15">
      <c r="A24" s="19" t="s">
        <v>15</v>
      </c>
      <c r="B24" s="131">
        <f>DATE(2021,7,1)</f>
        <v>44378</v>
      </c>
      <c r="C24" s="204">
        <v>2659715</v>
      </c>
      <c r="D24" s="204">
        <v>753311.5</v>
      </c>
      <c r="E24" s="204">
        <v>547209</v>
      </c>
      <c r="F24" s="132">
        <f aca="true" t="shared" si="2" ref="F24:F35">(+D24-E24)/E24</f>
        <v>0.3766431107675495</v>
      </c>
      <c r="G24" s="215">
        <f aca="true" t="shared" si="3" ref="G24:G35">D24/C24</f>
        <v>0.28323015811844504</v>
      </c>
      <c r="H24" s="123"/>
    </row>
    <row r="25" spans="1:8" ht="15">
      <c r="A25" s="19"/>
      <c r="B25" s="131">
        <f>DATE(2021,8,1)</f>
        <v>44409</v>
      </c>
      <c r="C25" s="204">
        <v>2802417</v>
      </c>
      <c r="D25" s="204">
        <v>615974.5</v>
      </c>
      <c r="E25" s="204">
        <v>526001.5</v>
      </c>
      <c r="F25" s="132">
        <f t="shared" si="2"/>
        <v>0.17105084301090395</v>
      </c>
      <c r="G25" s="215">
        <f t="shared" si="3"/>
        <v>0.21980115735809483</v>
      </c>
      <c r="H25" s="123"/>
    </row>
    <row r="26" spans="1:8" ht="15">
      <c r="A26" s="19"/>
      <c r="B26" s="131">
        <f>DATE(2021,9,1)</f>
        <v>44440</v>
      </c>
      <c r="C26" s="204">
        <v>2513978</v>
      </c>
      <c r="D26" s="204">
        <v>858656</v>
      </c>
      <c r="E26" s="204">
        <v>401819.5</v>
      </c>
      <c r="F26" s="132">
        <f t="shared" si="2"/>
        <v>1.1369196865756888</v>
      </c>
      <c r="G26" s="215">
        <f t="shared" si="3"/>
        <v>0.3415527104851355</v>
      </c>
      <c r="H26" s="123"/>
    </row>
    <row r="27" spans="1:8" ht="15">
      <c r="A27" s="19"/>
      <c r="B27" s="131">
        <f>DATE(2021,10,1)</f>
        <v>44470</v>
      </c>
      <c r="C27" s="204">
        <v>2807049</v>
      </c>
      <c r="D27" s="204">
        <v>649914</v>
      </c>
      <c r="E27" s="204">
        <v>612154.5</v>
      </c>
      <c r="F27" s="132">
        <f t="shared" si="2"/>
        <v>0.0616829574886732</v>
      </c>
      <c r="G27" s="215">
        <f t="shared" si="3"/>
        <v>0.2315292679251413</v>
      </c>
      <c r="H27" s="123"/>
    </row>
    <row r="28" spans="1:8" ht="15">
      <c r="A28" s="19"/>
      <c r="B28" s="131">
        <f>DATE(2021,11,1)</f>
        <v>44501</v>
      </c>
      <c r="C28" s="204">
        <v>2435882</v>
      </c>
      <c r="D28" s="204">
        <v>707738</v>
      </c>
      <c r="E28" s="204">
        <v>534831.5</v>
      </c>
      <c r="F28" s="132">
        <f t="shared" si="2"/>
        <v>0.3232915413546136</v>
      </c>
      <c r="G28" s="215">
        <f t="shared" si="3"/>
        <v>0.29054691483413403</v>
      </c>
      <c r="H28" s="123"/>
    </row>
    <row r="29" spans="1:8" ht="15">
      <c r="A29" s="19"/>
      <c r="B29" s="131">
        <f>DATE(2021,12,1)</f>
        <v>44531</v>
      </c>
      <c r="C29" s="204">
        <v>2813282</v>
      </c>
      <c r="D29" s="204">
        <v>706014</v>
      </c>
      <c r="E29" s="204">
        <v>508771</v>
      </c>
      <c r="F29" s="132">
        <f t="shared" si="2"/>
        <v>0.38768522576955056</v>
      </c>
      <c r="G29" s="215">
        <f t="shared" si="3"/>
        <v>0.25095742268283094</v>
      </c>
      <c r="H29" s="123"/>
    </row>
    <row r="30" spans="1:8" ht="15">
      <c r="A30" s="19"/>
      <c r="B30" s="131">
        <f>DATE(2022,1,1)</f>
        <v>44562</v>
      </c>
      <c r="C30" s="204">
        <v>2328587</v>
      </c>
      <c r="D30" s="204">
        <v>684356</v>
      </c>
      <c r="E30" s="204">
        <v>716489.5</v>
      </c>
      <c r="F30" s="132">
        <f t="shared" si="2"/>
        <v>-0.044848528833988495</v>
      </c>
      <c r="G30" s="215">
        <f t="shared" si="3"/>
        <v>0.29389324942551</v>
      </c>
      <c r="H30" s="123"/>
    </row>
    <row r="31" spans="1:8" ht="15">
      <c r="A31" s="19"/>
      <c r="B31" s="131">
        <f>DATE(2022,2,1)</f>
        <v>44593</v>
      </c>
      <c r="C31" s="204">
        <v>2173318</v>
      </c>
      <c r="D31" s="204">
        <v>495607</v>
      </c>
      <c r="E31" s="204">
        <v>476264</v>
      </c>
      <c r="F31" s="132">
        <f t="shared" si="2"/>
        <v>0.04061402919389246</v>
      </c>
      <c r="G31" s="215">
        <f t="shared" si="3"/>
        <v>0.2280416395575797</v>
      </c>
      <c r="H31" s="123"/>
    </row>
    <row r="32" spans="1:8" ht="15">
      <c r="A32" s="19"/>
      <c r="B32" s="131">
        <f>DATE(2022,3,1)</f>
        <v>44621</v>
      </c>
      <c r="C32" s="204">
        <v>2540076</v>
      </c>
      <c r="D32" s="204">
        <v>769345</v>
      </c>
      <c r="E32" s="204">
        <v>890723</v>
      </c>
      <c r="F32" s="132">
        <f t="shared" si="2"/>
        <v>-0.13626907579573</v>
      </c>
      <c r="G32" s="215">
        <f t="shared" si="3"/>
        <v>0.3028826696524041</v>
      </c>
      <c r="H32" s="123"/>
    </row>
    <row r="33" spans="1:8" ht="15">
      <c r="A33" s="19"/>
      <c r="B33" s="131">
        <f>DATE(2022,4,1)</f>
        <v>44652</v>
      </c>
      <c r="C33" s="204">
        <v>2650357</v>
      </c>
      <c r="D33" s="204">
        <v>778964.5</v>
      </c>
      <c r="E33" s="204">
        <v>858639</v>
      </c>
      <c r="F33" s="132">
        <f t="shared" si="2"/>
        <v>-0.09279161556835876</v>
      </c>
      <c r="G33" s="215">
        <f t="shared" si="3"/>
        <v>0.29390927335449524</v>
      </c>
      <c r="H33" s="123"/>
    </row>
    <row r="34" spans="1:8" ht="15">
      <c r="A34" s="19"/>
      <c r="B34" s="131">
        <f>DATE(2022,5,1)</f>
        <v>44682</v>
      </c>
      <c r="C34" s="204">
        <v>2433577</v>
      </c>
      <c r="D34" s="204">
        <v>630725</v>
      </c>
      <c r="E34" s="204">
        <v>857186</v>
      </c>
      <c r="F34" s="132">
        <f t="shared" si="2"/>
        <v>-0.26419120237614707</v>
      </c>
      <c r="G34" s="215">
        <f t="shared" si="3"/>
        <v>0.25917610168077687</v>
      </c>
      <c r="H34" s="123"/>
    </row>
    <row r="35" spans="1:8" ht="15">
      <c r="A35" s="19"/>
      <c r="B35" s="131">
        <f>DATE(2022,6,1)</f>
        <v>44713</v>
      </c>
      <c r="C35" s="204">
        <v>2303694</v>
      </c>
      <c r="D35" s="204">
        <v>805229</v>
      </c>
      <c r="E35" s="204">
        <v>677220.5</v>
      </c>
      <c r="F35" s="132">
        <f t="shared" si="2"/>
        <v>0.18902041506422207</v>
      </c>
      <c r="G35" s="215">
        <f t="shared" si="3"/>
        <v>0.34953817651129016</v>
      </c>
      <c r="H35" s="123"/>
    </row>
    <row r="36" spans="1:8" ht="15" thickBot="1">
      <c r="A36" s="133"/>
      <c r="B36" s="131"/>
      <c r="C36" s="204"/>
      <c r="D36" s="204"/>
      <c r="E36" s="204"/>
      <c r="F36" s="132"/>
      <c r="G36" s="215"/>
      <c r="H36" s="123"/>
    </row>
    <row r="37" spans="1:8" ht="16.5" thickBot="1" thickTop="1">
      <c r="A37" s="135" t="s">
        <v>14</v>
      </c>
      <c r="B37" s="136"/>
      <c r="C37" s="201">
        <f>SUM(C24:C36)</f>
        <v>30461932</v>
      </c>
      <c r="D37" s="201">
        <f>SUM(D24:D36)</f>
        <v>8455834.5</v>
      </c>
      <c r="E37" s="201">
        <f>SUM(E24:E36)</f>
        <v>7607309</v>
      </c>
      <c r="F37" s="137">
        <f>(+D37-E37)/E37</f>
        <v>0.11154082212251402</v>
      </c>
      <c r="G37" s="212">
        <f>D37/C37</f>
        <v>0.2775869403161953</v>
      </c>
      <c r="H37" s="123"/>
    </row>
    <row r="38" spans="1:8" ht="15.75" customHeight="1" thickTop="1">
      <c r="A38" s="255"/>
      <c r="B38" s="139"/>
      <c r="C38" s="205"/>
      <c r="D38" s="205"/>
      <c r="E38" s="205"/>
      <c r="F38" s="140"/>
      <c r="G38" s="219"/>
      <c r="H38" s="123"/>
    </row>
    <row r="39" spans="1:8" ht="15">
      <c r="A39" s="19" t="s">
        <v>62</v>
      </c>
      <c r="B39" s="131">
        <f>DATE(2021,7,1)</f>
        <v>44378</v>
      </c>
      <c r="C39" s="204">
        <v>1594658</v>
      </c>
      <c r="D39" s="204">
        <v>420154</v>
      </c>
      <c r="E39" s="204">
        <v>362069</v>
      </c>
      <c r="F39" s="132">
        <f aca="true" t="shared" si="4" ref="F39:F50">(+D39-E39)/E39</f>
        <v>0.16042522281664545</v>
      </c>
      <c r="G39" s="215">
        <f aca="true" t="shared" si="5" ref="G39:G50">D39/C39</f>
        <v>0.2634759302621628</v>
      </c>
      <c r="H39" s="123"/>
    </row>
    <row r="40" spans="1:8" ht="15">
      <c r="A40" s="19"/>
      <c r="B40" s="131">
        <f>DATE(2021,8,1)</f>
        <v>44409</v>
      </c>
      <c r="C40" s="204">
        <v>1384308</v>
      </c>
      <c r="D40" s="204">
        <v>283741.5</v>
      </c>
      <c r="E40" s="204">
        <v>264520</v>
      </c>
      <c r="F40" s="132">
        <f t="shared" si="4"/>
        <v>0.07266558294268864</v>
      </c>
      <c r="G40" s="215">
        <f t="shared" si="5"/>
        <v>0.2049699199889042</v>
      </c>
      <c r="H40" s="123"/>
    </row>
    <row r="41" spans="1:8" ht="15">
      <c r="A41" s="19"/>
      <c r="B41" s="131">
        <f>DATE(2021,9,1)</f>
        <v>44440</v>
      </c>
      <c r="C41" s="204">
        <v>1364005</v>
      </c>
      <c r="D41" s="204">
        <v>271461</v>
      </c>
      <c r="E41" s="204">
        <v>282126.5</v>
      </c>
      <c r="F41" s="132">
        <f t="shared" si="4"/>
        <v>-0.03780396382473819</v>
      </c>
      <c r="G41" s="215">
        <f t="shared" si="5"/>
        <v>0.1990175989090949</v>
      </c>
      <c r="H41" s="123"/>
    </row>
    <row r="42" spans="1:8" ht="15">
      <c r="A42" s="19"/>
      <c r="B42" s="131">
        <f>DATE(2021,10,1)</f>
        <v>44470</v>
      </c>
      <c r="C42" s="204">
        <v>1507535</v>
      </c>
      <c r="D42" s="204">
        <v>344180</v>
      </c>
      <c r="E42" s="204">
        <v>409251</v>
      </c>
      <c r="F42" s="132">
        <f t="shared" si="4"/>
        <v>-0.15900022235742858</v>
      </c>
      <c r="G42" s="215">
        <f t="shared" si="5"/>
        <v>0.22830647381321165</v>
      </c>
      <c r="H42" s="123"/>
    </row>
    <row r="43" spans="1:8" ht="15">
      <c r="A43" s="19"/>
      <c r="B43" s="131">
        <f>DATE(2021,11,1)</f>
        <v>44501</v>
      </c>
      <c r="C43" s="204">
        <v>1413355</v>
      </c>
      <c r="D43" s="204">
        <v>349298.5</v>
      </c>
      <c r="E43" s="204">
        <v>302858</v>
      </c>
      <c r="F43" s="132">
        <f t="shared" si="4"/>
        <v>0.15334083960139736</v>
      </c>
      <c r="G43" s="215">
        <f t="shared" si="5"/>
        <v>0.24714137637040942</v>
      </c>
      <c r="H43" s="123"/>
    </row>
    <row r="44" spans="1:8" ht="15">
      <c r="A44" s="19"/>
      <c r="B44" s="131">
        <f>DATE(2021,12,1)</f>
        <v>44531</v>
      </c>
      <c r="C44" s="204">
        <v>1438471</v>
      </c>
      <c r="D44" s="204">
        <v>335226</v>
      </c>
      <c r="E44" s="204">
        <v>403813</v>
      </c>
      <c r="F44" s="132">
        <f t="shared" si="4"/>
        <v>-0.16984841993695102</v>
      </c>
      <c r="G44" s="215">
        <f t="shared" si="5"/>
        <v>0.23304327998270385</v>
      </c>
      <c r="H44" s="123"/>
    </row>
    <row r="45" spans="1:8" ht="15">
      <c r="A45" s="19"/>
      <c r="B45" s="131">
        <f>DATE(2022,1,1)</f>
        <v>44562</v>
      </c>
      <c r="C45" s="204">
        <v>1095658</v>
      </c>
      <c r="D45" s="204">
        <v>314386</v>
      </c>
      <c r="E45" s="204">
        <v>346038</v>
      </c>
      <c r="F45" s="132">
        <f t="shared" si="4"/>
        <v>-0.09146972297840121</v>
      </c>
      <c r="G45" s="215">
        <f t="shared" si="5"/>
        <v>0.28693807739276306</v>
      </c>
      <c r="H45" s="123"/>
    </row>
    <row r="46" spans="1:8" ht="15">
      <c r="A46" s="19"/>
      <c r="B46" s="131">
        <f>DATE(2022,2,1)</f>
        <v>44593</v>
      </c>
      <c r="C46" s="204">
        <v>1152903</v>
      </c>
      <c r="D46" s="204">
        <v>260435</v>
      </c>
      <c r="E46" s="204">
        <v>285945.5</v>
      </c>
      <c r="F46" s="132">
        <f t="shared" si="4"/>
        <v>-0.0892145531228853</v>
      </c>
      <c r="G46" s="215">
        <f t="shared" si="5"/>
        <v>0.22589497988989535</v>
      </c>
      <c r="H46" s="123"/>
    </row>
    <row r="47" spans="1:8" ht="15">
      <c r="A47" s="19"/>
      <c r="B47" s="131">
        <f>DATE(2022,3,1)</f>
        <v>44621</v>
      </c>
      <c r="C47" s="204">
        <v>1384817</v>
      </c>
      <c r="D47" s="204">
        <v>412336.5</v>
      </c>
      <c r="E47" s="204">
        <v>429833</v>
      </c>
      <c r="F47" s="132">
        <f t="shared" si="4"/>
        <v>-0.04070534370325219</v>
      </c>
      <c r="G47" s="215">
        <f t="shared" si="5"/>
        <v>0.29775522686391054</v>
      </c>
      <c r="H47" s="123"/>
    </row>
    <row r="48" spans="1:8" ht="15">
      <c r="A48" s="19"/>
      <c r="B48" s="131">
        <f>DATE(2022,4,1)</f>
        <v>44652</v>
      </c>
      <c r="C48" s="204">
        <v>1349946</v>
      </c>
      <c r="D48" s="204">
        <v>414568.5</v>
      </c>
      <c r="E48" s="204">
        <v>327891.5</v>
      </c>
      <c r="F48" s="132">
        <f t="shared" si="4"/>
        <v>0.2643465902592778</v>
      </c>
      <c r="G48" s="215">
        <f t="shared" si="5"/>
        <v>0.307100061780249</v>
      </c>
      <c r="H48" s="123"/>
    </row>
    <row r="49" spans="1:8" ht="15">
      <c r="A49" s="19"/>
      <c r="B49" s="131">
        <f>DATE(2022,5,1)</f>
        <v>44682</v>
      </c>
      <c r="C49" s="204">
        <v>1339382</v>
      </c>
      <c r="D49" s="204">
        <v>334374.5</v>
      </c>
      <c r="E49" s="204">
        <v>419048</v>
      </c>
      <c r="F49" s="132">
        <f t="shared" si="4"/>
        <v>-0.202061577671293</v>
      </c>
      <c r="G49" s="215">
        <f t="shared" si="5"/>
        <v>0.24964834528162988</v>
      </c>
      <c r="H49" s="123"/>
    </row>
    <row r="50" spans="1:8" ht="15">
      <c r="A50" s="19"/>
      <c r="B50" s="131">
        <f>DATE(2022,6,1)</f>
        <v>44713</v>
      </c>
      <c r="C50" s="204">
        <v>1000454</v>
      </c>
      <c r="D50" s="204">
        <v>334858</v>
      </c>
      <c r="E50" s="204">
        <v>394385.5</v>
      </c>
      <c r="F50" s="132">
        <f t="shared" si="4"/>
        <v>-0.15093734429891564</v>
      </c>
      <c r="G50" s="215">
        <f t="shared" si="5"/>
        <v>0.33470604345627086</v>
      </c>
      <c r="H50" s="123"/>
    </row>
    <row r="51" spans="1:8" ht="15" thickBot="1">
      <c r="A51" s="133"/>
      <c r="B51" s="131"/>
      <c r="C51" s="204"/>
      <c r="D51" s="204"/>
      <c r="E51" s="204"/>
      <c r="F51" s="132"/>
      <c r="G51" s="215"/>
      <c r="H51" s="123"/>
    </row>
    <row r="52" spans="1:8" ht="16.5" thickBot="1" thickTop="1">
      <c r="A52" s="141" t="s">
        <v>14</v>
      </c>
      <c r="B52" s="142"/>
      <c r="C52" s="206">
        <f>SUM(C39:C51)</f>
        <v>16025492</v>
      </c>
      <c r="D52" s="206">
        <f>SUM(D39:D51)</f>
        <v>4075019.5</v>
      </c>
      <c r="E52" s="206">
        <f>SUM(E39:E51)</f>
        <v>4227779</v>
      </c>
      <c r="F52" s="143">
        <f>(+D52-E52)/E52</f>
        <v>-0.036132328581981225</v>
      </c>
      <c r="G52" s="217">
        <f>D52/C52</f>
        <v>0.25428358143388047</v>
      </c>
      <c r="H52" s="123"/>
    </row>
    <row r="53" spans="1:8" ht="15" thickTop="1">
      <c r="A53" s="133"/>
      <c r="B53" s="134"/>
      <c r="C53" s="204"/>
      <c r="D53" s="204"/>
      <c r="E53" s="204"/>
      <c r="F53" s="132"/>
      <c r="G53" s="218"/>
      <c r="H53" s="123"/>
    </row>
    <row r="54" spans="1:8" ht="15">
      <c r="A54" s="177" t="s">
        <v>58</v>
      </c>
      <c r="B54" s="131">
        <f>DATE(2021,7,1)</f>
        <v>44378</v>
      </c>
      <c r="C54" s="204">
        <v>13087616</v>
      </c>
      <c r="D54" s="204">
        <v>2503983</v>
      </c>
      <c r="E54" s="204">
        <v>1708169.06</v>
      </c>
      <c r="F54" s="132">
        <f aca="true" t="shared" si="6" ref="F54:F65">(+D54-E54)/E54</f>
        <v>0.4658871060455807</v>
      </c>
      <c r="G54" s="215">
        <f aca="true" t="shared" si="7" ref="G54:G65">D54/C54</f>
        <v>0.19132460793470712</v>
      </c>
      <c r="H54" s="123"/>
    </row>
    <row r="55" spans="1:8" ht="15">
      <c r="A55" s="177"/>
      <c r="B55" s="131">
        <f>DATE(2021,8,1)</f>
        <v>44409</v>
      </c>
      <c r="C55" s="204">
        <v>12295504</v>
      </c>
      <c r="D55" s="204">
        <v>2387806</v>
      </c>
      <c r="E55" s="204">
        <v>2028826.5</v>
      </c>
      <c r="F55" s="132">
        <f t="shared" si="6"/>
        <v>0.1769394770819486</v>
      </c>
      <c r="G55" s="215">
        <f t="shared" si="7"/>
        <v>0.1942015553002138</v>
      </c>
      <c r="H55" s="123"/>
    </row>
    <row r="56" spans="1:8" ht="15">
      <c r="A56" s="177"/>
      <c r="B56" s="131">
        <f>DATE(2021,9,1)</f>
        <v>44440</v>
      </c>
      <c r="C56" s="204">
        <v>13803172</v>
      </c>
      <c r="D56" s="204">
        <v>2689723.5</v>
      </c>
      <c r="E56" s="204">
        <v>2149169</v>
      </c>
      <c r="F56" s="132">
        <f t="shared" si="6"/>
        <v>0.25151791227213866</v>
      </c>
      <c r="G56" s="215">
        <f t="shared" si="7"/>
        <v>0.19486270981771436</v>
      </c>
      <c r="H56" s="123"/>
    </row>
    <row r="57" spans="1:8" ht="15">
      <c r="A57" s="177"/>
      <c r="B57" s="131">
        <f>DATE(2021,10,1)</f>
        <v>44470</v>
      </c>
      <c r="C57" s="204">
        <v>13466637</v>
      </c>
      <c r="D57" s="204">
        <v>2470116.03</v>
      </c>
      <c r="E57" s="204">
        <v>2042559.98</v>
      </c>
      <c r="F57" s="132">
        <f t="shared" si="6"/>
        <v>0.20932362045005887</v>
      </c>
      <c r="G57" s="215">
        <f t="shared" si="7"/>
        <v>0.1834248617527895</v>
      </c>
      <c r="H57" s="123"/>
    </row>
    <row r="58" spans="1:8" ht="15">
      <c r="A58" s="177"/>
      <c r="B58" s="131">
        <f>DATE(2021,11,1)</f>
        <v>44501</v>
      </c>
      <c r="C58" s="204">
        <v>13753377</v>
      </c>
      <c r="D58" s="204">
        <v>3414579.43</v>
      </c>
      <c r="E58" s="204">
        <v>2060677.45</v>
      </c>
      <c r="F58" s="132">
        <f t="shared" si="6"/>
        <v>0.6570179044760257</v>
      </c>
      <c r="G58" s="215">
        <f t="shared" si="7"/>
        <v>0.24827207383321204</v>
      </c>
      <c r="H58" s="123"/>
    </row>
    <row r="59" spans="1:8" ht="15">
      <c r="A59" s="177"/>
      <c r="B59" s="131">
        <f>DATE(2021,12,1)</f>
        <v>44531</v>
      </c>
      <c r="C59" s="204">
        <v>14064831.5</v>
      </c>
      <c r="D59" s="204">
        <v>3251944</v>
      </c>
      <c r="E59" s="204">
        <v>2612129.91</v>
      </c>
      <c r="F59" s="132">
        <f t="shared" si="6"/>
        <v>0.24493961328286304</v>
      </c>
      <c r="G59" s="215">
        <f t="shared" si="7"/>
        <v>0.23121101735203867</v>
      </c>
      <c r="H59" s="123"/>
    </row>
    <row r="60" spans="1:8" ht="15">
      <c r="A60" s="177"/>
      <c r="B60" s="131">
        <f>DATE(2022,1,1)</f>
        <v>44562</v>
      </c>
      <c r="C60" s="204">
        <v>13221893</v>
      </c>
      <c r="D60" s="204">
        <v>3271232.5</v>
      </c>
      <c r="E60" s="204">
        <v>2320369.71</v>
      </c>
      <c r="F60" s="132">
        <f t="shared" si="6"/>
        <v>0.4097893477501049</v>
      </c>
      <c r="G60" s="215">
        <f t="shared" si="7"/>
        <v>0.24741029896399858</v>
      </c>
      <c r="H60" s="123"/>
    </row>
    <row r="61" spans="1:8" ht="15">
      <c r="A61" s="177"/>
      <c r="B61" s="131">
        <f>DATE(2022,2,1)</f>
        <v>44593</v>
      </c>
      <c r="C61" s="204">
        <v>13097961</v>
      </c>
      <c r="D61" s="204">
        <v>2578515.35</v>
      </c>
      <c r="E61" s="204">
        <v>1688741</v>
      </c>
      <c r="F61" s="132">
        <f t="shared" si="6"/>
        <v>0.5268862128650871</v>
      </c>
      <c r="G61" s="215">
        <f t="shared" si="7"/>
        <v>0.1968638744610707</v>
      </c>
      <c r="H61" s="123"/>
    </row>
    <row r="62" spans="1:8" ht="15">
      <c r="A62" s="177"/>
      <c r="B62" s="131">
        <f>DATE(2022,3,1)</f>
        <v>44621</v>
      </c>
      <c r="C62" s="204">
        <v>14570093</v>
      </c>
      <c r="D62" s="204">
        <v>2838724.85</v>
      </c>
      <c r="E62" s="204">
        <v>2903594.09</v>
      </c>
      <c r="F62" s="132">
        <f t="shared" si="6"/>
        <v>-0.022341015303554278</v>
      </c>
      <c r="G62" s="215">
        <f t="shared" si="7"/>
        <v>0.19483230820832784</v>
      </c>
      <c r="H62" s="123"/>
    </row>
    <row r="63" spans="1:8" ht="15">
      <c r="A63" s="177"/>
      <c r="B63" s="131">
        <f>DATE(2022,4,1)</f>
        <v>44652</v>
      </c>
      <c r="C63" s="204">
        <v>14727326</v>
      </c>
      <c r="D63" s="204">
        <v>3049083.5</v>
      </c>
      <c r="E63" s="204">
        <v>2541995.48</v>
      </c>
      <c r="F63" s="132">
        <f t="shared" si="6"/>
        <v>0.1994842335439558</v>
      </c>
      <c r="G63" s="215">
        <f t="shared" si="7"/>
        <v>0.20703578504339484</v>
      </c>
      <c r="H63" s="123"/>
    </row>
    <row r="64" spans="1:8" ht="15">
      <c r="A64" s="177"/>
      <c r="B64" s="131">
        <f>DATE(2022,5,1)</f>
        <v>44682</v>
      </c>
      <c r="C64" s="204">
        <v>14285912</v>
      </c>
      <c r="D64" s="204">
        <v>2841348.5</v>
      </c>
      <c r="E64" s="204">
        <v>2552125.4</v>
      </c>
      <c r="F64" s="132">
        <f t="shared" si="6"/>
        <v>0.11332636711346554</v>
      </c>
      <c r="G64" s="215">
        <f t="shared" si="7"/>
        <v>0.19889164233967002</v>
      </c>
      <c r="H64" s="123"/>
    </row>
    <row r="65" spans="1:8" ht="15">
      <c r="A65" s="177"/>
      <c r="B65" s="131">
        <f>DATE(2022,6,1)</f>
        <v>44713</v>
      </c>
      <c r="C65" s="204">
        <v>13520759</v>
      </c>
      <c r="D65" s="204">
        <v>2256264.5</v>
      </c>
      <c r="E65" s="204">
        <v>2698324.09</v>
      </c>
      <c r="F65" s="132">
        <f t="shared" si="6"/>
        <v>-0.1638274629938911</v>
      </c>
      <c r="G65" s="215">
        <f t="shared" si="7"/>
        <v>0.16687410078088072</v>
      </c>
      <c r="H65" s="123"/>
    </row>
    <row r="66" spans="1:8" ht="15.75" customHeight="1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6">
        <f>SUM(C54:C66)</f>
        <v>163895081.5</v>
      </c>
      <c r="D67" s="206">
        <f>SUM(D54:D66)</f>
        <v>33553321.160000004</v>
      </c>
      <c r="E67" s="206">
        <f>SUM(E54:E66)</f>
        <v>27306681.669999998</v>
      </c>
      <c r="F67" s="143">
        <f>(+D67-E67)/E67</f>
        <v>0.22875864469694118</v>
      </c>
      <c r="G67" s="217">
        <f>D67/C67</f>
        <v>0.2047243935139079</v>
      </c>
      <c r="H67" s="123"/>
    </row>
    <row r="68" spans="1:8" ht="15.75" customHeight="1" thickTop="1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>
      <c r="A69" s="130" t="s">
        <v>60</v>
      </c>
      <c r="B69" s="131">
        <f>DATE(2021,7,1)</f>
        <v>44378</v>
      </c>
      <c r="C69" s="204">
        <v>14071705.5</v>
      </c>
      <c r="D69" s="204">
        <v>3475895.5</v>
      </c>
      <c r="E69" s="204">
        <v>2410424.5</v>
      </c>
      <c r="F69" s="132">
        <f aca="true" t="shared" si="8" ref="F69:F80">(+D69-E69)/E69</f>
        <v>0.44202629038992924</v>
      </c>
      <c r="G69" s="215">
        <f aca="true" t="shared" si="9" ref="G69:G80">D69/C69</f>
        <v>0.2470130930468947</v>
      </c>
      <c r="H69" s="123"/>
    </row>
    <row r="70" spans="1:8" ht="15" customHeight="1">
      <c r="A70" s="130"/>
      <c r="B70" s="131">
        <f>DATE(2021,8,1)</f>
        <v>44409</v>
      </c>
      <c r="C70" s="204">
        <v>13718026</v>
      </c>
      <c r="D70" s="204">
        <v>1742952</v>
      </c>
      <c r="E70" s="204">
        <v>3089213</v>
      </c>
      <c r="F70" s="132">
        <f t="shared" si="8"/>
        <v>-0.43579416505109875</v>
      </c>
      <c r="G70" s="215">
        <f t="shared" si="9"/>
        <v>0.1270555982325737</v>
      </c>
      <c r="H70" s="123"/>
    </row>
    <row r="71" spans="1:8" ht="15" customHeight="1">
      <c r="A71" s="130"/>
      <c r="B71" s="131">
        <f>DATE(2021,9,1)</f>
        <v>44440</v>
      </c>
      <c r="C71" s="204">
        <v>12923567</v>
      </c>
      <c r="D71" s="204">
        <v>3305560.5</v>
      </c>
      <c r="E71" s="204">
        <v>3482637.89</v>
      </c>
      <c r="F71" s="132">
        <f t="shared" si="8"/>
        <v>-0.05084576565035882</v>
      </c>
      <c r="G71" s="215">
        <f t="shared" si="9"/>
        <v>0.2557777198818252</v>
      </c>
      <c r="H71" s="123"/>
    </row>
    <row r="72" spans="1:8" ht="15" customHeight="1">
      <c r="A72" s="130"/>
      <c r="B72" s="131">
        <f>DATE(2021,10,1)</f>
        <v>44470</v>
      </c>
      <c r="C72" s="204">
        <v>12696171.5</v>
      </c>
      <c r="D72" s="204">
        <v>3513957.5</v>
      </c>
      <c r="E72" s="204">
        <v>3513244</v>
      </c>
      <c r="F72" s="132">
        <f t="shared" si="8"/>
        <v>0.00020308865538516539</v>
      </c>
      <c r="G72" s="215">
        <f t="shared" si="9"/>
        <v>0.2767730020030054</v>
      </c>
      <c r="H72" s="123"/>
    </row>
    <row r="73" spans="1:8" ht="15" customHeight="1">
      <c r="A73" s="130"/>
      <c r="B73" s="131">
        <f>DATE(2021,11,1)</f>
        <v>44501</v>
      </c>
      <c r="C73" s="204">
        <v>13220454</v>
      </c>
      <c r="D73" s="204">
        <v>3943943</v>
      </c>
      <c r="E73" s="204">
        <v>2437183.5</v>
      </c>
      <c r="F73" s="132">
        <f t="shared" si="8"/>
        <v>0.6182380194187266</v>
      </c>
      <c r="G73" s="215">
        <f t="shared" si="9"/>
        <v>0.2983212981944493</v>
      </c>
      <c r="H73" s="123"/>
    </row>
    <row r="74" spans="1:8" ht="15" customHeight="1">
      <c r="A74" s="130"/>
      <c r="B74" s="131">
        <f>DATE(2021,12,1)</f>
        <v>44531</v>
      </c>
      <c r="C74" s="204">
        <v>14266562</v>
      </c>
      <c r="D74" s="204">
        <v>2827634.5</v>
      </c>
      <c r="E74" s="204">
        <v>2589172</v>
      </c>
      <c r="F74" s="132">
        <f t="shared" si="8"/>
        <v>0.09209990684280535</v>
      </c>
      <c r="G74" s="215">
        <f t="shared" si="9"/>
        <v>0.19820013399163722</v>
      </c>
      <c r="H74" s="123"/>
    </row>
    <row r="75" spans="1:8" ht="15" customHeight="1">
      <c r="A75" s="130"/>
      <c r="B75" s="131">
        <f>DATE(2022,1,1)</f>
        <v>44562</v>
      </c>
      <c r="C75" s="204">
        <v>15062919</v>
      </c>
      <c r="D75" s="204">
        <v>3537082.5</v>
      </c>
      <c r="E75" s="204">
        <v>3152748</v>
      </c>
      <c r="F75" s="132">
        <f t="shared" si="8"/>
        <v>0.12190460512543343</v>
      </c>
      <c r="G75" s="215">
        <f t="shared" si="9"/>
        <v>0.23482052183909374</v>
      </c>
      <c r="H75" s="123"/>
    </row>
    <row r="76" spans="1:8" ht="15" customHeight="1">
      <c r="A76" s="130"/>
      <c r="B76" s="131">
        <f>DATE(2022,2,1)</f>
        <v>44593</v>
      </c>
      <c r="C76" s="204">
        <v>12090471.25</v>
      </c>
      <c r="D76" s="204">
        <v>1988046.25</v>
      </c>
      <c r="E76" s="204">
        <v>2941714</v>
      </c>
      <c r="F76" s="132">
        <f t="shared" si="8"/>
        <v>-0.32418778644015017</v>
      </c>
      <c r="G76" s="215">
        <f t="shared" si="9"/>
        <v>0.1644308322556079</v>
      </c>
      <c r="H76" s="123"/>
    </row>
    <row r="77" spans="1:8" ht="15" customHeight="1">
      <c r="A77" s="130"/>
      <c r="B77" s="131">
        <f>DATE(2022,3,1)</f>
        <v>44621</v>
      </c>
      <c r="C77" s="204">
        <v>14143160</v>
      </c>
      <c r="D77" s="204">
        <v>4616996.5</v>
      </c>
      <c r="E77" s="204">
        <v>3606590.5</v>
      </c>
      <c r="F77" s="132">
        <f t="shared" si="8"/>
        <v>0.2801554542995663</v>
      </c>
      <c r="G77" s="215">
        <f t="shared" si="9"/>
        <v>0.32644730739099326</v>
      </c>
      <c r="H77" s="123"/>
    </row>
    <row r="78" spans="1:8" ht="15" customHeight="1">
      <c r="A78" s="130"/>
      <c r="B78" s="131">
        <f>DATE(2022,4,1)</f>
        <v>44652</v>
      </c>
      <c r="C78" s="204">
        <v>13545849</v>
      </c>
      <c r="D78" s="204">
        <v>3305603</v>
      </c>
      <c r="E78" s="204">
        <v>3364658.5</v>
      </c>
      <c r="F78" s="132">
        <f t="shared" si="8"/>
        <v>-0.01755170695629289</v>
      </c>
      <c r="G78" s="215">
        <f t="shared" si="9"/>
        <v>0.24403069899863788</v>
      </c>
      <c r="H78" s="123"/>
    </row>
    <row r="79" spans="1:8" ht="15" customHeight="1">
      <c r="A79" s="130"/>
      <c r="B79" s="131">
        <f>DATE(2022,5,1)</f>
        <v>44682</v>
      </c>
      <c r="C79" s="204">
        <v>13679999</v>
      </c>
      <c r="D79" s="204">
        <v>3165930</v>
      </c>
      <c r="E79" s="204">
        <v>3600646</v>
      </c>
      <c r="F79" s="132">
        <f t="shared" si="8"/>
        <v>-0.12073277961787968</v>
      </c>
      <c r="G79" s="215">
        <f t="shared" si="9"/>
        <v>0.23142764849617314</v>
      </c>
      <c r="H79" s="123"/>
    </row>
    <row r="80" spans="1:8" ht="15" customHeight="1">
      <c r="A80" s="130"/>
      <c r="B80" s="131">
        <f>DATE(2022,6,1)</f>
        <v>44713</v>
      </c>
      <c r="C80" s="204">
        <v>13109559</v>
      </c>
      <c r="D80" s="204">
        <v>4006805</v>
      </c>
      <c r="E80" s="204">
        <v>3279834.5</v>
      </c>
      <c r="F80" s="132">
        <f t="shared" si="8"/>
        <v>0.2216485313512008</v>
      </c>
      <c r="G80" s="215">
        <f t="shared" si="9"/>
        <v>0.3056399532585345</v>
      </c>
      <c r="H80" s="123"/>
    </row>
    <row r="81" spans="1:8" ht="15" thickBot="1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Bot="1" thickTop="1">
      <c r="A82" s="141" t="s">
        <v>14</v>
      </c>
      <c r="B82" s="142"/>
      <c r="C82" s="207">
        <f>SUM(C69:C81)</f>
        <v>162528443.25</v>
      </c>
      <c r="D82" s="261">
        <f>SUM(D69:D81)</f>
        <v>39430406.25</v>
      </c>
      <c r="E82" s="206">
        <f>SUM(E69:E81)</f>
        <v>37468066.39</v>
      </c>
      <c r="F82" s="268">
        <f>(+D82-E82)/E82</f>
        <v>0.052373662402918554</v>
      </c>
      <c r="G82" s="267">
        <f>D82/C82</f>
        <v>0.24260618917852092</v>
      </c>
      <c r="H82" s="123"/>
    </row>
    <row r="83" spans="1:8" ht="15.75" customHeight="1" thickTop="1">
      <c r="A83" s="130"/>
      <c r="B83" s="134"/>
      <c r="C83" s="204"/>
      <c r="D83" s="204"/>
      <c r="E83" s="204"/>
      <c r="F83" s="132"/>
      <c r="G83" s="218"/>
      <c r="H83" s="123"/>
    </row>
    <row r="84" spans="1:8" ht="15">
      <c r="A84" s="130" t="s">
        <v>64</v>
      </c>
      <c r="B84" s="131">
        <f>DATE(2021,7,1)</f>
        <v>44378</v>
      </c>
      <c r="C84" s="204">
        <v>3514368</v>
      </c>
      <c r="D84" s="204">
        <v>729030</v>
      </c>
      <c r="E84" s="204">
        <v>572750</v>
      </c>
      <c r="F84" s="132">
        <f aca="true" t="shared" si="10" ref="F84:F95">(+D84-E84)/E84</f>
        <v>0.27285901353120906</v>
      </c>
      <c r="G84" s="215">
        <f aca="true" t="shared" si="11" ref="G84:G95">D84/C84</f>
        <v>0.2074427037805944</v>
      </c>
      <c r="H84" s="123"/>
    </row>
    <row r="85" spans="1:8" ht="15">
      <c r="A85" s="130"/>
      <c r="B85" s="131">
        <f>DATE(2021,8,1)</f>
        <v>44409</v>
      </c>
      <c r="C85" s="204">
        <v>2699849</v>
      </c>
      <c r="D85" s="204">
        <v>844084.5</v>
      </c>
      <c r="E85" s="204">
        <v>629353.5</v>
      </c>
      <c r="F85" s="132">
        <f t="shared" si="10"/>
        <v>0.34119298613577265</v>
      </c>
      <c r="G85" s="215">
        <f t="shared" si="11"/>
        <v>0.31264137364719286</v>
      </c>
      <c r="H85" s="123"/>
    </row>
    <row r="86" spans="1:8" ht="15">
      <c r="A86" s="130"/>
      <c r="B86" s="131">
        <f>DATE(2021,9,1)</f>
        <v>44440</v>
      </c>
      <c r="C86" s="204">
        <v>2582290</v>
      </c>
      <c r="D86" s="204">
        <v>707619</v>
      </c>
      <c r="E86" s="204">
        <v>564621.5</v>
      </c>
      <c r="F86" s="132">
        <f t="shared" si="10"/>
        <v>0.2532625838725589</v>
      </c>
      <c r="G86" s="215">
        <f t="shared" si="11"/>
        <v>0.2740277040921043</v>
      </c>
      <c r="H86" s="123"/>
    </row>
    <row r="87" spans="1:8" ht="15">
      <c r="A87" s="130"/>
      <c r="B87" s="131">
        <f>DATE(2021,10,1)</f>
        <v>44470</v>
      </c>
      <c r="C87" s="204">
        <v>2647781</v>
      </c>
      <c r="D87" s="204">
        <v>435392</v>
      </c>
      <c r="E87" s="204">
        <v>553335.5</v>
      </c>
      <c r="F87" s="132">
        <f t="shared" si="10"/>
        <v>-0.21315006899069372</v>
      </c>
      <c r="G87" s="215">
        <f t="shared" si="11"/>
        <v>0.16443656027443357</v>
      </c>
      <c r="H87" s="123"/>
    </row>
    <row r="88" spans="1:8" ht="15">
      <c r="A88" s="130"/>
      <c r="B88" s="131">
        <f>DATE(2021,11,1)</f>
        <v>44501</v>
      </c>
      <c r="C88" s="204">
        <v>2909471</v>
      </c>
      <c r="D88" s="204">
        <v>706210</v>
      </c>
      <c r="E88" s="204">
        <v>402553.5</v>
      </c>
      <c r="F88" s="132">
        <f t="shared" si="10"/>
        <v>0.7543258225304215</v>
      </c>
      <c r="G88" s="215">
        <f t="shared" si="11"/>
        <v>0.24272797357320283</v>
      </c>
      <c r="H88" s="123"/>
    </row>
    <row r="89" spans="1:8" ht="15">
      <c r="A89" s="130"/>
      <c r="B89" s="131">
        <f>DATE(2021,12,1)</f>
        <v>44531</v>
      </c>
      <c r="C89" s="204">
        <v>3194523</v>
      </c>
      <c r="D89" s="204">
        <v>737876.5</v>
      </c>
      <c r="E89" s="204">
        <v>614666.5</v>
      </c>
      <c r="F89" s="132">
        <f t="shared" si="10"/>
        <v>0.20045016281186628</v>
      </c>
      <c r="G89" s="215">
        <f t="shared" si="11"/>
        <v>0.2309817459445432</v>
      </c>
      <c r="H89" s="123"/>
    </row>
    <row r="90" spans="1:8" ht="15">
      <c r="A90" s="130"/>
      <c r="B90" s="131">
        <f>DATE(2022,1,1)</f>
        <v>44562</v>
      </c>
      <c r="C90" s="204">
        <v>2693167</v>
      </c>
      <c r="D90" s="204">
        <v>670212</v>
      </c>
      <c r="E90" s="204">
        <v>697063</v>
      </c>
      <c r="F90" s="132">
        <f t="shared" si="10"/>
        <v>-0.038520191144846304</v>
      </c>
      <c r="G90" s="215">
        <f t="shared" si="11"/>
        <v>0.2488564578431267</v>
      </c>
      <c r="H90" s="123"/>
    </row>
    <row r="91" spans="1:8" ht="15">
      <c r="A91" s="130"/>
      <c r="B91" s="131">
        <f>DATE(2022,2,1)</f>
        <v>44593</v>
      </c>
      <c r="C91" s="204">
        <v>2573481</v>
      </c>
      <c r="D91" s="204">
        <v>521651.5</v>
      </c>
      <c r="E91" s="204">
        <v>596898</v>
      </c>
      <c r="F91" s="132">
        <f t="shared" si="10"/>
        <v>-0.12606257685567718</v>
      </c>
      <c r="G91" s="215">
        <f t="shared" si="11"/>
        <v>0.20270268169844657</v>
      </c>
      <c r="H91" s="123"/>
    </row>
    <row r="92" spans="1:8" ht="15">
      <c r="A92" s="130"/>
      <c r="B92" s="131">
        <f>DATE(2022,3,1)</f>
        <v>44621</v>
      </c>
      <c r="C92" s="204">
        <v>3209245</v>
      </c>
      <c r="D92" s="204">
        <v>982292</v>
      </c>
      <c r="E92" s="204">
        <v>649953.5</v>
      </c>
      <c r="F92" s="132">
        <f t="shared" si="10"/>
        <v>0.5113265795168423</v>
      </c>
      <c r="G92" s="215">
        <f t="shared" si="11"/>
        <v>0.30608196008718563</v>
      </c>
      <c r="H92" s="123"/>
    </row>
    <row r="93" spans="1:8" ht="15">
      <c r="A93" s="130"/>
      <c r="B93" s="131">
        <f>DATE(2022,4,1)</f>
        <v>44652</v>
      </c>
      <c r="C93" s="204">
        <v>3241787</v>
      </c>
      <c r="D93" s="204">
        <v>794810.5</v>
      </c>
      <c r="E93" s="204">
        <v>759812.5</v>
      </c>
      <c r="F93" s="132">
        <f t="shared" si="10"/>
        <v>0.04606136382331167</v>
      </c>
      <c r="G93" s="215">
        <f t="shared" si="11"/>
        <v>0.24517665719555296</v>
      </c>
      <c r="H93" s="123"/>
    </row>
    <row r="94" spans="1:8" ht="15">
      <c r="A94" s="130"/>
      <c r="B94" s="131">
        <f>DATE(2022,5,1)</f>
        <v>44682</v>
      </c>
      <c r="C94" s="204">
        <v>3077800</v>
      </c>
      <c r="D94" s="204">
        <v>711360.5</v>
      </c>
      <c r="E94" s="204">
        <v>695314</v>
      </c>
      <c r="F94" s="132">
        <f t="shared" si="10"/>
        <v>0.02307806257316838</v>
      </c>
      <c r="G94" s="215">
        <f t="shared" si="11"/>
        <v>0.23112629150692052</v>
      </c>
      <c r="H94" s="123"/>
    </row>
    <row r="95" spans="1:8" ht="15">
      <c r="A95" s="130"/>
      <c r="B95" s="131">
        <f>DATE(2022,6,1)</f>
        <v>44713</v>
      </c>
      <c r="C95" s="204">
        <v>2475509</v>
      </c>
      <c r="D95" s="204">
        <v>804629.5</v>
      </c>
      <c r="E95" s="204">
        <v>703459</v>
      </c>
      <c r="F95" s="132">
        <f t="shared" si="10"/>
        <v>0.14381861629462414</v>
      </c>
      <c r="G95" s="215">
        <f t="shared" si="11"/>
        <v>0.3250359824989527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6.5" thickBot="1" thickTop="1">
      <c r="A97" s="141" t="s">
        <v>14</v>
      </c>
      <c r="B97" s="142"/>
      <c r="C97" s="207">
        <f>SUM(C84:C96)</f>
        <v>34819271</v>
      </c>
      <c r="D97" s="261">
        <f>SUM(D84:D96)</f>
        <v>8645168</v>
      </c>
      <c r="E97" s="207">
        <f>SUM(E84:E96)</f>
        <v>7439780.5</v>
      </c>
      <c r="F97" s="268">
        <f>(+D97-E97)/E97</f>
        <v>0.1620192289275201</v>
      </c>
      <c r="G97" s="267">
        <f>D97/C97</f>
        <v>0.24828687539150374</v>
      </c>
      <c r="H97" s="123"/>
    </row>
    <row r="98" spans="1:8" ht="15.75" customHeight="1" thickTop="1">
      <c r="A98" s="130"/>
      <c r="B98" s="134"/>
      <c r="C98" s="204"/>
      <c r="D98" s="204"/>
      <c r="E98" s="204"/>
      <c r="F98" s="132"/>
      <c r="G98" s="218"/>
      <c r="H98" s="123"/>
    </row>
    <row r="99" spans="1:8" ht="15">
      <c r="A99" s="130" t="s">
        <v>68</v>
      </c>
      <c r="B99" s="131">
        <f>DATE(2021,7,1)</f>
        <v>44378</v>
      </c>
      <c r="C99" s="204">
        <v>6154700</v>
      </c>
      <c r="D99" s="204">
        <v>1067621</v>
      </c>
      <c r="E99" s="204">
        <v>248731.5</v>
      </c>
      <c r="F99" s="132">
        <f aca="true" t="shared" si="12" ref="F99:F110">(+D99-E99)/E99</f>
        <v>3.292262942168563</v>
      </c>
      <c r="G99" s="215">
        <f aca="true" t="shared" si="13" ref="G99:G110">D99/C99</f>
        <v>0.1734643443222253</v>
      </c>
      <c r="H99" s="123"/>
    </row>
    <row r="100" spans="1:8" ht="15">
      <c r="A100" s="130"/>
      <c r="B100" s="131">
        <f>DATE(2021,8,1)</f>
        <v>44409</v>
      </c>
      <c r="C100" s="204">
        <v>5891930</v>
      </c>
      <c r="D100" s="204">
        <v>666603.5</v>
      </c>
      <c r="E100" s="204">
        <v>268487</v>
      </c>
      <c r="F100" s="132">
        <f t="shared" si="12"/>
        <v>1.4828148104005037</v>
      </c>
      <c r="G100" s="215">
        <f t="shared" si="13"/>
        <v>0.11313839438010974</v>
      </c>
      <c r="H100" s="123"/>
    </row>
    <row r="101" spans="1:8" ht="15">
      <c r="A101" s="130"/>
      <c r="B101" s="131">
        <f>DATE(2021,9,1)</f>
        <v>44440</v>
      </c>
      <c r="C101" s="204">
        <v>7061445</v>
      </c>
      <c r="D101" s="204">
        <v>1135711.5</v>
      </c>
      <c r="E101" s="204">
        <v>277957.5</v>
      </c>
      <c r="F101" s="132">
        <f t="shared" si="12"/>
        <v>3.085917811176169</v>
      </c>
      <c r="G101" s="215">
        <f t="shared" si="13"/>
        <v>0.16083273324369163</v>
      </c>
      <c r="H101" s="123"/>
    </row>
    <row r="102" spans="1:8" ht="15">
      <c r="A102" s="130"/>
      <c r="B102" s="131">
        <f>DATE(2021,10,1)</f>
        <v>44470</v>
      </c>
      <c r="C102" s="204">
        <v>7202787</v>
      </c>
      <c r="D102" s="204">
        <v>1168170.5</v>
      </c>
      <c r="E102" s="204">
        <v>306011.5</v>
      </c>
      <c r="F102" s="132">
        <f t="shared" si="12"/>
        <v>2.8174071889455137</v>
      </c>
      <c r="G102" s="215">
        <f t="shared" si="13"/>
        <v>0.16218312439337718</v>
      </c>
      <c r="H102" s="123"/>
    </row>
    <row r="103" spans="1:8" ht="15">
      <c r="A103" s="130"/>
      <c r="B103" s="131">
        <f>DATE(2021,11,1)</f>
        <v>44501</v>
      </c>
      <c r="C103" s="204">
        <v>6938331</v>
      </c>
      <c r="D103" s="204">
        <v>1094072</v>
      </c>
      <c r="E103" s="204">
        <v>264033.5</v>
      </c>
      <c r="F103" s="132">
        <f t="shared" si="12"/>
        <v>3.1436863125323113</v>
      </c>
      <c r="G103" s="215">
        <f t="shared" si="13"/>
        <v>0.15768518394409262</v>
      </c>
      <c r="H103" s="123"/>
    </row>
    <row r="104" spans="1:8" ht="15">
      <c r="A104" s="130"/>
      <c r="B104" s="131">
        <f>DATE(2021,12,1)</f>
        <v>44531</v>
      </c>
      <c r="C104" s="204">
        <v>7475553</v>
      </c>
      <c r="D104" s="204">
        <v>924398</v>
      </c>
      <c r="E104" s="204">
        <v>310571</v>
      </c>
      <c r="F104" s="132">
        <f t="shared" si="12"/>
        <v>1.976446609631936</v>
      </c>
      <c r="G104" s="215">
        <f t="shared" si="13"/>
        <v>0.12365613620825108</v>
      </c>
      <c r="H104" s="123"/>
    </row>
    <row r="105" spans="1:8" ht="15">
      <c r="A105" s="130"/>
      <c r="B105" s="131">
        <f>DATE(2022,1,1)</f>
        <v>44562</v>
      </c>
      <c r="C105" s="204">
        <v>6391156</v>
      </c>
      <c r="D105" s="204">
        <v>1117761</v>
      </c>
      <c r="E105" s="204">
        <v>371981</v>
      </c>
      <c r="F105" s="132">
        <f t="shared" si="12"/>
        <v>2.0048873463967247</v>
      </c>
      <c r="G105" s="215">
        <f t="shared" si="13"/>
        <v>0.17489183490435847</v>
      </c>
      <c r="H105" s="123"/>
    </row>
    <row r="106" spans="1:8" ht="15">
      <c r="A106" s="130"/>
      <c r="B106" s="131">
        <f>DATE(2022,2,1)</f>
        <v>44593</v>
      </c>
      <c r="C106" s="204">
        <v>6103967</v>
      </c>
      <c r="D106" s="204">
        <v>934678</v>
      </c>
      <c r="E106" s="204">
        <v>412016.5</v>
      </c>
      <c r="F106" s="132">
        <f t="shared" si="12"/>
        <v>1.2685450704037338</v>
      </c>
      <c r="G106" s="215">
        <f t="shared" si="13"/>
        <v>0.15312631932643148</v>
      </c>
      <c r="H106" s="123"/>
    </row>
    <row r="107" spans="1:8" ht="15">
      <c r="A107" s="130"/>
      <c r="B107" s="131">
        <f>DATE(2022,3,1)</f>
        <v>44621</v>
      </c>
      <c r="C107" s="204">
        <v>5949984</v>
      </c>
      <c r="D107" s="204">
        <v>957431</v>
      </c>
      <c r="E107" s="204">
        <v>636027.5</v>
      </c>
      <c r="F107" s="132">
        <f t="shared" si="12"/>
        <v>0.5053295651524502</v>
      </c>
      <c r="G107" s="215">
        <f t="shared" si="13"/>
        <v>0.16091320581702404</v>
      </c>
      <c r="H107" s="123"/>
    </row>
    <row r="108" spans="1:8" ht="15">
      <c r="A108" s="130"/>
      <c r="B108" s="131">
        <f>DATE(2022,4,1)</f>
        <v>44652</v>
      </c>
      <c r="C108" s="204">
        <v>6118819</v>
      </c>
      <c r="D108" s="204">
        <v>1196941.5</v>
      </c>
      <c r="E108" s="204">
        <v>862567</v>
      </c>
      <c r="F108" s="132">
        <f t="shared" si="12"/>
        <v>0.3876504665724518</v>
      </c>
      <c r="G108" s="215">
        <f t="shared" si="13"/>
        <v>0.19561642532652135</v>
      </c>
      <c r="H108" s="123"/>
    </row>
    <row r="109" spans="1:8" ht="15">
      <c r="A109" s="130"/>
      <c r="B109" s="131">
        <f>DATE(2022,5,1)</f>
        <v>44682</v>
      </c>
      <c r="C109" s="204">
        <v>5505901</v>
      </c>
      <c r="D109" s="204">
        <v>846905</v>
      </c>
      <c r="E109" s="204">
        <v>804422</v>
      </c>
      <c r="F109" s="132">
        <f t="shared" si="12"/>
        <v>0.05281183259532932</v>
      </c>
      <c r="G109" s="215">
        <f t="shared" si="13"/>
        <v>0.15381769486955904</v>
      </c>
      <c r="H109" s="123"/>
    </row>
    <row r="110" spans="1:8" ht="15">
      <c r="A110" s="130"/>
      <c r="B110" s="131">
        <f>DATE(2022,6,1)</f>
        <v>44713</v>
      </c>
      <c r="C110" s="204">
        <v>6094888</v>
      </c>
      <c r="D110" s="204">
        <v>489356</v>
      </c>
      <c r="E110" s="204">
        <v>452045.5</v>
      </c>
      <c r="F110" s="132">
        <f t="shared" si="12"/>
        <v>0.08253704549652635</v>
      </c>
      <c r="G110" s="215">
        <f t="shared" si="13"/>
        <v>0.08028958038277323</v>
      </c>
      <c r="H110" s="123"/>
    </row>
    <row r="111" spans="1:8" ht="15.75" customHeight="1" thickBot="1">
      <c r="A111" s="130"/>
      <c r="B111" s="131"/>
      <c r="C111" s="204"/>
      <c r="D111" s="204"/>
      <c r="E111" s="204"/>
      <c r="F111" s="132"/>
      <c r="G111" s="215"/>
      <c r="H111" s="123"/>
    </row>
    <row r="112" spans="1:8" ht="16.5" thickBot="1" thickTop="1">
      <c r="A112" s="141" t="s">
        <v>14</v>
      </c>
      <c r="B112" s="142"/>
      <c r="C112" s="207">
        <f>SUM(C99:C111)</f>
        <v>76889461</v>
      </c>
      <c r="D112" s="261">
        <f>SUM(D99:D111)</f>
        <v>11599649</v>
      </c>
      <c r="E112" s="207">
        <f>SUM(E99:E111)</f>
        <v>5214851.5</v>
      </c>
      <c r="F112" s="269">
        <f>(+D112-E112)/E112</f>
        <v>1.224348862091279</v>
      </c>
      <c r="G112" s="267">
        <f>D112/C112</f>
        <v>0.15086136447230394</v>
      </c>
      <c r="H112" s="123"/>
    </row>
    <row r="113" spans="1:8" ht="15.75" customHeight="1" thickTop="1">
      <c r="A113" s="130"/>
      <c r="B113" s="139"/>
      <c r="C113" s="205"/>
      <c r="D113" s="205"/>
      <c r="E113" s="205"/>
      <c r="F113" s="140"/>
      <c r="G113" s="216"/>
      <c r="H113" s="123"/>
    </row>
    <row r="114" spans="1:8" ht="15">
      <c r="A114" s="130" t="s">
        <v>70</v>
      </c>
      <c r="B114" s="131">
        <f>DATE(2021,7,1)</f>
        <v>44378</v>
      </c>
      <c r="C114" s="204">
        <v>6084758</v>
      </c>
      <c r="D114" s="204">
        <v>1287648</v>
      </c>
      <c r="E114" s="204">
        <v>671384</v>
      </c>
      <c r="F114" s="132">
        <f aca="true" t="shared" si="14" ref="F114:F125">(+D114-E114)/E114</f>
        <v>0.9179009329981054</v>
      </c>
      <c r="G114" s="215">
        <f aca="true" t="shared" si="15" ref="G114:G125">D114/C114</f>
        <v>0.21161860504559096</v>
      </c>
      <c r="H114" s="123"/>
    </row>
    <row r="115" spans="1:8" ht="15">
      <c r="A115" s="130"/>
      <c r="B115" s="131">
        <f>DATE(2021,8,1)</f>
        <v>44409</v>
      </c>
      <c r="C115" s="204">
        <v>5252172</v>
      </c>
      <c r="D115" s="204">
        <v>1323019.5</v>
      </c>
      <c r="E115" s="204">
        <v>647438.06</v>
      </c>
      <c r="F115" s="132">
        <f t="shared" si="14"/>
        <v>1.043468837775771</v>
      </c>
      <c r="G115" s="215">
        <f t="shared" si="15"/>
        <v>0.25189949986405624</v>
      </c>
      <c r="H115" s="123"/>
    </row>
    <row r="116" spans="1:8" ht="15">
      <c r="A116" s="130"/>
      <c r="B116" s="131">
        <f>DATE(2021,9,1)</f>
        <v>44440</v>
      </c>
      <c r="C116" s="204">
        <v>4855923</v>
      </c>
      <c r="D116" s="204">
        <v>858985.36</v>
      </c>
      <c r="E116" s="204">
        <v>476389</v>
      </c>
      <c r="F116" s="132">
        <f t="shared" si="14"/>
        <v>0.8031175362991169</v>
      </c>
      <c r="G116" s="215">
        <f t="shared" si="15"/>
        <v>0.17689435355544147</v>
      </c>
      <c r="H116" s="123"/>
    </row>
    <row r="117" spans="1:8" ht="15">
      <c r="A117" s="130"/>
      <c r="B117" s="131">
        <f>DATE(2021,10,1)</f>
        <v>44470</v>
      </c>
      <c r="C117" s="204">
        <v>5531948</v>
      </c>
      <c r="D117" s="204">
        <v>980676.58</v>
      </c>
      <c r="E117" s="204">
        <v>822284.63</v>
      </c>
      <c r="F117" s="132">
        <f t="shared" si="14"/>
        <v>0.19262423766816603</v>
      </c>
      <c r="G117" s="215">
        <f t="shared" si="15"/>
        <v>0.17727509007676862</v>
      </c>
      <c r="H117" s="123"/>
    </row>
    <row r="118" spans="1:8" ht="15">
      <c r="A118" s="130"/>
      <c r="B118" s="131">
        <f>DATE(2021,11,1)</f>
        <v>44501</v>
      </c>
      <c r="C118" s="204">
        <v>4904264</v>
      </c>
      <c r="D118" s="204">
        <v>1337612.57</v>
      </c>
      <c r="E118" s="204">
        <v>587592.5</v>
      </c>
      <c r="F118" s="132">
        <f t="shared" si="14"/>
        <v>1.2764289367206016</v>
      </c>
      <c r="G118" s="215">
        <f t="shared" si="15"/>
        <v>0.27274481349291146</v>
      </c>
      <c r="H118" s="123"/>
    </row>
    <row r="119" spans="1:8" ht="15">
      <c r="A119" s="130"/>
      <c r="B119" s="131">
        <f>DATE(2021,12,1)</f>
        <v>44531</v>
      </c>
      <c r="C119" s="204">
        <v>5252655</v>
      </c>
      <c r="D119" s="204">
        <v>927044</v>
      </c>
      <c r="E119" s="204">
        <v>844069.86</v>
      </c>
      <c r="F119" s="132">
        <f t="shared" si="14"/>
        <v>0.09830245567588447</v>
      </c>
      <c r="G119" s="215">
        <f t="shared" si="15"/>
        <v>0.176490555728484</v>
      </c>
      <c r="H119" s="123"/>
    </row>
    <row r="120" spans="1:8" ht="15">
      <c r="A120" s="130"/>
      <c r="B120" s="131">
        <f>DATE(2022,1,1)</f>
        <v>44562</v>
      </c>
      <c r="C120" s="204">
        <v>4730977</v>
      </c>
      <c r="D120" s="204">
        <v>922135.79</v>
      </c>
      <c r="E120" s="204">
        <v>1044151.5</v>
      </c>
      <c r="F120" s="132">
        <f t="shared" si="14"/>
        <v>-0.11685632784131418</v>
      </c>
      <c r="G120" s="215">
        <f t="shared" si="15"/>
        <v>0.19491445213113487</v>
      </c>
      <c r="H120" s="123"/>
    </row>
    <row r="121" spans="1:8" ht="15">
      <c r="A121" s="130"/>
      <c r="B121" s="131">
        <f>DATE(2022,2,1)</f>
        <v>44593</v>
      </c>
      <c r="C121" s="204">
        <v>5193592</v>
      </c>
      <c r="D121" s="204">
        <v>1013590.48</v>
      </c>
      <c r="E121" s="204">
        <v>1000996.5</v>
      </c>
      <c r="F121" s="132">
        <f t="shared" si="14"/>
        <v>0.012581442592456598</v>
      </c>
      <c r="G121" s="215">
        <f t="shared" si="15"/>
        <v>0.195161745474038</v>
      </c>
      <c r="H121" s="123"/>
    </row>
    <row r="122" spans="1:8" ht="15">
      <c r="A122" s="130"/>
      <c r="B122" s="131">
        <f>DATE(2022,3,1)</f>
        <v>44621</v>
      </c>
      <c r="C122" s="204">
        <v>6342961</v>
      </c>
      <c r="D122" s="204">
        <v>1404872.12</v>
      </c>
      <c r="E122" s="204">
        <v>1370156.18</v>
      </c>
      <c r="F122" s="132">
        <f t="shared" si="14"/>
        <v>0.025337213747413947</v>
      </c>
      <c r="G122" s="215">
        <f t="shared" si="15"/>
        <v>0.2214852211766713</v>
      </c>
      <c r="H122" s="123"/>
    </row>
    <row r="123" spans="1:8" ht="15">
      <c r="A123" s="130"/>
      <c r="B123" s="131">
        <f>DATE(2022,4,1)</f>
        <v>44652</v>
      </c>
      <c r="C123" s="204">
        <v>5760365</v>
      </c>
      <c r="D123" s="204">
        <v>1215863</v>
      </c>
      <c r="E123" s="204">
        <v>1355487.38</v>
      </c>
      <c r="F123" s="132">
        <f t="shared" si="14"/>
        <v>-0.1030067723684745</v>
      </c>
      <c r="G123" s="215">
        <f t="shared" si="15"/>
        <v>0.21107395104303286</v>
      </c>
      <c r="H123" s="123"/>
    </row>
    <row r="124" spans="1:8" ht="15">
      <c r="A124" s="130"/>
      <c r="B124" s="131">
        <f>DATE(2022,5,1)</f>
        <v>44682</v>
      </c>
      <c r="C124" s="204">
        <v>5397200</v>
      </c>
      <c r="D124" s="204">
        <v>1456938.06</v>
      </c>
      <c r="E124" s="204">
        <v>1203533.5</v>
      </c>
      <c r="F124" s="132">
        <f t="shared" si="14"/>
        <v>0.21055048322294315</v>
      </c>
      <c r="G124" s="215">
        <f t="shared" si="15"/>
        <v>0.26994331505224933</v>
      </c>
      <c r="H124" s="123"/>
    </row>
    <row r="125" spans="1:8" ht="15">
      <c r="A125" s="130"/>
      <c r="B125" s="131">
        <f>DATE(2022,6,1)</f>
        <v>44713</v>
      </c>
      <c r="C125" s="204">
        <v>4837999</v>
      </c>
      <c r="D125" s="204">
        <v>1056443.97</v>
      </c>
      <c r="E125" s="204">
        <v>1215117.96</v>
      </c>
      <c r="F125" s="132">
        <f t="shared" si="14"/>
        <v>-0.13058319868796936</v>
      </c>
      <c r="G125" s="215">
        <f t="shared" si="15"/>
        <v>0.21836382562294865</v>
      </c>
      <c r="H125" s="123"/>
    </row>
    <row r="126" spans="1:8" ht="15.75" customHeight="1" thickBot="1">
      <c r="A126" s="130"/>
      <c r="B126" s="131"/>
      <c r="C126" s="204"/>
      <c r="D126" s="204"/>
      <c r="E126" s="204"/>
      <c r="F126" s="132"/>
      <c r="G126" s="215"/>
      <c r="H126" s="123"/>
    </row>
    <row r="127" spans="1:8" ht="16.5" thickBot="1" thickTop="1">
      <c r="A127" s="141" t="s">
        <v>14</v>
      </c>
      <c r="B127" s="142"/>
      <c r="C127" s="206">
        <f>SUM(C114:C126)</f>
        <v>64144814</v>
      </c>
      <c r="D127" s="206">
        <f>SUM(D114:D126)</f>
        <v>13784829.43</v>
      </c>
      <c r="E127" s="206">
        <f>SUM(E114:E126)</f>
        <v>11238601.07</v>
      </c>
      <c r="F127" s="143">
        <f>(+D127-E127)/E127</f>
        <v>0.2265609700122579</v>
      </c>
      <c r="G127" s="217">
        <f>D127/C127</f>
        <v>0.2149016977428604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6"/>
      <c r="H128" s="123"/>
    </row>
    <row r="129" spans="1:8" ht="15">
      <c r="A129" s="130" t="s">
        <v>16</v>
      </c>
      <c r="B129" s="131">
        <f>DATE(2021,7,1)</f>
        <v>44378</v>
      </c>
      <c r="C129" s="204">
        <v>10188404</v>
      </c>
      <c r="D129" s="204">
        <v>1960105</v>
      </c>
      <c r="E129" s="204">
        <v>1702806.5</v>
      </c>
      <c r="F129" s="132">
        <f aca="true" t="shared" si="16" ref="F129:F140">(+D129-E129)/E129</f>
        <v>0.1511026061974746</v>
      </c>
      <c r="G129" s="215">
        <f aca="true" t="shared" si="17" ref="G129:G140">D129/C129</f>
        <v>0.19238587319466327</v>
      </c>
      <c r="H129" s="123"/>
    </row>
    <row r="130" spans="1:8" ht="15">
      <c r="A130" s="130"/>
      <c r="B130" s="131">
        <f>DATE(2021,8,1)</f>
        <v>44409</v>
      </c>
      <c r="C130" s="204">
        <v>8876957</v>
      </c>
      <c r="D130" s="204">
        <v>2275188.5</v>
      </c>
      <c r="E130" s="204">
        <v>1570570.5</v>
      </c>
      <c r="F130" s="132">
        <f t="shared" si="16"/>
        <v>0.44863824960420434</v>
      </c>
      <c r="G130" s="215">
        <f t="shared" si="17"/>
        <v>0.2563027510440796</v>
      </c>
      <c r="H130" s="123"/>
    </row>
    <row r="131" spans="1:8" ht="15">
      <c r="A131" s="130"/>
      <c r="B131" s="131">
        <f>DATE(2021,9,1)</f>
        <v>44440</v>
      </c>
      <c r="C131" s="204">
        <v>8784096</v>
      </c>
      <c r="D131" s="204">
        <v>937001</v>
      </c>
      <c r="E131" s="204">
        <v>1447626.5</v>
      </c>
      <c r="F131" s="132">
        <f t="shared" si="16"/>
        <v>-0.35273290451646194</v>
      </c>
      <c r="G131" s="215">
        <f t="shared" si="17"/>
        <v>0.10667016844988944</v>
      </c>
      <c r="H131" s="123"/>
    </row>
    <row r="132" spans="1:8" ht="15">
      <c r="A132" s="130"/>
      <c r="B132" s="131">
        <f>DATE(2021,10,1)</f>
        <v>44470</v>
      </c>
      <c r="C132" s="204">
        <v>9422231</v>
      </c>
      <c r="D132" s="204">
        <v>1775955</v>
      </c>
      <c r="E132" s="204">
        <v>1659455</v>
      </c>
      <c r="F132" s="132">
        <f t="shared" si="16"/>
        <v>0.07020377172023345</v>
      </c>
      <c r="G132" s="215">
        <f t="shared" si="17"/>
        <v>0.1884856145004299</v>
      </c>
      <c r="H132" s="123"/>
    </row>
    <row r="133" spans="1:8" ht="15">
      <c r="A133" s="130"/>
      <c r="B133" s="131">
        <f>DATE(2021,11,1)</f>
        <v>44501</v>
      </c>
      <c r="C133" s="204">
        <v>10195584</v>
      </c>
      <c r="D133" s="204">
        <v>2249032.5</v>
      </c>
      <c r="E133" s="204">
        <v>1564224</v>
      </c>
      <c r="F133" s="132">
        <f t="shared" si="16"/>
        <v>0.43779439517613844</v>
      </c>
      <c r="G133" s="215">
        <f t="shared" si="17"/>
        <v>0.22058888436405408</v>
      </c>
      <c r="H133" s="123"/>
    </row>
    <row r="134" spans="1:8" ht="15">
      <c r="A134" s="130"/>
      <c r="B134" s="131">
        <f>DATE(2021,12,1)</f>
        <v>44531</v>
      </c>
      <c r="C134" s="204">
        <v>10434949</v>
      </c>
      <c r="D134" s="204">
        <v>1877718</v>
      </c>
      <c r="E134" s="204">
        <v>1930831.5</v>
      </c>
      <c r="F134" s="132">
        <f t="shared" si="16"/>
        <v>-0.027508096900221483</v>
      </c>
      <c r="G134" s="215">
        <f t="shared" si="17"/>
        <v>0.17994510562533655</v>
      </c>
      <c r="H134" s="123"/>
    </row>
    <row r="135" spans="1:8" ht="15">
      <c r="A135" s="130"/>
      <c r="B135" s="131">
        <f>DATE(2022,1,1)</f>
        <v>44562</v>
      </c>
      <c r="C135" s="204">
        <v>9421097</v>
      </c>
      <c r="D135" s="204">
        <v>1684861.5</v>
      </c>
      <c r="E135" s="204">
        <v>2028934.5</v>
      </c>
      <c r="F135" s="132">
        <f t="shared" si="16"/>
        <v>-0.1695830989122616</v>
      </c>
      <c r="G135" s="215">
        <f t="shared" si="17"/>
        <v>0.17883920524329597</v>
      </c>
      <c r="H135" s="123"/>
    </row>
    <row r="136" spans="1:8" ht="15">
      <c r="A136" s="130"/>
      <c r="B136" s="131">
        <f>DATE(2022,2,1)</f>
        <v>44593</v>
      </c>
      <c r="C136" s="204">
        <v>9395663</v>
      </c>
      <c r="D136" s="204">
        <v>1881049</v>
      </c>
      <c r="E136" s="204">
        <v>1539079.5</v>
      </c>
      <c r="F136" s="132">
        <f t="shared" si="16"/>
        <v>0.22219092645961433</v>
      </c>
      <c r="G136" s="215">
        <f t="shared" si="17"/>
        <v>0.20020396644707245</v>
      </c>
      <c r="H136" s="123"/>
    </row>
    <row r="137" spans="1:8" ht="15">
      <c r="A137" s="130"/>
      <c r="B137" s="131">
        <f>DATE(2022,3,1)</f>
        <v>44621</v>
      </c>
      <c r="C137" s="204">
        <v>10215030</v>
      </c>
      <c r="D137" s="204">
        <v>2361969</v>
      </c>
      <c r="E137" s="204">
        <v>1917378.5</v>
      </c>
      <c r="F137" s="132">
        <f t="shared" si="16"/>
        <v>0.23187414482847282</v>
      </c>
      <c r="G137" s="215">
        <f t="shared" si="17"/>
        <v>0.23122487158628022</v>
      </c>
      <c r="H137" s="123"/>
    </row>
    <row r="138" spans="1:8" ht="15">
      <c r="A138" s="130"/>
      <c r="B138" s="131">
        <f>DATE(2022,4,1)</f>
        <v>44652</v>
      </c>
      <c r="C138" s="204">
        <v>9944486</v>
      </c>
      <c r="D138" s="204">
        <v>1614348</v>
      </c>
      <c r="E138" s="204">
        <v>2253571</v>
      </c>
      <c r="F138" s="132">
        <f t="shared" si="16"/>
        <v>-0.2836489287446457</v>
      </c>
      <c r="G138" s="215">
        <f t="shared" si="17"/>
        <v>0.16233599202613389</v>
      </c>
      <c r="H138" s="123"/>
    </row>
    <row r="139" spans="1:8" ht="15">
      <c r="A139" s="130"/>
      <c r="B139" s="131">
        <f>DATE(2022,5,1)</f>
        <v>44682</v>
      </c>
      <c r="C139" s="204">
        <v>9193659</v>
      </c>
      <c r="D139" s="204">
        <v>1740049.5</v>
      </c>
      <c r="E139" s="204">
        <v>2167747</v>
      </c>
      <c r="F139" s="132">
        <f t="shared" si="16"/>
        <v>-0.19730046910455878</v>
      </c>
      <c r="G139" s="215">
        <f t="shared" si="17"/>
        <v>0.18926626493325455</v>
      </c>
      <c r="H139" s="123"/>
    </row>
    <row r="140" spans="1:8" ht="15">
      <c r="A140" s="130"/>
      <c r="B140" s="131">
        <f>DATE(2022,6,1)</f>
        <v>44713</v>
      </c>
      <c r="C140" s="204">
        <v>9367079</v>
      </c>
      <c r="D140" s="204">
        <v>2051468</v>
      </c>
      <c r="E140" s="204">
        <v>2003500</v>
      </c>
      <c r="F140" s="132">
        <f t="shared" si="16"/>
        <v>0.023942101322685302</v>
      </c>
      <c r="G140" s="215">
        <f t="shared" si="17"/>
        <v>0.2190082949017511</v>
      </c>
      <c r="H140" s="123"/>
    </row>
    <row r="141" spans="1:8" ht="15.75" customHeight="1" thickBot="1">
      <c r="A141" s="130"/>
      <c r="B141" s="131"/>
      <c r="C141" s="204"/>
      <c r="D141" s="204"/>
      <c r="E141" s="204"/>
      <c r="F141" s="132"/>
      <c r="G141" s="215"/>
      <c r="H141" s="123"/>
    </row>
    <row r="142" spans="1:8" ht="16.5" thickBot="1" thickTop="1">
      <c r="A142" s="141" t="s">
        <v>14</v>
      </c>
      <c r="B142" s="142"/>
      <c r="C142" s="206">
        <f>SUM(C129:C141)</f>
        <v>115439235</v>
      </c>
      <c r="D142" s="206">
        <f>SUM(D129:D141)</f>
        <v>22408745</v>
      </c>
      <c r="E142" s="206">
        <f>SUM(E129:E141)</f>
        <v>21785724.5</v>
      </c>
      <c r="F142" s="143">
        <f>(+D142-E142)/E142</f>
        <v>0.028597648887003963</v>
      </c>
      <c r="G142" s="217">
        <f>D142/C142</f>
        <v>0.19411723405824718</v>
      </c>
      <c r="H142" s="123"/>
    </row>
    <row r="143" spans="1:8" ht="15.75" customHeight="1" thickTop="1">
      <c r="A143" s="138"/>
      <c r="B143" s="139"/>
      <c r="C143" s="205"/>
      <c r="D143" s="205"/>
      <c r="E143" s="205"/>
      <c r="F143" s="140"/>
      <c r="G143" s="216"/>
      <c r="H143" s="123"/>
    </row>
    <row r="144" spans="1:8" ht="15">
      <c r="A144" s="130" t="s">
        <v>53</v>
      </c>
      <c r="B144" s="131">
        <f>DATE(2021,7,1)</f>
        <v>44378</v>
      </c>
      <c r="C144" s="204">
        <v>12892239.5</v>
      </c>
      <c r="D144" s="204">
        <v>2503594.66</v>
      </c>
      <c r="E144" s="204">
        <v>1922906.33</v>
      </c>
      <c r="F144" s="132">
        <f aca="true" t="shared" si="18" ref="F144:F155">(+D144-E144)/E144</f>
        <v>0.30198472018135175</v>
      </c>
      <c r="G144" s="215">
        <f aca="true" t="shared" si="19" ref="G144:G155">D144/C144</f>
        <v>0.1941939303873466</v>
      </c>
      <c r="H144" s="123"/>
    </row>
    <row r="145" spans="1:8" ht="15">
      <c r="A145" s="130"/>
      <c r="B145" s="131">
        <f>DATE(2021,8,1)</f>
        <v>44409</v>
      </c>
      <c r="C145" s="204">
        <v>12937175</v>
      </c>
      <c r="D145" s="204">
        <v>2041955.48</v>
      </c>
      <c r="E145" s="204">
        <v>2698345.86</v>
      </c>
      <c r="F145" s="132">
        <f t="shared" si="18"/>
        <v>-0.24325657793919714</v>
      </c>
      <c r="G145" s="215">
        <f t="shared" si="19"/>
        <v>0.15783627260201705</v>
      </c>
      <c r="H145" s="123"/>
    </row>
    <row r="146" spans="1:8" ht="15">
      <c r="A146" s="130"/>
      <c r="B146" s="131">
        <f>DATE(2021,9,1)</f>
        <v>44440</v>
      </c>
      <c r="C146" s="204">
        <v>13265484</v>
      </c>
      <c r="D146" s="204">
        <v>2713567.27</v>
      </c>
      <c r="E146" s="204">
        <v>2773332.44</v>
      </c>
      <c r="F146" s="132">
        <f t="shared" si="18"/>
        <v>-0.021549948047339007</v>
      </c>
      <c r="G146" s="215">
        <f t="shared" si="19"/>
        <v>0.20455848199733986</v>
      </c>
      <c r="H146" s="123"/>
    </row>
    <row r="147" spans="1:8" ht="15">
      <c r="A147" s="130"/>
      <c r="B147" s="131">
        <f>DATE(2021,10,1)</f>
        <v>44470</v>
      </c>
      <c r="C147" s="204">
        <v>14843224</v>
      </c>
      <c r="D147" s="204">
        <v>2659301.47</v>
      </c>
      <c r="E147" s="204">
        <v>2099358.01</v>
      </c>
      <c r="F147" s="132">
        <f t="shared" si="18"/>
        <v>0.2667212820932817</v>
      </c>
      <c r="G147" s="215">
        <f t="shared" si="19"/>
        <v>0.17915928978771728</v>
      </c>
      <c r="H147" s="123"/>
    </row>
    <row r="148" spans="1:8" ht="15">
      <c r="A148" s="130"/>
      <c r="B148" s="131">
        <f>DATE(2021,11,1)</f>
        <v>44501</v>
      </c>
      <c r="C148" s="204">
        <v>13846501</v>
      </c>
      <c r="D148" s="204">
        <v>2735220.29</v>
      </c>
      <c r="E148" s="204">
        <v>2138602.36</v>
      </c>
      <c r="F148" s="132">
        <f t="shared" si="18"/>
        <v>0.2789756249965048</v>
      </c>
      <c r="G148" s="215">
        <f t="shared" si="19"/>
        <v>0.1975387348760528</v>
      </c>
      <c r="H148" s="123"/>
    </row>
    <row r="149" spans="1:8" ht="15">
      <c r="A149" s="130"/>
      <c r="B149" s="131">
        <f>DATE(2021,12,1)</f>
        <v>44531</v>
      </c>
      <c r="C149" s="204">
        <v>15351934</v>
      </c>
      <c r="D149" s="204">
        <v>3180649.5</v>
      </c>
      <c r="E149" s="204">
        <v>1971253.86</v>
      </c>
      <c r="F149" s="132">
        <f t="shared" si="18"/>
        <v>0.6135159273702068</v>
      </c>
      <c r="G149" s="215">
        <f t="shared" si="19"/>
        <v>0.20718233285786664</v>
      </c>
      <c r="H149" s="123"/>
    </row>
    <row r="150" spans="1:8" ht="15">
      <c r="A150" s="130"/>
      <c r="B150" s="131">
        <f>DATE(2022,1,1)</f>
        <v>44562</v>
      </c>
      <c r="C150" s="204">
        <v>12615740</v>
      </c>
      <c r="D150" s="204">
        <v>2491683.57</v>
      </c>
      <c r="E150" s="204">
        <v>2332941.5</v>
      </c>
      <c r="F150" s="132">
        <f t="shared" si="18"/>
        <v>0.0680437422027084</v>
      </c>
      <c r="G150" s="215">
        <f t="shared" si="19"/>
        <v>0.1975059386131927</v>
      </c>
      <c r="H150" s="123"/>
    </row>
    <row r="151" spans="1:8" ht="15">
      <c r="A151" s="130"/>
      <c r="B151" s="131">
        <f>DATE(2022,2,1)</f>
        <v>44593</v>
      </c>
      <c r="C151" s="204">
        <v>13258339</v>
      </c>
      <c r="D151" s="204">
        <v>2634766.65</v>
      </c>
      <c r="E151" s="204">
        <v>2002620.27</v>
      </c>
      <c r="F151" s="132">
        <f t="shared" si="18"/>
        <v>0.31565963326637053</v>
      </c>
      <c r="G151" s="215">
        <f t="shared" si="19"/>
        <v>0.19872524378807932</v>
      </c>
      <c r="H151" s="123"/>
    </row>
    <row r="152" spans="1:8" ht="15">
      <c r="A152" s="130"/>
      <c r="B152" s="131">
        <f>DATE(2022,3,1)</f>
        <v>44621</v>
      </c>
      <c r="C152" s="204">
        <v>16256295</v>
      </c>
      <c r="D152" s="204">
        <v>3434413.46</v>
      </c>
      <c r="E152" s="204">
        <v>2026634.3</v>
      </c>
      <c r="F152" s="132">
        <f t="shared" si="18"/>
        <v>0.694638968658529</v>
      </c>
      <c r="G152" s="215">
        <f t="shared" si="19"/>
        <v>0.2112666791541369</v>
      </c>
      <c r="H152" s="123"/>
    </row>
    <row r="153" spans="1:8" ht="15">
      <c r="A153" s="130"/>
      <c r="B153" s="131">
        <f>DATE(2022,4,1)</f>
        <v>44652</v>
      </c>
      <c r="C153" s="204">
        <v>15121401</v>
      </c>
      <c r="D153" s="204">
        <v>3588675.89</v>
      </c>
      <c r="E153" s="204">
        <v>2242370.53</v>
      </c>
      <c r="F153" s="132">
        <f t="shared" si="18"/>
        <v>0.6003937984325902</v>
      </c>
      <c r="G153" s="215">
        <f t="shared" si="19"/>
        <v>0.2373242988529965</v>
      </c>
      <c r="H153" s="123"/>
    </row>
    <row r="154" spans="1:8" ht="15">
      <c r="A154" s="130"/>
      <c r="B154" s="131">
        <f>DATE(2022,5,1)</f>
        <v>44682</v>
      </c>
      <c r="C154" s="204">
        <v>14251385</v>
      </c>
      <c r="D154" s="204">
        <v>3389525.64</v>
      </c>
      <c r="E154" s="204">
        <v>2870434.13</v>
      </c>
      <c r="F154" s="132">
        <f t="shared" si="18"/>
        <v>0.18084076710723904</v>
      </c>
      <c r="G154" s="215">
        <f t="shared" si="19"/>
        <v>0.2378383322042033</v>
      </c>
      <c r="H154" s="123"/>
    </row>
    <row r="155" spans="1:8" ht="15">
      <c r="A155" s="130"/>
      <c r="B155" s="131">
        <f>DATE(2022,6,1)</f>
        <v>44713</v>
      </c>
      <c r="C155" s="204">
        <v>12626204</v>
      </c>
      <c r="D155" s="204">
        <v>2388089.51</v>
      </c>
      <c r="E155" s="204">
        <v>2766824.89</v>
      </c>
      <c r="F155" s="132">
        <f t="shared" si="18"/>
        <v>-0.13688447771626067</v>
      </c>
      <c r="G155" s="215">
        <f t="shared" si="19"/>
        <v>0.1891375673955529</v>
      </c>
      <c r="H155" s="123"/>
    </row>
    <row r="156" spans="1:8" ht="15" thickBot="1">
      <c r="A156" s="133"/>
      <c r="B156" s="131"/>
      <c r="C156" s="204"/>
      <c r="D156" s="204"/>
      <c r="E156" s="204"/>
      <c r="F156" s="132"/>
      <c r="G156" s="215"/>
      <c r="H156" s="123"/>
    </row>
    <row r="157" spans="1:8" ht="16.5" thickBot="1" thickTop="1">
      <c r="A157" s="141" t="s">
        <v>14</v>
      </c>
      <c r="B157" s="142"/>
      <c r="C157" s="207">
        <f>SUM(C144:C156)</f>
        <v>167265921.5</v>
      </c>
      <c r="D157" s="207">
        <f>SUM(D144:D156)</f>
        <v>33761443.39</v>
      </c>
      <c r="E157" s="207">
        <f>SUM(E144:E156)</f>
        <v>27845624.48</v>
      </c>
      <c r="F157" s="143">
        <f>(+D157-E157)/E157</f>
        <v>0.2124505742095679</v>
      </c>
      <c r="G157" s="267">
        <f>D157/C157</f>
        <v>0.2018429282380751</v>
      </c>
      <c r="H157" s="123"/>
    </row>
    <row r="158" spans="1:8" ht="15.75" customHeight="1" thickTop="1">
      <c r="A158" s="138"/>
      <c r="B158" s="139"/>
      <c r="C158" s="205"/>
      <c r="D158" s="205"/>
      <c r="E158" s="205"/>
      <c r="F158" s="140"/>
      <c r="G158" s="219"/>
      <c r="H158" s="123"/>
    </row>
    <row r="159" spans="1:8" ht="15">
      <c r="A159" s="130" t="s">
        <v>54</v>
      </c>
      <c r="B159" s="131">
        <f>DATE(2021,7,1)</f>
        <v>44378</v>
      </c>
      <c r="C159" s="204">
        <v>371140</v>
      </c>
      <c r="D159" s="204">
        <v>95940.5</v>
      </c>
      <c r="E159" s="204">
        <v>188605.5</v>
      </c>
      <c r="F159" s="132">
        <f aca="true" t="shared" si="20" ref="F159:F170">(+D159-E159)/E159</f>
        <v>-0.49131653106616724</v>
      </c>
      <c r="G159" s="215">
        <f aca="true" t="shared" si="21" ref="G159:G170">D159/C159</f>
        <v>0.2585021824648381</v>
      </c>
      <c r="H159" s="123"/>
    </row>
    <row r="160" spans="1:8" ht="15">
      <c r="A160" s="130"/>
      <c r="B160" s="131">
        <f>DATE(2021,8,1)</f>
        <v>44409</v>
      </c>
      <c r="C160" s="204">
        <v>365006</v>
      </c>
      <c r="D160" s="204">
        <v>109429</v>
      </c>
      <c r="E160" s="204">
        <v>111546</v>
      </c>
      <c r="F160" s="132">
        <f t="shared" si="20"/>
        <v>-0.0189787173004859</v>
      </c>
      <c r="G160" s="215">
        <f t="shared" si="21"/>
        <v>0.2998005512238155</v>
      </c>
      <c r="H160" s="123"/>
    </row>
    <row r="161" spans="1:8" ht="15">
      <c r="A161" s="130"/>
      <c r="B161" s="131">
        <f>DATE(2021,9,1)</f>
        <v>44440</v>
      </c>
      <c r="C161" s="204">
        <v>306911</v>
      </c>
      <c r="D161" s="204">
        <v>101758.5</v>
      </c>
      <c r="E161" s="204">
        <v>108554</v>
      </c>
      <c r="F161" s="132">
        <f t="shared" si="20"/>
        <v>-0.06260018055529967</v>
      </c>
      <c r="G161" s="215">
        <f t="shared" si="21"/>
        <v>0.3315570311914529</v>
      </c>
      <c r="H161" s="123"/>
    </row>
    <row r="162" spans="1:8" ht="15">
      <c r="A162" s="130"/>
      <c r="B162" s="131">
        <f>DATE(2021,10,1)</f>
        <v>44470</v>
      </c>
      <c r="C162" s="204">
        <v>384507</v>
      </c>
      <c r="D162" s="204">
        <v>79721.5</v>
      </c>
      <c r="E162" s="204">
        <v>95084.5</v>
      </c>
      <c r="F162" s="132">
        <f t="shared" si="20"/>
        <v>-0.16157207536454418</v>
      </c>
      <c r="G162" s="215">
        <f t="shared" si="21"/>
        <v>0.207334326813296</v>
      </c>
      <c r="H162" s="123"/>
    </row>
    <row r="163" spans="1:8" ht="15">
      <c r="A163" s="130"/>
      <c r="B163" s="131">
        <f>DATE(2021,11,1)</f>
        <v>44501</v>
      </c>
      <c r="C163" s="204">
        <v>305940</v>
      </c>
      <c r="D163" s="204">
        <v>65199</v>
      </c>
      <c r="E163" s="204">
        <v>102680.5</v>
      </c>
      <c r="F163" s="132">
        <f t="shared" si="20"/>
        <v>-0.3650303611688685</v>
      </c>
      <c r="G163" s="215">
        <f t="shared" si="21"/>
        <v>0.21311041380662876</v>
      </c>
      <c r="H163" s="123"/>
    </row>
    <row r="164" spans="1:8" ht="15">
      <c r="A164" s="130"/>
      <c r="B164" s="131">
        <f>DATE(2021,12,1)</f>
        <v>44531</v>
      </c>
      <c r="C164" s="204">
        <v>301496</v>
      </c>
      <c r="D164" s="204">
        <v>91444</v>
      </c>
      <c r="E164" s="204">
        <v>47733</v>
      </c>
      <c r="F164" s="132">
        <f t="shared" si="20"/>
        <v>0.9157396350533175</v>
      </c>
      <c r="G164" s="215">
        <f t="shared" si="21"/>
        <v>0.3033008729800727</v>
      </c>
      <c r="H164" s="123"/>
    </row>
    <row r="165" spans="1:8" ht="15">
      <c r="A165" s="130"/>
      <c r="B165" s="131">
        <f>DATE(2022,1,1)</f>
        <v>44562</v>
      </c>
      <c r="C165" s="204">
        <v>295803</v>
      </c>
      <c r="D165" s="204">
        <v>130796.5</v>
      </c>
      <c r="E165" s="204">
        <v>134105.5</v>
      </c>
      <c r="F165" s="132">
        <f t="shared" si="20"/>
        <v>-0.024674603204193714</v>
      </c>
      <c r="G165" s="215">
        <f t="shared" si="21"/>
        <v>0.44217435252516035</v>
      </c>
      <c r="H165" s="123"/>
    </row>
    <row r="166" spans="1:8" ht="15">
      <c r="A166" s="130"/>
      <c r="B166" s="131">
        <f>DATE(2022,2,1)</f>
        <v>44593</v>
      </c>
      <c r="C166" s="204">
        <v>285955</v>
      </c>
      <c r="D166" s="204">
        <v>64197.5</v>
      </c>
      <c r="E166" s="204">
        <v>30769</v>
      </c>
      <c r="F166" s="132">
        <f t="shared" si="20"/>
        <v>1.086434398257987</v>
      </c>
      <c r="G166" s="215">
        <f t="shared" si="21"/>
        <v>0.22450210697487366</v>
      </c>
      <c r="H166" s="123"/>
    </row>
    <row r="167" spans="1:8" ht="15">
      <c r="A167" s="130"/>
      <c r="B167" s="131">
        <f>DATE(2022,3,1)</f>
        <v>44621</v>
      </c>
      <c r="C167" s="204">
        <v>342304</v>
      </c>
      <c r="D167" s="204">
        <v>83632.5</v>
      </c>
      <c r="E167" s="204">
        <v>150714.5</v>
      </c>
      <c r="F167" s="132">
        <f t="shared" si="20"/>
        <v>-0.445093206028617</v>
      </c>
      <c r="G167" s="215">
        <f t="shared" si="21"/>
        <v>0.2443222983079368</v>
      </c>
      <c r="H167" s="123"/>
    </row>
    <row r="168" spans="1:8" ht="15">
      <c r="A168" s="130"/>
      <c r="B168" s="131">
        <f>DATE(2022,4,1)</f>
        <v>44652</v>
      </c>
      <c r="C168" s="204">
        <v>164749</v>
      </c>
      <c r="D168" s="204">
        <v>46651.5</v>
      </c>
      <c r="E168" s="204">
        <v>104078.5</v>
      </c>
      <c r="F168" s="132">
        <f t="shared" si="20"/>
        <v>-0.551766214924312</v>
      </c>
      <c r="G168" s="215">
        <f t="shared" si="21"/>
        <v>0.2831671208929948</v>
      </c>
      <c r="H168" s="123"/>
    </row>
    <row r="169" spans="1:8" ht="15">
      <c r="A169" s="130"/>
      <c r="B169" s="131">
        <f>DATE(2022,5,1)</f>
        <v>44682</v>
      </c>
      <c r="C169" s="204">
        <v>101496</v>
      </c>
      <c r="D169" s="204">
        <v>43335</v>
      </c>
      <c r="E169" s="204">
        <v>151178</v>
      </c>
      <c r="F169" s="132">
        <f t="shared" si="20"/>
        <v>-0.7133511489767029</v>
      </c>
      <c r="G169" s="215">
        <f t="shared" si="21"/>
        <v>0.4269626389217309</v>
      </c>
      <c r="H169" s="123"/>
    </row>
    <row r="170" spans="1:8" ht="15">
      <c r="A170" s="130"/>
      <c r="B170" s="131">
        <f>DATE(2022,6,1)</f>
        <v>44713</v>
      </c>
      <c r="C170" s="204">
        <v>102601</v>
      </c>
      <c r="D170" s="204">
        <v>38364</v>
      </c>
      <c r="E170" s="204">
        <v>122937.5</v>
      </c>
      <c r="F170" s="132">
        <f t="shared" si="20"/>
        <v>-0.6879389933909507</v>
      </c>
      <c r="G170" s="215">
        <f t="shared" si="21"/>
        <v>0.3739144842642859</v>
      </c>
      <c r="H170" s="123"/>
    </row>
    <row r="171" spans="1:8" ht="15" thickBot="1">
      <c r="A171" s="133"/>
      <c r="B171" s="134"/>
      <c r="C171" s="204"/>
      <c r="D171" s="204"/>
      <c r="E171" s="204"/>
      <c r="F171" s="132"/>
      <c r="G171" s="215"/>
      <c r="H171" s="123"/>
    </row>
    <row r="172" spans="1:8" ht="16.5" thickBot="1" thickTop="1">
      <c r="A172" s="144" t="s">
        <v>14</v>
      </c>
      <c r="B172" s="145"/>
      <c r="C172" s="207">
        <f>SUM(C159:C171)</f>
        <v>3327908</v>
      </c>
      <c r="D172" s="207">
        <f>SUM(D159:D171)</f>
        <v>950469.5</v>
      </c>
      <c r="E172" s="207">
        <f>SUM(E159:E171)</f>
        <v>1347986.5</v>
      </c>
      <c r="F172" s="143">
        <f>(+D172-E172)/E172</f>
        <v>-0.2948968702579737</v>
      </c>
      <c r="G172" s="217">
        <f>D172/C172</f>
        <v>0.2856057018403153</v>
      </c>
      <c r="H172" s="123"/>
    </row>
    <row r="173" spans="1:8" ht="15.75" customHeight="1" thickTop="1">
      <c r="A173" s="130"/>
      <c r="B173" s="134"/>
      <c r="C173" s="204"/>
      <c r="D173" s="204"/>
      <c r="E173" s="204"/>
      <c r="F173" s="132"/>
      <c r="G173" s="218"/>
      <c r="H173" s="123"/>
    </row>
    <row r="174" spans="1:8" ht="15">
      <c r="A174" s="130" t="s">
        <v>37</v>
      </c>
      <c r="B174" s="131">
        <f>DATE(2021,7,1)</f>
        <v>44378</v>
      </c>
      <c r="C174" s="204">
        <v>21135748</v>
      </c>
      <c r="D174" s="204">
        <v>4828759.44</v>
      </c>
      <c r="E174" s="204">
        <v>4944391.55</v>
      </c>
      <c r="F174" s="132">
        <f aca="true" t="shared" si="22" ref="F174:F185">(+D174-E174)/E174</f>
        <v>-0.0233865196214081</v>
      </c>
      <c r="G174" s="215">
        <f aca="true" t="shared" si="23" ref="G174:G185">D174/C174</f>
        <v>0.2284640903175038</v>
      </c>
      <c r="H174" s="123"/>
    </row>
    <row r="175" spans="1:8" ht="15">
      <c r="A175" s="130"/>
      <c r="B175" s="131">
        <f>DATE(2021,8,1)</f>
        <v>44409</v>
      </c>
      <c r="C175" s="204">
        <v>21125231</v>
      </c>
      <c r="D175" s="204">
        <v>4617763.22</v>
      </c>
      <c r="E175" s="204">
        <v>3489579.3</v>
      </c>
      <c r="F175" s="132">
        <f t="shared" si="22"/>
        <v>0.32330084030473244</v>
      </c>
      <c r="G175" s="215">
        <f t="shared" si="23"/>
        <v>0.21858995151342958</v>
      </c>
      <c r="H175" s="123"/>
    </row>
    <row r="176" spans="1:8" ht="15">
      <c r="A176" s="130"/>
      <c r="B176" s="131">
        <f>DATE(2021,9,1)</f>
        <v>44440</v>
      </c>
      <c r="C176" s="204">
        <v>19406042</v>
      </c>
      <c r="D176" s="204">
        <v>4146063.59</v>
      </c>
      <c r="E176" s="204">
        <v>3694673.89</v>
      </c>
      <c r="F176" s="132">
        <f t="shared" si="22"/>
        <v>0.12217308304847432</v>
      </c>
      <c r="G176" s="215">
        <f t="shared" si="23"/>
        <v>0.21364807877876385</v>
      </c>
      <c r="H176" s="123"/>
    </row>
    <row r="177" spans="1:8" ht="15">
      <c r="A177" s="130"/>
      <c r="B177" s="131">
        <f>DATE(2021,10,1)</f>
        <v>44470</v>
      </c>
      <c r="C177" s="204">
        <v>22309255.5</v>
      </c>
      <c r="D177" s="204">
        <v>5459139.57</v>
      </c>
      <c r="E177" s="204">
        <v>4159604.05</v>
      </c>
      <c r="F177" s="132">
        <f t="shared" si="22"/>
        <v>0.3124180821970304</v>
      </c>
      <c r="G177" s="215">
        <f t="shared" si="23"/>
        <v>0.24470290234472417</v>
      </c>
      <c r="H177" s="123"/>
    </row>
    <row r="178" spans="1:8" ht="15">
      <c r="A178" s="130"/>
      <c r="B178" s="131">
        <f>DATE(2021,11,1)</f>
        <v>44501</v>
      </c>
      <c r="C178" s="204">
        <v>22481941</v>
      </c>
      <c r="D178" s="204">
        <v>4253233.65</v>
      </c>
      <c r="E178" s="204">
        <v>3752761.48</v>
      </c>
      <c r="F178" s="132">
        <f t="shared" si="22"/>
        <v>0.13336103897549076</v>
      </c>
      <c r="G178" s="215">
        <f t="shared" si="23"/>
        <v>0.18918445031058487</v>
      </c>
      <c r="H178" s="123"/>
    </row>
    <row r="179" spans="1:8" ht="15">
      <c r="A179" s="130"/>
      <c r="B179" s="131">
        <f>DATE(2021,12,1)</f>
        <v>44531</v>
      </c>
      <c r="C179" s="204">
        <v>24035711</v>
      </c>
      <c r="D179" s="204">
        <v>5369859.74</v>
      </c>
      <c r="E179" s="204">
        <v>4490962</v>
      </c>
      <c r="F179" s="132">
        <f t="shared" si="22"/>
        <v>0.19570366883531862</v>
      </c>
      <c r="G179" s="215">
        <f t="shared" si="23"/>
        <v>0.223411728490162</v>
      </c>
      <c r="H179" s="123"/>
    </row>
    <row r="180" spans="1:8" ht="15">
      <c r="A180" s="130"/>
      <c r="B180" s="131">
        <f>DATE(2022,1,1)</f>
        <v>44562</v>
      </c>
      <c r="C180" s="204">
        <v>21675537</v>
      </c>
      <c r="D180" s="204">
        <v>5388467.76</v>
      </c>
      <c r="E180" s="204">
        <v>4702074.91</v>
      </c>
      <c r="F180" s="132">
        <f t="shared" si="22"/>
        <v>0.14597658759970705</v>
      </c>
      <c r="G180" s="215">
        <f t="shared" si="23"/>
        <v>0.2485967364960785</v>
      </c>
      <c r="H180" s="123"/>
    </row>
    <row r="181" spans="1:8" ht="15">
      <c r="A181" s="130"/>
      <c r="B181" s="131">
        <f>DATE(2022,2,1)</f>
        <v>44593</v>
      </c>
      <c r="C181" s="204">
        <v>19782448</v>
      </c>
      <c r="D181" s="204">
        <v>4784961.13</v>
      </c>
      <c r="E181" s="204">
        <v>4573683.54</v>
      </c>
      <c r="F181" s="132">
        <f t="shared" si="22"/>
        <v>0.046194186404072864</v>
      </c>
      <c r="G181" s="215">
        <f t="shared" si="23"/>
        <v>0.24187912082468258</v>
      </c>
      <c r="H181" s="123"/>
    </row>
    <row r="182" spans="1:8" ht="15">
      <c r="A182" s="130"/>
      <c r="B182" s="131">
        <f>DATE(2022,3,1)</f>
        <v>44621</v>
      </c>
      <c r="C182" s="204">
        <v>21853986</v>
      </c>
      <c r="D182" s="204">
        <v>4993811.12</v>
      </c>
      <c r="E182" s="204">
        <v>4732473.02</v>
      </c>
      <c r="F182" s="132">
        <f t="shared" si="22"/>
        <v>0.05522231165303095</v>
      </c>
      <c r="G182" s="215">
        <f t="shared" si="23"/>
        <v>0.22850802228938924</v>
      </c>
      <c r="H182" s="123"/>
    </row>
    <row r="183" spans="1:8" ht="15">
      <c r="A183" s="130"/>
      <c r="B183" s="131">
        <f>DATE(2022,4,1)</f>
        <v>44652</v>
      </c>
      <c r="C183" s="204">
        <v>22020128</v>
      </c>
      <c r="D183" s="204">
        <v>5496853.59</v>
      </c>
      <c r="E183" s="204">
        <v>4209870.96</v>
      </c>
      <c r="F183" s="132">
        <f t="shared" si="22"/>
        <v>0.30570595684006424</v>
      </c>
      <c r="G183" s="215">
        <f t="shared" si="23"/>
        <v>0.24962859389373213</v>
      </c>
      <c r="H183" s="123"/>
    </row>
    <row r="184" spans="1:8" ht="15">
      <c r="A184" s="130"/>
      <c r="B184" s="131">
        <f>DATE(2022,5,1)</f>
        <v>44682</v>
      </c>
      <c r="C184" s="204">
        <v>21003360.5</v>
      </c>
      <c r="D184" s="204">
        <v>4553328.82</v>
      </c>
      <c r="E184" s="204">
        <v>4534066.83</v>
      </c>
      <c r="F184" s="132">
        <f t="shared" si="22"/>
        <v>0.004248281007362263</v>
      </c>
      <c r="G184" s="215">
        <f t="shared" si="23"/>
        <v>0.21679049026464123</v>
      </c>
      <c r="H184" s="123"/>
    </row>
    <row r="185" spans="1:8" ht="15">
      <c r="A185" s="130"/>
      <c r="B185" s="131">
        <f>DATE(2022,6,1)</f>
        <v>44713</v>
      </c>
      <c r="C185" s="204">
        <v>20890971</v>
      </c>
      <c r="D185" s="204">
        <v>4645341.32</v>
      </c>
      <c r="E185" s="204">
        <v>4333084.78</v>
      </c>
      <c r="F185" s="132">
        <f t="shared" si="22"/>
        <v>0.07206333498048935</v>
      </c>
      <c r="G185" s="215">
        <f t="shared" si="23"/>
        <v>0.2223611970932323</v>
      </c>
      <c r="H185" s="123"/>
    </row>
    <row r="186" spans="1:8" ht="15" thickBot="1">
      <c r="A186" s="133"/>
      <c r="B186" s="134"/>
      <c r="C186" s="204"/>
      <c r="D186" s="204"/>
      <c r="E186" s="204"/>
      <c r="F186" s="132"/>
      <c r="G186" s="215"/>
      <c r="H186" s="123"/>
    </row>
    <row r="187" spans="1:8" ht="16.5" thickBot="1" thickTop="1">
      <c r="A187" s="141" t="s">
        <v>14</v>
      </c>
      <c r="B187" s="142"/>
      <c r="C187" s="206">
        <f>SUM(C174:C186)</f>
        <v>257720359</v>
      </c>
      <c r="D187" s="207">
        <f>SUM(D174:D186)</f>
        <v>58537582.95</v>
      </c>
      <c r="E187" s="206">
        <f>SUM(E174:E186)</f>
        <v>51617226.309999995</v>
      </c>
      <c r="F187" s="143">
        <f>(+D187-E187)/E187</f>
        <v>0.13407068017250864</v>
      </c>
      <c r="G187" s="217">
        <f>D187/C187</f>
        <v>0.22713604457612913</v>
      </c>
      <c r="H187" s="123"/>
    </row>
    <row r="188" spans="1:8" ht="15.75" customHeight="1" thickTop="1">
      <c r="A188" s="130"/>
      <c r="B188" s="134"/>
      <c r="C188" s="204"/>
      <c r="D188" s="204"/>
      <c r="E188" s="204"/>
      <c r="F188" s="132"/>
      <c r="G188" s="218"/>
      <c r="H188" s="123"/>
    </row>
    <row r="189" spans="1:8" ht="15">
      <c r="A189" s="130" t="s">
        <v>57</v>
      </c>
      <c r="B189" s="131">
        <f>DATE(2021,7,1)</f>
        <v>44378</v>
      </c>
      <c r="C189" s="204">
        <v>576838</v>
      </c>
      <c r="D189" s="204">
        <v>127439.5</v>
      </c>
      <c r="E189" s="204">
        <v>155770.5</v>
      </c>
      <c r="F189" s="132">
        <f aca="true" t="shared" si="24" ref="F189:F200">(+D189-E189)/E189</f>
        <v>-0.18187654273434314</v>
      </c>
      <c r="G189" s="215">
        <f aca="true" t="shared" si="25" ref="G189:G200">D189/C189</f>
        <v>0.22092771280671522</v>
      </c>
      <c r="H189" s="123"/>
    </row>
    <row r="190" spans="1:8" ht="15">
      <c r="A190" s="130"/>
      <c r="B190" s="131">
        <f>DATE(2021,8,1)</f>
        <v>44409</v>
      </c>
      <c r="C190" s="204">
        <v>465052</v>
      </c>
      <c r="D190" s="204">
        <v>132624</v>
      </c>
      <c r="E190" s="204">
        <v>187855</v>
      </c>
      <c r="F190" s="132">
        <f t="shared" si="24"/>
        <v>-0.2940086769050598</v>
      </c>
      <c r="G190" s="215">
        <f t="shared" si="25"/>
        <v>0.2851810120158606</v>
      </c>
      <c r="H190" s="123"/>
    </row>
    <row r="191" spans="1:8" ht="15">
      <c r="A191" s="130"/>
      <c r="B191" s="131">
        <f>DATE(2021,9,1)</f>
        <v>44440</v>
      </c>
      <c r="C191" s="204">
        <v>546162</v>
      </c>
      <c r="D191" s="204">
        <v>116203.5</v>
      </c>
      <c r="E191" s="204">
        <v>175772.5</v>
      </c>
      <c r="F191" s="132">
        <f t="shared" si="24"/>
        <v>-0.338898291826082</v>
      </c>
      <c r="G191" s="215">
        <f t="shared" si="25"/>
        <v>0.21276379535742143</v>
      </c>
      <c r="H191" s="123"/>
    </row>
    <row r="192" spans="1:8" ht="15">
      <c r="A192" s="130"/>
      <c r="B192" s="131">
        <f>DATE(2021,10,1)</f>
        <v>44470</v>
      </c>
      <c r="C192" s="204">
        <v>611813</v>
      </c>
      <c r="D192" s="204">
        <v>167500.5</v>
      </c>
      <c r="E192" s="204">
        <v>128393</v>
      </c>
      <c r="F192" s="132">
        <f t="shared" si="24"/>
        <v>0.3045921506624193</v>
      </c>
      <c r="G192" s="215">
        <f t="shared" si="25"/>
        <v>0.2737772816203644</v>
      </c>
      <c r="H192" s="123"/>
    </row>
    <row r="193" spans="1:8" ht="15">
      <c r="A193" s="130"/>
      <c r="B193" s="131">
        <f>DATE(2021,11,1)</f>
        <v>44501</v>
      </c>
      <c r="C193" s="204">
        <v>574384</v>
      </c>
      <c r="D193" s="204">
        <v>144385.5</v>
      </c>
      <c r="E193" s="204">
        <v>162751.5</v>
      </c>
      <c r="F193" s="132">
        <f t="shared" si="24"/>
        <v>-0.11284688620381379</v>
      </c>
      <c r="G193" s="215">
        <f t="shared" si="25"/>
        <v>0.2513745160032313</v>
      </c>
      <c r="H193" s="123"/>
    </row>
    <row r="194" spans="1:8" ht="15">
      <c r="A194" s="130"/>
      <c r="B194" s="131">
        <f>DATE(2021,12,1)</f>
        <v>44531</v>
      </c>
      <c r="C194" s="204">
        <v>651978</v>
      </c>
      <c r="D194" s="204">
        <v>189046.5</v>
      </c>
      <c r="E194" s="204">
        <v>165476</v>
      </c>
      <c r="F194" s="132">
        <f t="shared" si="24"/>
        <v>0.14244059561507408</v>
      </c>
      <c r="G194" s="215">
        <f t="shared" si="25"/>
        <v>0.2899584035044127</v>
      </c>
      <c r="H194" s="123"/>
    </row>
    <row r="195" spans="1:8" ht="15">
      <c r="A195" s="130"/>
      <c r="B195" s="131">
        <f>DATE(2022,1,1)</f>
        <v>44562</v>
      </c>
      <c r="C195" s="204">
        <v>437094</v>
      </c>
      <c r="D195" s="204">
        <v>129604.5</v>
      </c>
      <c r="E195" s="204">
        <v>104168.5</v>
      </c>
      <c r="F195" s="132">
        <f t="shared" si="24"/>
        <v>0.2441813024090776</v>
      </c>
      <c r="G195" s="215">
        <f t="shared" si="25"/>
        <v>0.2965140221554174</v>
      </c>
      <c r="H195" s="123"/>
    </row>
    <row r="196" spans="1:8" ht="15">
      <c r="A196" s="130"/>
      <c r="B196" s="131">
        <f>DATE(2022,2,1)</f>
        <v>44593</v>
      </c>
      <c r="C196" s="204">
        <v>532439</v>
      </c>
      <c r="D196" s="204">
        <v>141185</v>
      </c>
      <c r="E196" s="204">
        <v>114089.5</v>
      </c>
      <c r="F196" s="132">
        <f t="shared" si="24"/>
        <v>0.23749337143207744</v>
      </c>
      <c r="G196" s="215">
        <f t="shared" si="25"/>
        <v>0.26516652611848496</v>
      </c>
      <c r="H196" s="123"/>
    </row>
    <row r="197" spans="1:8" ht="15">
      <c r="A197" s="130"/>
      <c r="B197" s="131">
        <f>DATE(2022,3,1)</f>
        <v>44621</v>
      </c>
      <c r="C197" s="204">
        <v>702347</v>
      </c>
      <c r="D197" s="204">
        <v>258133.5</v>
      </c>
      <c r="E197" s="204">
        <v>155568.5</v>
      </c>
      <c r="F197" s="132">
        <f t="shared" si="24"/>
        <v>0.6592915660946785</v>
      </c>
      <c r="G197" s="215">
        <f t="shared" si="25"/>
        <v>0.36752986771496143</v>
      </c>
      <c r="H197" s="123"/>
    </row>
    <row r="198" spans="1:8" ht="15">
      <c r="A198" s="130"/>
      <c r="B198" s="131">
        <f>DATE(2022,4,1)</f>
        <v>44652</v>
      </c>
      <c r="C198" s="204">
        <v>713848</v>
      </c>
      <c r="D198" s="204">
        <v>197147</v>
      </c>
      <c r="E198" s="204">
        <v>131890</v>
      </c>
      <c r="F198" s="132">
        <f t="shared" si="24"/>
        <v>0.49478353173098794</v>
      </c>
      <c r="G198" s="215">
        <f t="shared" si="25"/>
        <v>0.27617504006455157</v>
      </c>
      <c r="H198" s="123"/>
    </row>
    <row r="199" spans="1:8" ht="15">
      <c r="A199" s="130"/>
      <c r="B199" s="131">
        <f>DATE(2022,5,1)</f>
        <v>44682</v>
      </c>
      <c r="C199" s="204">
        <v>669926</v>
      </c>
      <c r="D199" s="204">
        <v>164271.5</v>
      </c>
      <c r="E199" s="204">
        <v>214656</v>
      </c>
      <c r="F199" s="132">
        <f t="shared" si="24"/>
        <v>-0.23472206693500297</v>
      </c>
      <c r="G199" s="215">
        <f t="shared" si="25"/>
        <v>0.24520842600526027</v>
      </c>
      <c r="H199" s="123"/>
    </row>
    <row r="200" spans="1:8" ht="15">
      <c r="A200" s="130"/>
      <c r="B200" s="131">
        <f>DATE(2022,6,1)</f>
        <v>44713</v>
      </c>
      <c r="C200" s="204">
        <v>698000</v>
      </c>
      <c r="D200" s="204">
        <v>155131.5</v>
      </c>
      <c r="E200" s="204">
        <v>90723</v>
      </c>
      <c r="F200" s="132">
        <f t="shared" si="24"/>
        <v>0.7099467610198076</v>
      </c>
      <c r="G200" s="215">
        <f t="shared" si="25"/>
        <v>0.22225143266475644</v>
      </c>
      <c r="H200" s="123"/>
    </row>
    <row r="201" spans="1:8" ht="15" thickBot="1">
      <c r="A201" s="133"/>
      <c r="B201" s="134"/>
      <c r="C201" s="204"/>
      <c r="D201" s="204"/>
      <c r="E201" s="204"/>
      <c r="F201" s="132"/>
      <c r="G201" s="215"/>
      <c r="H201" s="123"/>
    </row>
    <row r="202" spans="1:8" ht="16.5" thickBot="1" thickTop="1">
      <c r="A202" s="135" t="s">
        <v>14</v>
      </c>
      <c r="B202" s="136"/>
      <c r="C202" s="201">
        <f>SUM(C189:C201)</f>
        <v>7179881</v>
      </c>
      <c r="D202" s="207">
        <f>SUM(D189:D201)</f>
        <v>1922672.5</v>
      </c>
      <c r="E202" s="207">
        <f>SUM(E189:E201)</f>
        <v>1787114</v>
      </c>
      <c r="F202" s="143">
        <f>(+D202-E202)/E202</f>
        <v>0.07585330314686137</v>
      </c>
      <c r="G202" s="217">
        <f>D202/C202</f>
        <v>0.2677861234747484</v>
      </c>
      <c r="H202" s="123"/>
    </row>
    <row r="203" spans="1:8" ht="15.75" thickBot="1" thickTop="1">
      <c r="A203" s="146"/>
      <c r="B203" s="139"/>
      <c r="C203" s="205"/>
      <c r="D203" s="205"/>
      <c r="E203" s="205"/>
      <c r="F203" s="140"/>
      <c r="G203" s="216"/>
      <c r="H203" s="123"/>
    </row>
    <row r="204" spans="1:8" ht="16.5" thickBot="1" thickTop="1">
      <c r="A204" s="147" t="s">
        <v>38</v>
      </c>
      <c r="B204" s="121"/>
      <c r="C204" s="201">
        <f>C202+C187+C142+C112+C82+C52+C22+C67+C172+C37+C127+C157+C97</f>
        <v>1267773974.31</v>
      </c>
      <c r="D204" s="201">
        <f>D202+D187+D142+D112+D82+D52+D22+D67+D172+D37+D127+D157+D97</f>
        <v>266948863.24</v>
      </c>
      <c r="E204" s="201">
        <f>E202+E187+E142+E112+E82+E52+E22+E67+E172+E37+E127+E157+E97</f>
        <v>224512793.82999998</v>
      </c>
      <c r="F204" s="137">
        <f>(+D204-E204)/E204</f>
        <v>0.18901403651024187</v>
      </c>
      <c r="G204" s="212">
        <f>D204/C204</f>
        <v>0.210565028663954</v>
      </c>
      <c r="H204" s="123"/>
    </row>
    <row r="205" spans="1:8" ht="16.5" thickBot="1" thickTop="1">
      <c r="A205" s="147"/>
      <c r="B205" s="121"/>
      <c r="C205" s="201"/>
      <c r="D205" s="201"/>
      <c r="E205" s="201"/>
      <c r="F205" s="137"/>
      <c r="G205" s="212"/>
      <c r="H205" s="123"/>
    </row>
    <row r="206" spans="1:8" ht="16.5" thickBot="1" thickTop="1">
      <c r="A206" s="265" t="s">
        <v>39</v>
      </c>
      <c r="B206" s="266"/>
      <c r="C206" s="206">
        <f>SUM(C20+C35+C50+C65+C80+C95+C110+C125+C140+C155+C170+C185+C200)</f>
        <v>102207281</v>
      </c>
      <c r="D206" s="206">
        <f>SUM(D20+D35+D50+D65+D80+D95+D110+D125+D140+D155+D170+D185+D200)</f>
        <v>22301840.3</v>
      </c>
      <c r="E206" s="206">
        <f>SUM(E20+E35+E50+E65+E80+E95+E110+E125+E140+E155+E170+E185+E200)</f>
        <v>20374346.720000003</v>
      </c>
      <c r="F206" s="268">
        <f>(+D206-E206)/E206</f>
        <v>0.09460394517130304</v>
      </c>
      <c r="G206" s="217">
        <f>D206/C206</f>
        <v>0.21820207016367063</v>
      </c>
      <c r="H206" s="123"/>
    </row>
    <row r="207" spans="1:8" ht="15.75" thickTop="1">
      <c r="A207" s="256"/>
      <c r="B207" s="258"/>
      <c r="C207" s="259"/>
      <c r="D207" s="259"/>
      <c r="E207" s="259"/>
      <c r="F207" s="260"/>
      <c r="G207" s="257"/>
      <c r="H207" s="257"/>
    </row>
    <row r="208" spans="1:7" ht="17.25">
      <c r="A208" s="263" t="s">
        <v>40</v>
      </c>
      <c r="B208" s="117"/>
      <c r="C208" s="208"/>
      <c r="D208" s="208"/>
      <c r="E208" s="208"/>
      <c r="F208" s="148"/>
      <c r="G208" s="220"/>
    </row>
    <row r="209" ht="15">
      <c r="A20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 aca="true" t="shared" si="0" ref="G14:G21">+D14/C14</f>
        <v>0.046645198441424555</v>
      </c>
      <c r="H14" s="289">
        <f aca="true" t="shared" si="1" ref="H14:H21">1-G14</f>
        <v>0.9533548015585754</v>
      </c>
    </row>
    <row r="15" spans="1:8" ht="1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 t="shared" si="0"/>
        <v>0.03204154159493143</v>
      </c>
      <c r="H15" s="289">
        <f t="shared" si="1"/>
        <v>0.9679584584050686</v>
      </c>
    </row>
    <row r="16" spans="1:8" ht="15">
      <c r="A16" s="164"/>
      <c r="B16" s="165">
        <f>DATE(22,1,1)</f>
        <v>8037</v>
      </c>
      <c r="C16" s="226">
        <v>2639798.91</v>
      </c>
      <c r="D16" s="226">
        <v>119559.87</v>
      </c>
      <c r="E16" s="226">
        <v>0</v>
      </c>
      <c r="F16" s="166">
        <v>1</v>
      </c>
      <c r="G16" s="241">
        <f t="shared" si="0"/>
        <v>0.045291279402793594</v>
      </c>
      <c r="H16" s="289">
        <f t="shared" si="1"/>
        <v>0.9547087205972065</v>
      </c>
    </row>
    <row r="17" spans="1:8" ht="15">
      <c r="A17" s="164"/>
      <c r="B17" s="165">
        <f>DATE(22,2,1)</f>
        <v>8068</v>
      </c>
      <c r="C17" s="226">
        <v>2750043.44</v>
      </c>
      <c r="D17" s="226">
        <v>134655.35</v>
      </c>
      <c r="E17" s="226">
        <v>0</v>
      </c>
      <c r="F17" s="166">
        <v>1</v>
      </c>
      <c r="G17" s="241">
        <f t="shared" si="0"/>
        <v>0.0489648083522637</v>
      </c>
      <c r="H17" s="289">
        <f t="shared" si="1"/>
        <v>0.9510351916477363</v>
      </c>
    </row>
    <row r="18" spans="1:8" ht="15">
      <c r="A18" s="164"/>
      <c r="B18" s="165">
        <f>DATE(22,3,1)</f>
        <v>8096</v>
      </c>
      <c r="C18" s="226">
        <v>3052097.59</v>
      </c>
      <c r="D18" s="226">
        <v>138761.57</v>
      </c>
      <c r="E18" s="226">
        <v>0</v>
      </c>
      <c r="F18" s="166">
        <v>1</v>
      </c>
      <c r="G18" s="241">
        <f t="shared" si="0"/>
        <v>0.045464329336861085</v>
      </c>
      <c r="H18" s="289">
        <f t="shared" si="1"/>
        <v>0.9545356706631389</v>
      </c>
    </row>
    <row r="19" spans="1:8" ht="15">
      <c r="A19" s="164"/>
      <c r="B19" s="165">
        <f>DATE(22,4,1)</f>
        <v>8127</v>
      </c>
      <c r="C19" s="226">
        <v>2792645.66</v>
      </c>
      <c r="D19" s="226">
        <v>96442.88</v>
      </c>
      <c r="E19" s="226">
        <v>0</v>
      </c>
      <c r="F19" s="166">
        <v>1</v>
      </c>
      <c r="G19" s="241">
        <f t="shared" si="0"/>
        <v>0.03453459254834357</v>
      </c>
      <c r="H19" s="289">
        <f t="shared" si="1"/>
        <v>0.9654654074516564</v>
      </c>
    </row>
    <row r="20" spans="1:8" ht="15">
      <c r="A20" s="164"/>
      <c r="B20" s="165">
        <f>DATE(22,5,1)</f>
        <v>8157</v>
      </c>
      <c r="C20" s="226">
        <v>2748930.06</v>
      </c>
      <c r="D20" s="226">
        <v>101555.65</v>
      </c>
      <c r="E20" s="226">
        <v>0</v>
      </c>
      <c r="F20" s="166">
        <v>1</v>
      </c>
      <c r="G20" s="241">
        <f t="shared" si="0"/>
        <v>0.03694370092486092</v>
      </c>
      <c r="H20" s="289">
        <f t="shared" si="1"/>
        <v>0.9630562990751391</v>
      </c>
    </row>
    <row r="21" spans="1:8" ht="15">
      <c r="A21" s="164"/>
      <c r="B21" s="165">
        <f>DATE(22,6,1)</f>
        <v>8188</v>
      </c>
      <c r="C21" s="226">
        <v>2395584.07</v>
      </c>
      <c r="D21" s="226">
        <v>108246.42</v>
      </c>
      <c r="E21" s="226">
        <v>0</v>
      </c>
      <c r="F21" s="166">
        <v>1</v>
      </c>
      <c r="G21" s="241">
        <f t="shared" si="0"/>
        <v>0.04518581558275265</v>
      </c>
      <c r="H21" s="289">
        <f t="shared" si="1"/>
        <v>0.9548141844172473</v>
      </c>
    </row>
    <row r="22" spans="1:8" ht="15" thickBot="1">
      <c r="A22" s="167"/>
      <c r="B22" s="168"/>
      <c r="C22" s="226"/>
      <c r="D22" s="226"/>
      <c r="E22" s="226"/>
      <c r="F22" s="166"/>
      <c r="G22" s="241"/>
      <c r="H22" s="242"/>
    </row>
    <row r="23" spans="1:8" ht="16.5" thickBot="1" thickTop="1">
      <c r="A23" s="169" t="s">
        <v>14</v>
      </c>
      <c r="B23" s="155"/>
      <c r="C23" s="223">
        <f>SUM(C10:C22)</f>
        <v>20289583.66</v>
      </c>
      <c r="D23" s="223">
        <f>SUM(D10:D22)</f>
        <v>840518.36</v>
      </c>
      <c r="E23" s="223">
        <f>SUM(E10:E22)</f>
        <v>0</v>
      </c>
      <c r="F23" s="170">
        <v>1</v>
      </c>
      <c r="G23" s="245">
        <f>+D23/C23</f>
        <v>0.041426101889761494</v>
      </c>
      <c r="H23" s="246">
        <f>1-G23</f>
        <v>0.9585738981102385</v>
      </c>
    </row>
    <row r="24" spans="1:8" ht="15" thickTop="1">
      <c r="A24" s="171"/>
      <c r="B24" s="172"/>
      <c r="C24" s="227"/>
      <c r="D24" s="227"/>
      <c r="E24" s="227"/>
      <c r="F24" s="173"/>
      <c r="G24" s="243"/>
      <c r="H24" s="244"/>
    </row>
    <row r="25" spans="1:8" ht="15">
      <c r="A25" s="19" t="s">
        <v>48</v>
      </c>
      <c r="B25" s="165">
        <f>DATE(21,7,1)</f>
        <v>7853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DATE(21,8,1)</f>
        <v>7884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DATE(21,9,1)</f>
        <v>7915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DATE(21,10,1)</f>
        <v>7945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>
      <c r="A29" s="19"/>
      <c r="B29" s="165">
        <f>DATE(21,11,1)</f>
        <v>7976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">
      <c r="A30" s="19"/>
      <c r="B30" s="165">
        <f>DATE(21,12,1)</f>
        <v>8006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9"/>
      <c r="B31" s="165">
        <f>DATE(22,1,1)</f>
        <v>8037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>
      <c r="A32" s="19"/>
      <c r="B32" s="165">
        <f>DATE(22,2,1)</f>
        <v>8068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>
      <c r="A33" s="19"/>
      <c r="B33" s="165">
        <f>DATE(22,3,1)</f>
        <v>8096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">
      <c r="A34" s="19"/>
      <c r="B34" s="165">
        <f>DATE(22,4,1)</f>
        <v>8127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>
      <c r="A35" s="19"/>
      <c r="B35" s="165">
        <f>DATE(22,5,1)</f>
        <v>8157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9"/>
      <c r="B36" s="165">
        <f>DATE(22,6,1)</f>
        <v>8188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 thickBot="1">
      <c r="A37" s="167"/>
      <c r="B37" s="165"/>
      <c r="C37" s="226"/>
      <c r="D37" s="226"/>
      <c r="E37" s="226"/>
      <c r="F37" s="166"/>
      <c r="G37" s="241"/>
      <c r="H37" s="242"/>
    </row>
    <row r="38" spans="1:8" ht="16.5" thickBot="1" thickTop="1">
      <c r="A38" s="169" t="s">
        <v>14</v>
      </c>
      <c r="B38" s="155"/>
      <c r="C38" s="223">
        <f>SUM(C25:C37)</f>
        <v>0</v>
      </c>
      <c r="D38" s="223">
        <f>SUM(D25:D37)</f>
        <v>0</v>
      </c>
      <c r="E38" s="223">
        <f>SUM(E25:E37)</f>
        <v>0</v>
      </c>
      <c r="F38" s="170">
        <v>0</v>
      </c>
      <c r="G38" s="236">
        <v>0</v>
      </c>
      <c r="H38" s="237">
        <v>0</v>
      </c>
    </row>
    <row r="39" spans="1:8" ht="15" thickTop="1">
      <c r="A39" s="171"/>
      <c r="B39" s="172"/>
      <c r="C39" s="227"/>
      <c r="D39" s="227"/>
      <c r="E39" s="227"/>
      <c r="F39" s="173"/>
      <c r="G39" s="243"/>
      <c r="H39" s="244"/>
    </row>
    <row r="40" spans="1:8" ht="15">
      <c r="A40" s="19" t="s">
        <v>62</v>
      </c>
      <c r="B40" s="165">
        <f>DATE(21,7,1)</f>
        <v>7853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9"/>
      <c r="B41" s="165">
        <f>DATE(21,8,1)</f>
        <v>7884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>
      <c r="A42" s="19"/>
      <c r="B42" s="165">
        <f>DATE(21,9,1)</f>
        <v>7915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>
      <c r="A43" s="19"/>
      <c r="B43" s="165">
        <f>DATE(21,10,1)</f>
        <v>7945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">
      <c r="A44" s="19"/>
      <c r="B44" s="165">
        <f>DATE(21,11,1)</f>
        <v>7976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">
      <c r="A45" s="19"/>
      <c r="B45" s="165">
        <f>DATE(21,12,1)</f>
        <v>8006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>
      <c r="A46" s="19"/>
      <c r="B46" s="165">
        <f>DATE(22,1,1)</f>
        <v>8037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>
      <c r="A47" s="19"/>
      <c r="B47" s="165">
        <f>DATE(22,2,1)</f>
        <v>8068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">
      <c r="A48" s="19"/>
      <c r="B48" s="165">
        <f>DATE(22,3,1)</f>
        <v>8096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">
      <c r="A49" s="19"/>
      <c r="B49" s="165">
        <f>DATE(22,4,1)</f>
        <v>8127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">
      <c r="A50" s="19"/>
      <c r="B50" s="165">
        <f>DATE(22,5,1)</f>
        <v>8157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9"/>
      <c r="B51" s="165">
        <f>DATE(22,6,1)</f>
        <v>8188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" thickBot="1">
      <c r="A52" s="167"/>
      <c r="B52" s="165"/>
      <c r="C52" s="226"/>
      <c r="D52" s="226"/>
      <c r="E52" s="226"/>
      <c r="F52" s="166"/>
      <c r="G52" s="241"/>
      <c r="H52" s="242"/>
    </row>
    <row r="53" spans="1:8" ht="16.5" thickBot="1" thickTop="1">
      <c r="A53" s="174" t="s">
        <v>14</v>
      </c>
      <c r="B53" s="175"/>
      <c r="C53" s="228">
        <f>SUM(C40:C52)</f>
        <v>0</v>
      </c>
      <c r="D53" s="228">
        <f>SUM(D40:D52)</f>
        <v>0</v>
      </c>
      <c r="E53" s="228">
        <f>SUM(E40:E52)</f>
        <v>0</v>
      </c>
      <c r="F53" s="176">
        <v>0</v>
      </c>
      <c r="G53" s="245">
        <v>0</v>
      </c>
      <c r="H53" s="246">
        <v>0</v>
      </c>
    </row>
    <row r="54" spans="1:8" ht="15" thickTop="1">
      <c r="A54" s="167"/>
      <c r="B54" s="168"/>
      <c r="C54" s="226"/>
      <c r="D54" s="226"/>
      <c r="E54" s="226"/>
      <c r="F54" s="166"/>
      <c r="G54" s="241"/>
      <c r="H54" s="242"/>
    </row>
    <row r="55" spans="1:8" ht="15">
      <c r="A55" s="177" t="s">
        <v>58</v>
      </c>
      <c r="B55" s="165">
        <f>DATE(21,7,1)</f>
        <v>7853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77"/>
      <c r="B56" s="165">
        <f>DATE(21,8,1)</f>
        <v>7884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>
      <c r="A57" s="177"/>
      <c r="B57" s="165">
        <f>DATE(21,9,1)</f>
        <v>7915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">
      <c r="A58" s="177"/>
      <c r="B58" s="165">
        <f>DATE(21,10,1)</f>
        <v>7945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>
      <c r="A59" s="177"/>
      <c r="B59" s="165">
        <f>DATE(21,11,1)</f>
        <v>7976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">
      <c r="A60" s="177"/>
      <c r="B60" s="165">
        <f>DATE(21,12,1)</f>
        <v>8006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77"/>
      <c r="B61" s="165">
        <f>DATE(22,1,1)</f>
        <v>8037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>
      <c r="A62" s="177"/>
      <c r="B62" s="165">
        <f>DATE(22,2,1)</f>
        <v>8068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">
      <c r="A63" s="177"/>
      <c r="B63" s="165">
        <f>DATE(22,3,1)</f>
        <v>8096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">
      <c r="A64" s="177"/>
      <c r="B64" s="165">
        <f>DATE(22,4,1)</f>
        <v>8127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">
      <c r="A65" s="177"/>
      <c r="B65" s="165">
        <f>DATE(22,5,1)</f>
        <v>8157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">
      <c r="A66" s="177"/>
      <c r="B66" s="165">
        <f>DATE(22,6,1)</f>
        <v>8188</v>
      </c>
      <c r="C66" s="226">
        <v>2295705.75</v>
      </c>
      <c r="D66" s="226">
        <v>88418.85</v>
      </c>
      <c r="E66" s="226">
        <v>0</v>
      </c>
      <c r="F66" s="166">
        <v>1</v>
      </c>
      <c r="G66" s="241">
        <f>+D66/C66</f>
        <v>0.03851488806873442</v>
      </c>
      <c r="H66" s="289">
        <f>1-G66</f>
        <v>0.9614851119312656</v>
      </c>
    </row>
    <row r="67" spans="1:8" ht="15" thickBot="1">
      <c r="A67" s="167"/>
      <c r="B67" s="168"/>
      <c r="C67" s="226"/>
      <c r="D67" s="226"/>
      <c r="E67" s="226"/>
      <c r="F67" s="166"/>
      <c r="G67" s="241"/>
      <c r="H67" s="242"/>
    </row>
    <row r="68" spans="1:8" ht="16.5" thickBot="1" thickTop="1">
      <c r="A68" s="174" t="s">
        <v>14</v>
      </c>
      <c r="B68" s="178"/>
      <c r="C68" s="228">
        <f>SUM(C55:C67)</f>
        <v>2295705.75</v>
      </c>
      <c r="D68" s="228">
        <f>SUM(D55:D67)</f>
        <v>88418.85</v>
      </c>
      <c r="E68" s="228">
        <f>SUM(E55:E67)</f>
        <v>0</v>
      </c>
      <c r="F68" s="176">
        <v>1</v>
      </c>
      <c r="G68" s="245">
        <f>+D68/C68</f>
        <v>0.03851488806873442</v>
      </c>
      <c r="H68" s="246">
        <f>1-G68</f>
        <v>0.9614851119312656</v>
      </c>
    </row>
    <row r="69" spans="1:8" ht="15" thickTop="1">
      <c r="A69" s="167"/>
      <c r="B69" s="168"/>
      <c r="C69" s="226"/>
      <c r="D69" s="226"/>
      <c r="E69" s="226"/>
      <c r="F69" s="166"/>
      <c r="G69" s="241"/>
      <c r="H69" s="242"/>
    </row>
    <row r="70" spans="1:8" ht="15">
      <c r="A70" s="164" t="s">
        <v>60</v>
      </c>
      <c r="B70" s="165">
        <f>DATE(21,7,1)</f>
        <v>7853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DATE(21,8,1)</f>
        <v>7884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DATE(21,9,1)</f>
        <v>7915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>
      <c r="A73" s="164"/>
      <c r="B73" s="165">
        <f>DATE(21,10,1)</f>
        <v>7945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">
      <c r="A74" s="164"/>
      <c r="B74" s="165">
        <f>DATE(21,11,1)</f>
        <v>7976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">
      <c r="A75" s="164"/>
      <c r="B75" s="165">
        <f>DATE(21,12,1)</f>
        <v>8006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DATE(22,1,1)</f>
        <v>8037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>
      <c r="A77" s="164"/>
      <c r="B77" s="165">
        <f>DATE(22,2,1)</f>
        <v>8068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">
      <c r="A78" s="164"/>
      <c r="B78" s="165">
        <f>DATE(22,3,1)</f>
        <v>8096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">
      <c r="A79" s="164"/>
      <c r="B79" s="165">
        <f>DATE(22,4,1)</f>
        <v>8127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">
      <c r="A80" s="164"/>
      <c r="B80" s="165">
        <f>DATE(22,5,1)</f>
        <v>8157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DATE(22,6,1)</f>
        <v>8188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 thickBot="1">
      <c r="A82" s="167"/>
      <c r="B82" s="165"/>
      <c r="C82" s="226"/>
      <c r="D82" s="226"/>
      <c r="E82" s="226"/>
      <c r="F82" s="166"/>
      <c r="G82" s="241"/>
      <c r="H82" s="242"/>
    </row>
    <row r="83" spans="1:8" ht="16.5" thickBot="1" thickTop="1">
      <c r="A83" s="174" t="s">
        <v>14</v>
      </c>
      <c r="B83" s="175"/>
      <c r="C83" s="228">
        <f>SUM(C70:C82)</f>
        <v>0</v>
      </c>
      <c r="D83" s="230">
        <f>SUM(D70:D82)</f>
        <v>0</v>
      </c>
      <c r="E83" s="271">
        <f>SUM(E70:E82)</f>
        <v>0</v>
      </c>
      <c r="F83" s="176">
        <v>0</v>
      </c>
      <c r="G83" s="245">
        <v>0</v>
      </c>
      <c r="H83" s="246">
        <v>0</v>
      </c>
    </row>
    <row r="84" spans="1:8" ht="15" thickTop="1">
      <c r="A84" s="167"/>
      <c r="B84" s="168"/>
      <c r="C84" s="226"/>
      <c r="D84" s="226"/>
      <c r="E84" s="226"/>
      <c r="F84" s="166"/>
      <c r="G84" s="241"/>
      <c r="H84" s="242"/>
    </row>
    <row r="85" spans="1:8" ht="15">
      <c r="A85" s="164" t="s">
        <v>64</v>
      </c>
      <c r="B85" s="165">
        <f>DATE(21,7,1)</f>
        <v>7853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">
      <c r="A86" s="164"/>
      <c r="B86" s="165">
        <f>DATE(21,8,1)</f>
        <v>7884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">
      <c r="A87" s="164"/>
      <c r="B87" s="165">
        <f>DATE(21,9,1)</f>
        <v>7915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">
      <c r="A88" s="164"/>
      <c r="B88" s="165">
        <f>DATE(21,10,1)</f>
        <v>7945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">
      <c r="A89" s="164"/>
      <c r="B89" s="165">
        <f>DATE(21,11,1)</f>
        <v>7976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">
      <c r="A90" s="164"/>
      <c r="B90" s="165">
        <f>DATE(21,12,1)</f>
        <v>8006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DATE(22,1,1)</f>
        <v>8037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DATE(22,2,1)</f>
        <v>8068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DATE(22,3,1)</f>
        <v>8096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DATE(22,4,1)</f>
        <v>8127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>
      <c r="A95" s="164"/>
      <c r="B95" s="165">
        <f>DATE(22,5,1)</f>
        <v>8157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">
      <c r="A96" s="164"/>
      <c r="B96" s="165">
        <f>DATE(22,6,1)</f>
        <v>8188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" thickBot="1">
      <c r="A97" s="167"/>
      <c r="B97" s="165"/>
      <c r="C97" s="226"/>
      <c r="D97" s="226"/>
      <c r="E97" s="226"/>
      <c r="F97" s="166"/>
      <c r="G97" s="241"/>
      <c r="H97" s="242"/>
    </row>
    <row r="98" spans="1:8" ht="16.5" thickBot="1" thickTop="1">
      <c r="A98" s="174" t="s">
        <v>14</v>
      </c>
      <c r="B98" s="175"/>
      <c r="C98" s="228">
        <f>SUM(C85:C97)</f>
        <v>0</v>
      </c>
      <c r="D98" s="230">
        <f>SUM(D85:D97)</f>
        <v>0</v>
      </c>
      <c r="E98" s="271">
        <f>SUM(E85:E97)</f>
        <v>0</v>
      </c>
      <c r="F98" s="176">
        <v>0</v>
      </c>
      <c r="G98" s="245">
        <v>0</v>
      </c>
      <c r="H98" s="246">
        <v>0</v>
      </c>
    </row>
    <row r="99" spans="1:8" ht="15" thickTop="1">
      <c r="A99" s="167"/>
      <c r="B99" s="168"/>
      <c r="C99" s="226"/>
      <c r="D99" s="226"/>
      <c r="E99" s="226"/>
      <c r="F99" s="166"/>
      <c r="G99" s="241"/>
      <c r="H99" s="242"/>
    </row>
    <row r="100" spans="1:8" ht="15">
      <c r="A100" s="164" t="s">
        <v>68</v>
      </c>
      <c r="B100" s="165">
        <f>DATE(21,7,1)</f>
        <v>7853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">
      <c r="A101" s="164"/>
      <c r="B101" s="165">
        <f>DATE(21,8,1)</f>
        <v>7884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DATE(21,9,1)</f>
        <v>7915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">
      <c r="A103" s="164"/>
      <c r="B103" s="165">
        <f>DATE(21,10,1)</f>
        <v>7945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">
      <c r="A104" s="164"/>
      <c r="B104" s="165">
        <f>DATE(21,11,1)</f>
        <v>7976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">
      <c r="A105" s="164"/>
      <c r="B105" s="165">
        <f>DATE(21,12,1)</f>
        <v>8006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">
      <c r="A106" s="164"/>
      <c r="B106" s="165">
        <f>DATE(22,1,1)</f>
        <v>8037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">
      <c r="A107" s="164"/>
      <c r="B107" s="165">
        <f>DATE(22,2,1)</f>
        <v>8068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">
      <c r="A108" s="164"/>
      <c r="B108" s="165">
        <f>DATE(22,3,1)</f>
        <v>8096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">
      <c r="A109" s="164"/>
      <c r="B109" s="165">
        <f>DATE(22,4,1)</f>
        <v>8127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">
      <c r="A110" s="164"/>
      <c r="B110" s="165">
        <f>DATE(22,5,1)</f>
        <v>8157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>
      <c r="A111" s="164"/>
      <c r="B111" s="165">
        <f>DATE(22,6,1)</f>
        <v>8188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" thickBot="1">
      <c r="A112" s="167"/>
      <c r="B112" s="165"/>
      <c r="C112" s="226"/>
      <c r="D112" s="226"/>
      <c r="E112" s="226"/>
      <c r="F112" s="166"/>
      <c r="G112" s="241"/>
      <c r="H112" s="242"/>
    </row>
    <row r="113" spans="1:8" ht="16.5" thickBot="1" thickTop="1">
      <c r="A113" s="174" t="s">
        <v>14</v>
      </c>
      <c r="B113" s="175"/>
      <c r="C113" s="228">
        <f>SUM(C100:C112)</f>
        <v>0</v>
      </c>
      <c r="D113" s="230">
        <f>SUM(D100:D112)</f>
        <v>0</v>
      </c>
      <c r="E113" s="271">
        <f>SUM(E100:E112)</f>
        <v>0</v>
      </c>
      <c r="F113" s="176">
        <v>0</v>
      </c>
      <c r="G113" s="245">
        <v>0</v>
      </c>
      <c r="H113" s="246">
        <v>0</v>
      </c>
    </row>
    <row r="114" spans="1:8" ht="15" thickTop="1">
      <c r="A114" s="167"/>
      <c r="B114" s="168"/>
      <c r="C114" s="226"/>
      <c r="D114" s="226"/>
      <c r="E114" s="226"/>
      <c r="F114" s="166"/>
      <c r="G114" s="241"/>
      <c r="H114" s="242"/>
    </row>
    <row r="115" spans="1:8" ht="15">
      <c r="A115" s="164" t="s">
        <v>70</v>
      </c>
      <c r="B115" s="165">
        <f>DATE(21,7,1)</f>
        <v>7853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">
      <c r="A116" s="164"/>
      <c r="B116" s="165">
        <f>DATE(21,8,1)</f>
        <v>7884</v>
      </c>
      <c r="C116" s="226">
        <v>0</v>
      </c>
      <c r="D116" s="226">
        <v>0</v>
      </c>
      <c r="E116" s="226">
        <v>118455</v>
      </c>
      <c r="F116" s="166">
        <v>-1</v>
      </c>
      <c r="G116" s="241">
        <v>0</v>
      </c>
      <c r="H116" s="242">
        <v>0</v>
      </c>
    </row>
    <row r="117" spans="1:8" ht="15">
      <c r="A117" s="164"/>
      <c r="B117" s="165">
        <f>DATE(21,9,1)</f>
        <v>7915</v>
      </c>
      <c r="C117" s="226">
        <v>0</v>
      </c>
      <c r="D117" s="226">
        <v>0</v>
      </c>
      <c r="E117" s="226">
        <v>106241</v>
      </c>
      <c r="F117" s="166">
        <v>-1</v>
      </c>
      <c r="G117" s="241">
        <v>0</v>
      </c>
      <c r="H117" s="242">
        <v>0</v>
      </c>
    </row>
    <row r="118" spans="1:8" ht="15">
      <c r="A118" s="164"/>
      <c r="B118" s="165">
        <f>DATE(21,10,1)</f>
        <v>7945</v>
      </c>
      <c r="C118" s="226">
        <v>0</v>
      </c>
      <c r="D118" s="226">
        <v>0</v>
      </c>
      <c r="E118" s="226">
        <v>82618</v>
      </c>
      <c r="F118" s="166">
        <v>-1</v>
      </c>
      <c r="G118" s="241">
        <v>0</v>
      </c>
      <c r="H118" s="242">
        <v>0</v>
      </c>
    </row>
    <row r="119" spans="1:8" ht="15">
      <c r="A119" s="164"/>
      <c r="B119" s="165">
        <f>DATE(21,11,1)</f>
        <v>7976</v>
      </c>
      <c r="C119" s="226">
        <v>0</v>
      </c>
      <c r="D119" s="226">
        <v>0</v>
      </c>
      <c r="E119" s="226">
        <v>81702.08</v>
      </c>
      <c r="F119" s="166">
        <v>-1</v>
      </c>
      <c r="G119" s="241">
        <v>0</v>
      </c>
      <c r="H119" s="242">
        <v>0</v>
      </c>
    </row>
    <row r="120" spans="1:8" ht="15">
      <c r="A120" s="164"/>
      <c r="B120" s="165">
        <f>DATE(21,12,1)</f>
        <v>8006</v>
      </c>
      <c r="C120" s="226">
        <v>0</v>
      </c>
      <c r="D120" s="226">
        <v>0</v>
      </c>
      <c r="E120" s="226">
        <v>84775</v>
      </c>
      <c r="F120" s="166">
        <v>-1</v>
      </c>
      <c r="G120" s="241">
        <v>0</v>
      </c>
      <c r="H120" s="242">
        <v>0</v>
      </c>
    </row>
    <row r="121" spans="1:8" ht="15">
      <c r="A121" s="164"/>
      <c r="B121" s="165">
        <f>DATE(22,1,1)</f>
        <v>8037</v>
      </c>
      <c r="C121" s="226">
        <v>0</v>
      </c>
      <c r="D121" s="226">
        <v>0</v>
      </c>
      <c r="E121" s="226">
        <v>127657</v>
      </c>
      <c r="F121" s="166">
        <v>-1</v>
      </c>
      <c r="G121" s="241">
        <v>0</v>
      </c>
      <c r="H121" s="242">
        <v>0</v>
      </c>
    </row>
    <row r="122" spans="1:8" ht="15">
      <c r="A122" s="164"/>
      <c r="B122" s="165">
        <f>DATE(22,2,1)</f>
        <v>8068</v>
      </c>
      <c r="C122" s="226">
        <v>0</v>
      </c>
      <c r="D122" s="226">
        <v>0</v>
      </c>
      <c r="E122" s="226">
        <v>94650</v>
      </c>
      <c r="F122" s="166">
        <v>-1</v>
      </c>
      <c r="G122" s="241">
        <v>0</v>
      </c>
      <c r="H122" s="242">
        <v>0</v>
      </c>
    </row>
    <row r="123" spans="1:8" ht="15">
      <c r="A123" s="164"/>
      <c r="B123" s="165">
        <f>DATE(22,3,1)</f>
        <v>8096</v>
      </c>
      <c r="C123" s="226">
        <v>0</v>
      </c>
      <c r="D123" s="226">
        <v>0</v>
      </c>
      <c r="E123" s="226">
        <v>5436.5</v>
      </c>
      <c r="F123" s="166">
        <v>-1</v>
      </c>
      <c r="G123" s="241">
        <v>0</v>
      </c>
      <c r="H123" s="242">
        <v>0</v>
      </c>
    </row>
    <row r="124" spans="1:8" ht="15">
      <c r="A124" s="164"/>
      <c r="B124" s="165">
        <f>DATE(22,4,1)</f>
        <v>8127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">
      <c r="A125" s="164"/>
      <c r="B125" s="165">
        <f>DATE(22,5,1)</f>
        <v>8157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">
      <c r="A126" s="164"/>
      <c r="B126" s="165">
        <f>DATE(22,6,1)</f>
        <v>8188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" thickBot="1">
      <c r="A127" s="167"/>
      <c r="B127" s="165"/>
      <c r="C127" s="226"/>
      <c r="D127" s="226"/>
      <c r="E127" s="226"/>
      <c r="F127" s="166"/>
      <c r="G127" s="241"/>
      <c r="H127" s="242"/>
    </row>
    <row r="128" spans="1:8" ht="16.5" thickBot="1" thickTop="1">
      <c r="A128" s="174" t="s">
        <v>14</v>
      </c>
      <c r="B128" s="175"/>
      <c r="C128" s="228">
        <f>SUM(C115:C127)</f>
        <v>0</v>
      </c>
      <c r="D128" s="230">
        <f>SUM(D115:D127)</f>
        <v>0</v>
      </c>
      <c r="E128" s="271">
        <f>SUM(E115:E127)</f>
        <v>701534.5800000001</v>
      </c>
      <c r="F128" s="176">
        <f>+(D128-E128)/E128</f>
        <v>-1</v>
      </c>
      <c r="G128" s="249">
        <v>0</v>
      </c>
      <c r="H128" s="270">
        <v>0</v>
      </c>
    </row>
    <row r="129" spans="1:8" ht="15" thickTop="1">
      <c r="A129" s="167"/>
      <c r="B129" s="179"/>
      <c r="C129" s="229"/>
      <c r="D129" s="229"/>
      <c r="E129" s="229"/>
      <c r="F129" s="180"/>
      <c r="G129" s="247"/>
      <c r="H129" s="248"/>
    </row>
    <row r="130" spans="1:8" ht="15">
      <c r="A130" s="164" t="s">
        <v>16</v>
      </c>
      <c r="B130" s="165">
        <f>DATE(21,7,1)</f>
        <v>7853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">
      <c r="A131" s="164"/>
      <c r="B131" s="165">
        <f>DATE(21,8,1)</f>
        <v>7884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">
      <c r="A132" s="164"/>
      <c r="B132" s="165">
        <f>DATE(21,9,1)</f>
        <v>7915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">
      <c r="A133" s="164"/>
      <c r="B133" s="165">
        <f>DATE(21,10,1)</f>
        <v>7945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">
      <c r="A134" s="164"/>
      <c r="B134" s="165">
        <f>DATE(21,11,1)</f>
        <v>7976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">
      <c r="A135" s="164"/>
      <c r="B135" s="165">
        <f>DATE(21,12,1)</f>
        <v>8006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">
      <c r="A136" s="164"/>
      <c r="B136" s="165">
        <f>DATE(22,1,1)</f>
        <v>8037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">
      <c r="A137" s="164"/>
      <c r="B137" s="165">
        <f>DATE(22,2,1)</f>
        <v>8068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">
      <c r="A138" s="164"/>
      <c r="B138" s="165">
        <f>DATE(22,3,1)</f>
        <v>8096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">
      <c r="A139" s="164"/>
      <c r="B139" s="165">
        <f>DATE(22,4,1)</f>
        <v>8127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">
      <c r="A140" s="164"/>
      <c r="B140" s="165">
        <f>DATE(22,5,1)</f>
        <v>8157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">
      <c r="A141" s="164"/>
      <c r="B141" s="165">
        <f>DATE(22,6,1)</f>
        <v>8188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thickBot="1">
      <c r="A142" s="164"/>
      <c r="B142" s="165"/>
      <c r="C142" s="226"/>
      <c r="D142" s="226"/>
      <c r="E142" s="226"/>
      <c r="F142" s="166"/>
      <c r="G142" s="241"/>
      <c r="H142" s="242"/>
    </row>
    <row r="143" spans="1:8" ht="16.5" thickBot="1" thickTop="1">
      <c r="A143" s="174" t="s">
        <v>14</v>
      </c>
      <c r="B143" s="181"/>
      <c r="C143" s="228">
        <f>SUM(C130:C142)</f>
        <v>0</v>
      </c>
      <c r="D143" s="228">
        <f>SUM(D130:D142)</f>
        <v>0</v>
      </c>
      <c r="E143" s="228">
        <f>SUM(E130:E142)</f>
        <v>0</v>
      </c>
      <c r="F143" s="176">
        <v>0</v>
      </c>
      <c r="G143" s="245">
        <v>0</v>
      </c>
      <c r="H143" s="246">
        <v>0</v>
      </c>
    </row>
    <row r="144" spans="1:8" ht="15" thickTop="1">
      <c r="A144" s="171"/>
      <c r="B144" s="172"/>
      <c r="C144" s="227"/>
      <c r="D144" s="227"/>
      <c r="E144" s="227"/>
      <c r="F144" s="173"/>
      <c r="G144" s="243"/>
      <c r="H144" s="244"/>
    </row>
    <row r="145" spans="1:8" ht="15">
      <c r="A145" s="164" t="s">
        <v>53</v>
      </c>
      <c r="B145" s="165">
        <f>DATE(21,7,1)</f>
        <v>7853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">
      <c r="A146" s="164"/>
      <c r="B146" s="165">
        <f>DATE(21,8,1)</f>
        <v>7884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">
      <c r="A147" s="164"/>
      <c r="B147" s="165">
        <f>DATE(21,9,1)</f>
        <v>7915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">
      <c r="A148" s="164"/>
      <c r="B148" s="165">
        <f>DATE(21,10,1)</f>
        <v>7945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">
      <c r="A149" s="164"/>
      <c r="B149" s="165">
        <f>DATE(21,11,1)</f>
        <v>7976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">
      <c r="A150" s="164"/>
      <c r="B150" s="165">
        <f>DATE(21,12,1)</f>
        <v>8006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">
      <c r="A151" s="164"/>
      <c r="B151" s="165">
        <f>DATE(22,1,1)</f>
        <v>8037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">
      <c r="A152" s="164"/>
      <c r="B152" s="165">
        <f>DATE(22,2,1)</f>
        <v>8068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">
      <c r="A153" s="164"/>
      <c r="B153" s="165">
        <f>DATE(22,3,1)</f>
        <v>8096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">
      <c r="A154" s="164"/>
      <c r="B154" s="165">
        <f>DATE(22,4,1)</f>
        <v>8127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">
      <c r="A155" s="164"/>
      <c r="B155" s="165">
        <f>DATE(22,5,1)</f>
        <v>8157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">
      <c r="A156" s="164"/>
      <c r="B156" s="165">
        <f>DATE(22,6,1)</f>
        <v>8188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" thickBot="1">
      <c r="A157" s="167"/>
      <c r="B157" s="168"/>
      <c r="C157" s="226"/>
      <c r="D157" s="226"/>
      <c r="E157" s="226"/>
      <c r="F157" s="166"/>
      <c r="G157" s="241"/>
      <c r="H157" s="242"/>
    </row>
    <row r="158" spans="1:8" ht="16.5" thickBot="1" thickTop="1">
      <c r="A158" s="174" t="s">
        <v>14</v>
      </c>
      <c r="B158" s="175"/>
      <c r="C158" s="228">
        <f>SUM(C145:C157)</f>
        <v>0</v>
      </c>
      <c r="D158" s="228">
        <f>SUM(D145:D157)</f>
        <v>0</v>
      </c>
      <c r="E158" s="228">
        <f>SUM(E145:E157)</f>
        <v>0</v>
      </c>
      <c r="F158" s="176">
        <v>0</v>
      </c>
      <c r="G158" s="245">
        <v>0</v>
      </c>
      <c r="H158" s="246">
        <v>0</v>
      </c>
    </row>
    <row r="159" spans="1:8" ht="15" thickTop="1">
      <c r="A159" s="167"/>
      <c r="B159" s="168"/>
      <c r="C159" s="226"/>
      <c r="D159" s="226"/>
      <c r="E159" s="226"/>
      <c r="F159" s="166"/>
      <c r="G159" s="241"/>
      <c r="H159" s="242"/>
    </row>
    <row r="160" spans="1:8" ht="15">
      <c r="A160" s="164" t="s">
        <v>54</v>
      </c>
      <c r="B160" s="165">
        <f>DATE(21,7,1)</f>
        <v>7853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">
      <c r="A161" s="164"/>
      <c r="B161" s="165">
        <f>DATE(21,8,1)</f>
        <v>7884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">
      <c r="A162" s="164"/>
      <c r="B162" s="165">
        <f>DATE(21,9,1)</f>
        <v>7915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">
      <c r="A163" s="164"/>
      <c r="B163" s="165">
        <f>DATE(21,10,1)</f>
        <v>7945</v>
      </c>
      <c r="C163" s="226">
        <v>0</v>
      </c>
      <c r="D163" s="226">
        <v>0</v>
      </c>
      <c r="E163" s="226">
        <v>0</v>
      </c>
      <c r="F163" s="166">
        <v>0</v>
      </c>
      <c r="G163" s="241">
        <v>0</v>
      </c>
      <c r="H163" s="242">
        <v>0</v>
      </c>
    </row>
    <row r="164" spans="1:8" ht="15">
      <c r="A164" s="164"/>
      <c r="B164" s="165">
        <f>DATE(21,11,1)</f>
        <v>7976</v>
      </c>
      <c r="C164" s="226">
        <v>0</v>
      </c>
      <c r="D164" s="226">
        <v>0</v>
      </c>
      <c r="E164" s="226">
        <v>0</v>
      </c>
      <c r="F164" s="166">
        <v>0</v>
      </c>
      <c r="G164" s="241">
        <v>0</v>
      </c>
      <c r="H164" s="242">
        <v>0</v>
      </c>
    </row>
    <row r="165" spans="1:8" ht="15">
      <c r="A165" s="164"/>
      <c r="B165" s="165">
        <f>DATE(21,12,1)</f>
        <v>8006</v>
      </c>
      <c r="C165" s="226">
        <v>0</v>
      </c>
      <c r="D165" s="226">
        <v>0</v>
      </c>
      <c r="E165" s="226">
        <v>0</v>
      </c>
      <c r="F165" s="166">
        <v>0</v>
      </c>
      <c r="G165" s="241">
        <v>0</v>
      </c>
      <c r="H165" s="242">
        <v>0</v>
      </c>
    </row>
    <row r="166" spans="1:8" ht="15">
      <c r="A166" s="164"/>
      <c r="B166" s="165">
        <f>DATE(22,1,1)</f>
        <v>8037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">
      <c r="A167" s="164"/>
      <c r="B167" s="165">
        <f>DATE(22,2,1)</f>
        <v>8068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">
      <c r="A168" s="164"/>
      <c r="B168" s="165">
        <f>DATE(22,3,1)</f>
        <v>8096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">
      <c r="A169" s="164"/>
      <c r="B169" s="165">
        <f>DATE(22,4,1)</f>
        <v>8127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">
      <c r="A170" s="164"/>
      <c r="B170" s="165">
        <f>DATE(22,5,1)</f>
        <v>8157</v>
      </c>
      <c r="C170" s="226">
        <v>0</v>
      </c>
      <c r="D170" s="226">
        <v>0</v>
      </c>
      <c r="E170" s="226">
        <v>0</v>
      </c>
      <c r="F170" s="166">
        <v>0</v>
      </c>
      <c r="G170" s="241">
        <v>0</v>
      </c>
      <c r="H170" s="242">
        <v>0</v>
      </c>
    </row>
    <row r="171" spans="1:8" ht="15">
      <c r="A171" s="164"/>
      <c r="B171" s="165">
        <f>DATE(22,6,1)</f>
        <v>8188</v>
      </c>
      <c r="C171" s="226">
        <v>0</v>
      </c>
      <c r="D171" s="226">
        <v>0</v>
      </c>
      <c r="E171" s="226">
        <v>0</v>
      </c>
      <c r="F171" s="166">
        <v>0</v>
      </c>
      <c r="G171" s="241">
        <v>0</v>
      </c>
      <c r="H171" s="242">
        <v>0</v>
      </c>
    </row>
    <row r="172" spans="1:8" ht="15" thickBot="1">
      <c r="A172" s="167"/>
      <c r="B172" s="168"/>
      <c r="C172" s="226"/>
      <c r="D172" s="226"/>
      <c r="E172" s="226"/>
      <c r="F172" s="166"/>
      <c r="G172" s="241"/>
      <c r="H172" s="242"/>
    </row>
    <row r="173" spans="1:8" ht="16.5" thickBot="1" thickTop="1">
      <c r="A173" s="182" t="s">
        <v>14</v>
      </c>
      <c r="B173" s="183"/>
      <c r="C173" s="230">
        <f>SUM(C160:C172)</f>
        <v>0</v>
      </c>
      <c r="D173" s="230">
        <f>SUM(D160:D172)</f>
        <v>0</v>
      </c>
      <c r="E173" s="230">
        <f>SUM(E160:E172)</f>
        <v>0</v>
      </c>
      <c r="F173" s="176">
        <v>0</v>
      </c>
      <c r="G173" s="245">
        <v>0</v>
      </c>
      <c r="H173" s="246">
        <v>0</v>
      </c>
    </row>
    <row r="174" spans="1:8" ht="15" thickTop="1">
      <c r="A174" s="167"/>
      <c r="B174" s="168"/>
      <c r="C174" s="226"/>
      <c r="D174" s="226"/>
      <c r="E174" s="226"/>
      <c r="F174" s="166"/>
      <c r="G174" s="241"/>
      <c r="H174" s="242"/>
    </row>
    <row r="175" spans="1:8" ht="15">
      <c r="A175" s="164" t="s">
        <v>37</v>
      </c>
      <c r="B175" s="165">
        <f>DATE(21,7,1)</f>
        <v>7853</v>
      </c>
      <c r="C175" s="226">
        <v>4521310.28</v>
      </c>
      <c r="D175" s="226">
        <v>209181.95</v>
      </c>
      <c r="E175" s="226">
        <v>0</v>
      </c>
      <c r="F175" s="166">
        <v>1</v>
      </c>
      <c r="G175" s="241">
        <f aca="true" t="shared" si="2" ref="G175:G186">+D175/C175</f>
        <v>0.04626578072407807</v>
      </c>
      <c r="H175" s="289">
        <f aca="true" t="shared" si="3" ref="H175:H186">1-G175</f>
        <v>0.953734219275922</v>
      </c>
    </row>
    <row r="176" spans="1:8" ht="15">
      <c r="A176" s="164"/>
      <c r="B176" s="165">
        <f>DATE(21,8,1)</f>
        <v>7884</v>
      </c>
      <c r="C176" s="226">
        <v>3704866.99</v>
      </c>
      <c r="D176" s="226">
        <v>126701.54</v>
      </c>
      <c r="E176" s="226">
        <v>0</v>
      </c>
      <c r="F176" s="166">
        <v>1</v>
      </c>
      <c r="G176" s="241">
        <f t="shared" si="2"/>
        <v>0.034198674430684486</v>
      </c>
      <c r="H176" s="289">
        <f t="shared" si="3"/>
        <v>0.9658013255693155</v>
      </c>
    </row>
    <row r="177" spans="1:8" ht="15">
      <c r="A177" s="164"/>
      <c r="B177" s="165">
        <f>DATE(21,9,1)</f>
        <v>7915</v>
      </c>
      <c r="C177" s="226">
        <v>3225792.95</v>
      </c>
      <c r="D177" s="226">
        <v>145306.89</v>
      </c>
      <c r="E177" s="226">
        <v>0</v>
      </c>
      <c r="F177" s="166">
        <v>1</v>
      </c>
      <c r="G177" s="241">
        <f t="shared" si="2"/>
        <v>0.045045324437205436</v>
      </c>
      <c r="H177" s="289">
        <f t="shared" si="3"/>
        <v>0.9549546755627946</v>
      </c>
    </row>
    <row r="178" spans="1:8" ht="15">
      <c r="A178" s="164"/>
      <c r="B178" s="165">
        <f>DATE(21,10,1)</f>
        <v>7945</v>
      </c>
      <c r="C178" s="226">
        <v>4369745.44</v>
      </c>
      <c r="D178" s="226">
        <v>179665.17</v>
      </c>
      <c r="E178" s="226">
        <v>0</v>
      </c>
      <c r="F178" s="166">
        <v>1</v>
      </c>
      <c r="G178" s="241">
        <f t="shared" si="2"/>
        <v>0.04111570627326978</v>
      </c>
      <c r="H178" s="289">
        <f t="shared" si="3"/>
        <v>0.9588842937267302</v>
      </c>
    </row>
    <row r="179" spans="1:8" ht="15">
      <c r="A179" s="164"/>
      <c r="B179" s="165">
        <f>DATE(21,11,1)</f>
        <v>7976</v>
      </c>
      <c r="C179" s="226">
        <v>5826637.73</v>
      </c>
      <c r="D179" s="226">
        <v>200635.43</v>
      </c>
      <c r="E179" s="226">
        <v>0</v>
      </c>
      <c r="F179" s="166">
        <v>1</v>
      </c>
      <c r="G179" s="241">
        <f t="shared" si="2"/>
        <v>0.03443416929234761</v>
      </c>
      <c r="H179" s="289">
        <f t="shared" si="3"/>
        <v>0.9655658307076523</v>
      </c>
    </row>
    <row r="180" spans="1:8" ht="15">
      <c r="A180" s="164"/>
      <c r="B180" s="165">
        <f>DATE(21,12,1)</f>
        <v>8006</v>
      </c>
      <c r="C180" s="226">
        <v>6300712.05</v>
      </c>
      <c r="D180" s="226">
        <v>258639.24</v>
      </c>
      <c r="E180" s="226">
        <v>0</v>
      </c>
      <c r="F180" s="166">
        <v>1</v>
      </c>
      <c r="G180" s="241">
        <f t="shared" si="2"/>
        <v>0.04104920808117235</v>
      </c>
      <c r="H180" s="289">
        <f t="shared" si="3"/>
        <v>0.9589507919188276</v>
      </c>
    </row>
    <row r="181" spans="1:8" ht="15">
      <c r="A181" s="164"/>
      <c r="B181" s="165">
        <f>DATE(22,1,1)</f>
        <v>8037</v>
      </c>
      <c r="C181" s="226">
        <v>6265473.48</v>
      </c>
      <c r="D181" s="226">
        <v>255321.86</v>
      </c>
      <c r="E181" s="226">
        <v>13801.5</v>
      </c>
      <c r="F181" s="166">
        <f>+(D181-E181)/E181</f>
        <v>17.499573234793317</v>
      </c>
      <c r="G181" s="241">
        <f t="shared" si="2"/>
        <v>0.04075060900265753</v>
      </c>
      <c r="H181" s="289">
        <f t="shared" si="3"/>
        <v>0.9592493909973425</v>
      </c>
    </row>
    <row r="182" spans="1:8" ht="15">
      <c r="A182" s="164"/>
      <c r="B182" s="165">
        <f>DATE(22,2,1)</f>
        <v>8068</v>
      </c>
      <c r="C182" s="226">
        <v>5041575</v>
      </c>
      <c r="D182" s="226">
        <v>283659.46</v>
      </c>
      <c r="E182" s="226">
        <v>31538.07</v>
      </c>
      <c r="F182" s="166">
        <f>+(D182-E182)/E182</f>
        <v>7.994192098628737</v>
      </c>
      <c r="G182" s="241">
        <f t="shared" si="2"/>
        <v>0.05626405637127287</v>
      </c>
      <c r="H182" s="289">
        <f t="shared" si="3"/>
        <v>0.9437359436287271</v>
      </c>
    </row>
    <row r="183" spans="1:8" ht="15">
      <c r="A183" s="164"/>
      <c r="B183" s="165">
        <f>DATE(22,3,1)</f>
        <v>8096</v>
      </c>
      <c r="C183" s="226">
        <v>5160278.99</v>
      </c>
      <c r="D183" s="226">
        <v>172733.04</v>
      </c>
      <c r="E183" s="226">
        <v>34334.9</v>
      </c>
      <c r="F183" s="166">
        <f>+(D183-E183)/E183</f>
        <v>4.030829855336698</v>
      </c>
      <c r="G183" s="241">
        <f t="shared" si="2"/>
        <v>0.03347358550472481</v>
      </c>
      <c r="H183" s="289">
        <f t="shared" si="3"/>
        <v>0.9665264144952752</v>
      </c>
    </row>
    <row r="184" spans="1:8" ht="15">
      <c r="A184" s="164"/>
      <c r="B184" s="165">
        <f>DATE(22,4,1)</f>
        <v>8127</v>
      </c>
      <c r="C184" s="226">
        <v>5136345.5</v>
      </c>
      <c r="D184" s="226">
        <v>178952.38</v>
      </c>
      <c r="E184" s="226">
        <v>43135.11</v>
      </c>
      <c r="F184" s="166">
        <f>+(D184-E184)/E184</f>
        <v>3.148647818447664</v>
      </c>
      <c r="G184" s="241">
        <f t="shared" si="2"/>
        <v>0.03484040939224201</v>
      </c>
      <c r="H184" s="289">
        <f t="shared" si="3"/>
        <v>0.965159590607758</v>
      </c>
    </row>
    <row r="185" spans="1:8" ht="15">
      <c r="A185" s="164"/>
      <c r="B185" s="165">
        <f>DATE(22,5,1)</f>
        <v>8157</v>
      </c>
      <c r="C185" s="226">
        <v>4676335.38</v>
      </c>
      <c r="D185" s="226">
        <v>248111.88</v>
      </c>
      <c r="E185" s="226">
        <v>69986.59</v>
      </c>
      <c r="F185" s="166">
        <f>+(D185-E185)/E185</f>
        <v>2.5451345750664522</v>
      </c>
      <c r="G185" s="241">
        <f t="shared" si="2"/>
        <v>0.05305690457128847</v>
      </c>
      <c r="H185" s="289">
        <f t="shared" si="3"/>
        <v>0.9469430954287116</v>
      </c>
    </row>
    <row r="186" spans="1:8" ht="15">
      <c r="A186" s="164"/>
      <c r="B186" s="165">
        <f>DATE(22,6,1)</f>
        <v>8188</v>
      </c>
      <c r="C186" s="226">
        <v>4029337.78</v>
      </c>
      <c r="D186" s="226">
        <v>183601.17</v>
      </c>
      <c r="E186" s="226">
        <v>180777.15</v>
      </c>
      <c r="F186" s="166">
        <f>+(D186-E186)/E186</f>
        <v>0.01562155394086044</v>
      </c>
      <c r="G186" s="241">
        <f t="shared" si="2"/>
        <v>0.04556609051525087</v>
      </c>
      <c r="H186" s="289">
        <f t="shared" si="3"/>
        <v>0.9544339094847492</v>
      </c>
    </row>
    <row r="187" spans="1:8" ht="15" thickBot="1">
      <c r="A187" s="167"/>
      <c r="B187" s="168"/>
      <c r="C187" s="226"/>
      <c r="D187" s="226"/>
      <c r="E187" s="226"/>
      <c r="F187" s="166"/>
      <c r="G187" s="241"/>
      <c r="H187" s="242"/>
    </row>
    <row r="188" spans="1:8" ht="16.5" thickBot="1" thickTop="1">
      <c r="A188" s="174" t="s">
        <v>14</v>
      </c>
      <c r="B188" s="175"/>
      <c r="C188" s="228">
        <f>SUM(C175:C187)</f>
        <v>58258411.57000001</v>
      </c>
      <c r="D188" s="228">
        <f>SUM(D175:D187)</f>
        <v>2442510.01</v>
      </c>
      <c r="E188" s="228">
        <f>SUM(E175:E187)</f>
        <v>373573.31999999995</v>
      </c>
      <c r="F188" s="176">
        <v>1</v>
      </c>
      <c r="G188" s="245">
        <f>+D188/C188</f>
        <v>0.04192544808856002</v>
      </c>
      <c r="H188" s="246">
        <f>1-G188</f>
        <v>0.95807455191144</v>
      </c>
    </row>
    <row r="189" spans="1:8" ht="15" thickTop="1">
      <c r="A189" s="167"/>
      <c r="B189" s="168"/>
      <c r="C189" s="226"/>
      <c r="D189" s="226"/>
      <c r="E189" s="226"/>
      <c r="F189" s="166"/>
      <c r="G189" s="241"/>
      <c r="H189" s="242"/>
    </row>
    <row r="190" spans="1:8" ht="15">
      <c r="A190" s="164" t="s">
        <v>57</v>
      </c>
      <c r="B190" s="165">
        <f>DATE(21,7,1)</f>
        <v>7853</v>
      </c>
      <c r="C190" s="226">
        <v>0</v>
      </c>
      <c r="D190" s="226">
        <v>0</v>
      </c>
      <c r="E190" s="226">
        <v>0</v>
      </c>
      <c r="F190" s="166">
        <v>0</v>
      </c>
      <c r="G190" s="241">
        <v>0</v>
      </c>
      <c r="H190" s="242">
        <v>0</v>
      </c>
    </row>
    <row r="191" spans="1:8" ht="15">
      <c r="A191" s="164"/>
      <c r="B191" s="165">
        <f>DATE(21,8,1)</f>
        <v>7884</v>
      </c>
      <c r="C191" s="226">
        <v>0</v>
      </c>
      <c r="D191" s="226">
        <v>0</v>
      </c>
      <c r="E191" s="226">
        <v>0</v>
      </c>
      <c r="F191" s="166">
        <v>0</v>
      </c>
      <c r="G191" s="241">
        <v>0</v>
      </c>
      <c r="H191" s="242">
        <v>0</v>
      </c>
    </row>
    <row r="192" spans="1:8" ht="15">
      <c r="A192" s="164"/>
      <c r="B192" s="165">
        <f>DATE(21,9,1)</f>
        <v>7915</v>
      </c>
      <c r="C192" s="226">
        <v>0</v>
      </c>
      <c r="D192" s="226">
        <v>0</v>
      </c>
      <c r="E192" s="226">
        <v>0</v>
      </c>
      <c r="F192" s="166">
        <v>0</v>
      </c>
      <c r="G192" s="241">
        <v>0</v>
      </c>
      <c r="H192" s="242">
        <v>0</v>
      </c>
    </row>
    <row r="193" spans="1:8" ht="15">
      <c r="A193" s="164"/>
      <c r="B193" s="165">
        <f>DATE(21,10,1)</f>
        <v>7945</v>
      </c>
      <c r="C193" s="226">
        <v>0</v>
      </c>
      <c r="D193" s="226">
        <v>0</v>
      </c>
      <c r="E193" s="226">
        <v>0</v>
      </c>
      <c r="F193" s="166">
        <v>0</v>
      </c>
      <c r="G193" s="241">
        <v>0</v>
      </c>
      <c r="H193" s="242">
        <v>0</v>
      </c>
    </row>
    <row r="194" spans="1:8" ht="15">
      <c r="A194" s="164"/>
      <c r="B194" s="165">
        <f>DATE(21,11,1)</f>
        <v>7976</v>
      </c>
      <c r="C194" s="226">
        <v>0</v>
      </c>
      <c r="D194" s="226">
        <v>0</v>
      </c>
      <c r="E194" s="226">
        <v>0</v>
      </c>
      <c r="F194" s="166">
        <v>0</v>
      </c>
      <c r="G194" s="241">
        <v>0</v>
      </c>
      <c r="H194" s="242">
        <v>0</v>
      </c>
    </row>
    <row r="195" spans="1:8" ht="15">
      <c r="A195" s="164"/>
      <c r="B195" s="165">
        <f>DATE(21,12,1)</f>
        <v>8006</v>
      </c>
      <c r="C195" s="226">
        <v>0</v>
      </c>
      <c r="D195" s="226">
        <v>0</v>
      </c>
      <c r="E195" s="226">
        <v>0</v>
      </c>
      <c r="F195" s="166">
        <v>0</v>
      </c>
      <c r="G195" s="241">
        <v>0</v>
      </c>
      <c r="H195" s="242">
        <v>0</v>
      </c>
    </row>
    <row r="196" spans="1:8" ht="15">
      <c r="A196" s="164"/>
      <c r="B196" s="165">
        <f>DATE(22,1,1)</f>
        <v>8037</v>
      </c>
      <c r="C196" s="226">
        <v>0</v>
      </c>
      <c r="D196" s="226">
        <v>0</v>
      </c>
      <c r="E196" s="226">
        <v>0</v>
      </c>
      <c r="F196" s="166">
        <v>0</v>
      </c>
      <c r="G196" s="241">
        <v>0</v>
      </c>
      <c r="H196" s="242">
        <v>0</v>
      </c>
    </row>
    <row r="197" spans="1:8" ht="15">
      <c r="A197" s="164"/>
      <c r="B197" s="165">
        <f>DATE(22,2,1)</f>
        <v>8068</v>
      </c>
      <c r="C197" s="226">
        <v>0</v>
      </c>
      <c r="D197" s="226">
        <v>0</v>
      </c>
      <c r="E197" s="226">
        <v>0</v>
      </c>
      <c r="F197" s="166">
        <v>0</v>
      </c>
      <c r="G197" s="241">
        <v>0</v>
      </c>
      <c r="H197" s="242">
        <v>0</v>
      </c>
    </row>
    <row r="198" spans="1:8" ht="15">
      <c r="A198" s="164"/>
      <c r="B198" s="165">
        <f>DATE(22,3,1)</f>
        <v>8096</v>
      </c>
      <c r="C198" s="226">
        <v>0</v>
      </c>
      <c r="D198" s="226">
        <v>0</v>
      </c>
      <c r="E198" s="226">
        <v>0</v>
      </c>
      <c r="F198" s="166">
        <v>0</v>
      </c>
      <c r="G198" s="241">
        <v>0</v>
      </c>
      <c r="H198" s="242">
        <v>0</v>
      </c>
    </row>
    <row r="199" spans="1:8" ht="15">
      <c r="A199" s="164"/>
      <c r="B199" s="165">
        <f>DATE(22,4,1)</f>
        <v>8127</v>
      </c>
      <c r="C199" s="226">
        <v>0</v>
      </c>
      <c r="D199" s="226">
        <v>0</v>
      </c>
      <c r="E199" s="226">
        <v>0</v>
      </c>
      <c r="F199" s="166">
        <v>0</v>
      </c>
      <c r="G199" s="241">
        <v>0</v>
      </c>
      <c r="H199" s="242">
        <v>0</v>
      </c>
    </row>
    <row r="200" spans="1:8" ht="15">
      <c r="A200" s="164"/>
      <c r="B200" s="165">
        <f>DATE(22,5,1)</f>
        <v>8157</v>
      </c>
      <c r="C200" s="226">
        <v>0</v>
      </c>
      <c r="D200" s="226">
        <v>0</v>
      </c>
      <c r="E200" s="226">
        <v>0</v>
      </c>
      <c r="F200" s="166">
        <v>0</v>
      </c>
      <c r="G200" s="241">
        <v>0</v>
      </c>
      <c r="H200" s="242">
        <v>0</v>
      </c>
    </row>
    <row r="201" spans="1:8" ht="15">
      <c r="A201" s="164"/>
      <c r="B201" s="165">
        <f>DATE(22,6,1)</f>
        <v>8188</v>
      </c>
      <c r="C201" s="226">
        <v>0</v>
      </c>
      <c r="D201" s="226">
        <v>0</v>
      </c>
      <c r="E201" s="226">
        <v>0</v>
      </c>
      <c r="F201" s="166">
        <v>0</v>
      </c>
      <c r="G201" s="241">
        <v>0</v>
      </c>
      <c r="H201" s="242">
        <v>0</v>
      </c>
    </row>
    <row r="202" spans="1:8" ht="15" thickBot="1">
      <c r="A202" s="167"/>
      <c r="B202" s="168"/>
      <c r="C202" s="226"/>
      <c r="D202" s="226"/>
      <c r="E202" s="226"/>
      <c r="F202" s="166"/>
      <c r="G202" s="241"/>
      <c r="H202" s="242"/>
    </row>
    <row r="203" spans="1:8" ht="16.5" thickBot="1" thickTop="1">
      <c r="A203" s="169" t="s">
        <v>14</v>
      </c>
      <c r="B203" s="155"/>
      <c r="C203" s="223">
        <f>SUM(C190:C202)</f>
        <v>0</v>
      </c>
      <c r="D203" s="223">
        <f>SUM(D190:D202)</f>
        <v>0</v>
      </c>
      <c r="E203" s="223">
        <f>SUM(E190:E202)</f>
        <v>0</v>
      </c>
      <c r="F203" s="176">
        <v>0</v>
      </c>
      <c r="G203" s="245">
        <v>0</v>
      </c>
      <c r="H203" s="246">
        <v>0</v>
      </c>
    </row>
    <row r="204" spans="1:8" ht="15.75" thickBot="1" thickTop="1">
      <c r="A204" s="171"/>
      <c r="B204" s="172"/>
      <c r="C204" s="227"/>
      <c r="D204" s="227"/>
      <c r="E204" s="227"/>
      <c r="F204" s="173"/>
      <c r="G204" s="243"/>
      <c r="H204" s="244"/>
    </row>
    <row r="205" spans="1:8" ht="16.5" thickBot="1" thickTop="1">
      <c r="A205" s="184" t="s">
        <v>38</v>
      </c>
      <c r="B205" s="155"/>
      <c r="C205" s="223">
        <f>C203+C188+C143+C113+C83+C53+C23+C68+C173+C38+C128+C158+C98</f>
        <v>80843700.98</v>
      </c>
      <c r="D205" s="223">
        <f>D203+D188+D143+D113+D83+D53+D23+D68+D173+D38+D128+D158+D98</f>
        <v>3371447.2199999997</v>
      </c>
      <c r="E205" s="223">
        <f>E203+E188+E143+E113+E83+E53+E23+E68+E173+E38+E128+E158+E98</f>
        <v>1075107.9</v>
      </c>
      <c r="F205" s="176">
        <f>+(D205-E205)/E205</f>
        <v>2.135915213719479</v>
      </c>
      <c r="G205" s="236">
        <f>D205/C205</f>
        <v>0.04170327655872738</v>
      </c>
      <c r="H205" s="237">
        <f>1-G205</f>
        <v>0.9582967234412726</v>
      </c>
    </row>
    <row r="206" spans="1:8" ht="16.5" thickBot="1" thickTop="1">
      <c r="A206" s="184"/>
      <c r="B206" s="155"/>
      <c r="C206" s="223"/>
      <c r="D206" s="223"/>
      <c r="E206" s="223"/>
      <c r="F206" s="170"/>
      <c r="G206" s="236"/>
      <c r="H206" s="237"/>
    </row>
    <row r="207" spans="1:8" ht="16.5" thickBot="1" thickTop="1">
      <c r="A207" s="184" t="s">
        <v>39</v>
      </c>
      <c r="B207" s="155"/>
      <c r="C207" s="223">
        <f>SUM(C21+C36+C51+C66+C81+C96+C111+C126+C141+C156+C171+C186+C201)</f>
        <v>8720627.6</v>
      </c>
      <c r="D207" s="223">
        <f>SUM(D21+D36+D51+D66+D81+D96+D111+D126+D141+D156+D171+D186+D201)</f>
        <v>380266.44000000006</v>
      </c>
      <c r="E207" s="223">
        <f>SUM(E21+E36+E51+E66+E81+E96+E111+E126+E141+E156+E171+E186+E201)</f>
        <v>180777.15</v>
      </c>
      <c r="F207" s="176">
        <f>+(D207-E207)/E207</f>
        <v>1.1035094313634222</v>
      </c>
      <c r="G207" s="236">
        <f>D207/C207</f>
        <v>0.04360539830871806</v>
      </c>
      <c r="H207" s="246">
        <f>1-G207</f>
        <v>0.956394601691282</v>
      </c>
    </row>
    <row r="208" spans="1:8" ht="15.75" thickTop="1">
      <c r="A208" s="185"/>
      <c r="B208" s="186"/>
      <c r="C208" s="231"/>
      <c r="D208" s="231"/>
      <c r="E208" s="231"/>
      <c r="F208" s="187"/>
      <c r="G208" s="250"/>
      <c r="H208" s="250"/>
    </row>
    <row r="209" spans="1:8" ht="17.25">
      <c r="A209" s="188" t="s">
        <v>49</v>
      </c>
      <c r="B209" s="189"/>
      <c r="C209" s="232"/>
      <c r="D209" s="232"/>
      <c r="E209" s="232"/>
      <c r="F209" s="190"/>
      <c r="G209" s="251"/>
      <c r="H209" s="251"/>
    </row>
    <row r="210" spans="1:8" ht="15">
      <c r="A210" s="191"/>
      <c r="B210" s="189"/>
      <c r="C210" s="232"/>
      <c r="D210" s="232"/>
      <c r="E210" s="232"/>
      <c r="F210" s="190"/>
      <c r="G210" s="257"/>
      <c r="H210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4" manualBreakCount="4">
    <brk id="53" max="255" man="1"/>
    <brk id="98" max="255" man="1"/>
    <brk id="143" max="255" man="1"/>
    <brk id="1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DATE(21,7,1)</f>
        <v>7853</v>
      </c>
      <c r="C10" s="226">
        <v>137710679.78</v>
      </c>
      <c r="D10" s="226">
        <v>13537622.55</v>
      </c>
      <c r="E10" s="226">
        <v>11655862.98</v>
      </c>
      <c r="F10" s="166">
        <f aca="true" t="shared" si="0" ref="F10:F21">(+D10-E10)/E10</f>
        <v>0.16144317870147099</v>
      </c>
      <c r="G10" s="241">
        <f aca="true" t="shared" si="1" ref="G10:G21">D10/C10</f>
        <v>0.09830481246354357</v>
      </c>
      <c r="H10" s="242">
        <f aca="true" t="shared" si="2" ref="H10:H21">1-G10</f>
        <v>0.9016951875364564</v>
      </c>
      <c r="I10" s="157"/>
    </row>
    <row r="11" spans="1:9" ht="15">
      <c r="A11" s="164"/>
      <c r="B11" s="165">
        <f>DATE(21,8,1)</f>
        <v>7884</v>
      </c>
      <c r="C11" s="226">
        <v>128391630.95</v>
      </c>
      <c r="D11" s="226">
        <v>12571995.62</v>
      </c>
      <c r="E11" s="226">
        <v>11056944.54</v>
      </c>
      <c r="F11" s="166">
        <f t="shared" si="0"/>
        <v>0.1370225811044902</v>
      </c>
      <c r="G11" s="241">
        <f t="shared" si="1"/>
        <v>0.09791912079453181</v>
      </c>
      <c r="H11" s="242">
        <f t="shared" si="2"/>
        <v>0.9020808792054682</v>
      </c>
      <c r="I11" s="157"/>
    </row>
    <row r="12" spans="1:9" ht="15">
      <c r="A12" s="164"/>
      <c r="B12" s="165">
        <f>DATE(21,9,1)</f>
        <v>7915</v>
      </c>
      <c r="C12" s="226">
        <v>124375181.01</v>
      </c>
      <c r="D12" s="226">
        <v>11932276.22</v>
      </c>
      <c r="E12" s="226">
        <v>11050997.59</v>
      </c>
      <c r="F12" s="166">
        <f t="shared" si="0"/>
        <v>0.07974652268474532</v>
      </c>
      <c r="G12" s="241">
        <f t="shared" si="1"/>
        <v>0.0959377596326121</v>
      </c>
      <c r="H12" s="242">
        <f t="shared" si="2"/>
        <v>0.9040622403673879</v>
      </c>
      <c r="I12" s="157"/>
    </row>
    <row r="13" spans="1:9" ht="15">
      <c r="A13" s="164"/>
      <c r="B13" s="165">
        <f>DATE(21,10,1)</f>
        <v>7945</v>
      </c>
      <c r="C13" s="226">
        <v>130707452.04</v>
      </c>
      <c r="D13" s="226">
        <v>12592302.91</v>
      </c>
      <c r="E13" s="226">
        <v>11431719.14</v>
      </c>
      <c r="F13" s="166">
        <f t="shared" si="0"/>
        <v>0.10152311789563433</v>
      </c>
      <c r="G13" s="241">
        <f t="shared" si="1"/>
        <v>0.09633959436487535</v>
      </c>
      <c r="H13" s="242">
        <f t="shared" si="2"/>
        <v>0.9036604056351246</v>
      </c>
      <c r="I13" s="157"/>
    </row>
    <row r="14" spans="1:9" ht="15">
      <c r="A14" s="164"/>
      <c r="B14" s="165">
        <f>DATE(21,11,1)</f>
        <v>7976</v>
      </c>
      <c r="C14" s="226">
        <v>116416163.67</v>
      </c>
      <c r="D14" s="226">
        <v>11228260.11</v>
      </c>
      <c r="E14" s="226">
        <v>9830852.82</v>
      </c>
      <c r="F14" s="166">
        <f t="shared" si="0"/>
        <v>0.14214507282187133</v>
      </c>
      <c r="G14" s="241">
        <f t="shared" si="1"/>
        <v>0.09644932246546344</v>
      </c>
      <c r="H14" s="242">
        <f t="shared" si="2"/>
        <v>0.9035506775345366</v>
      </c>
      <c r="I14" s="157"/>
    </row>
    <row r="15" spans="1:9" ht="15">
      <c r="A15" s="164"/>
      <c r="B15" s="165">
        <f>DATE(21,12,1)</f>
        <v>8006</v>
      </c>
      <c r="C15" s="226">
        <v>125465546.67</v>
      </c>
      <c r="D15" s="226">
        <v>12242955.61</v>
      </c>
      <c r="E15" s="226">
        <v>10848180.11</v>
      </c>
      <c r="F15" s="166">
        <f t="shared" si="0"/>
        <v>0.1285723029906442</v>
      </c>
      <c r="G15" s="241">
        <f t="shared" si="1"/>
        <v>0.0975802197092519</v>
      </c>
      <c r="H15" s="242">
        <f t="shared" si="2"/>
        <v>0.9024197802907481</v>
      </c>
      <c r="I15" s="157"/>
    </row>
    <row r="16" spans="1:9" ht="15">
      <c r="A16" s="164"/>
      <c r="B16" s="165">
        <f>DATE(22,1,1)</f>
        <v>8037</v>
      </c>
      <c r="C16" s="226">
        <v>107197391.36</v>
      </c>
      <c r="D16" s="226">
        <v>10440396.67</v>
      </c>
      <c r="E16" s="226">
        <v>11373635.94</v>
      </c>
      <c r="F16" s="166">
        <f t="shared" si="0"/>
        <v>-0.08205285230889847</v>
      </c>
      <c r="G16" s="241">
        <f t="shared" si="1"/>
        <v>0.09739413000208291</v>
      </c>
      <c r="H16" s="242">
        <f t="shared" si="2"/>
        <v>0.9026058699979171</v>
      </c>
      <c r="I16" s="157"/>
    </row>
    <row r="17" spans="1:9" ht="15">
      <c r="A17" s="164"/>
      <c r="B17" s="165">
        <f>DATE(22,2,1)</f>
        <v>8068</v>
      </c>
      <c r="C17" s="226">
        <v>119422740.74</v>
      </c>
      <c r="D17" s="226">
        <v>11511927.22</v>
      </c>
      <c r="E17" s="226">
        <v>9994364.92</v>
      </c>
      <c r="F17" s="166">
        <f t="shared" si="0"/>
        <v>0.15184179406569046</v>
      </c>
      <c r="G17" s="241">
        <f t="shared" si="1"/>
        <v>0.09639644131985779</v>
      </c>
      <c r="H17" s="242">
        <f t="shared" si="2"/>
        <v>0.9036035586801422</v>
      </c>
      <c r="I17" s="157"/>
    </row>
    <row r="18" spans="1:9" ht="15">
      <c r="A18" s="164"/>
      <c r="B18" s="165">
        <f>DATE(22,3,1)</f>
        <v>8096</v>
      </c>
      <c r="C18" s="226">
        <v>135223267.19</v>
      </c>
      <c r="D18" s="226">
        <v>13030966.17</v>
      </c>
      <c r="E18" s="226">
        <v>14258928.63</v>
      </c>
      <c r="F18" s="166">
        <f t="shared" si="0"/>
        <v>-0.08611884468068909</v>
      </c>
      <c r="G18" s="241">
        <f t="shared" si="1"/>
        <v>0.09636630175257045</v>
      </c>
      <c r="H18" s="242">
        <f t="shared" si="2"/>
        <v>0.9036336982474296</v>
      </c>
      <c r="I18" s="157"/>
    </row>
    <row r="19" spans="1:9" ht="15">
      <c r="A19" s="164"/>
      <c r="B19" s="165">
        <f>DATE(22,4,1)</f>
        <v>8127</v>
      </c>
      <c r="C19" s="226">
        <v>135381188.07</v>
      </c>
      <c r="D19" s="226">
        <v>13210334.82</v>
      </c>
      <c r="E19" s="226">
        <v>13130706.04</v>
      </c>
      <c r="F19" s="166">
        <f t="shared" si="0"/>
        <v>0.006064318229151462</v>
      </c>
      <c r="G19" s="241">
        <f t="shared" si="1"/>
        <v>0.0975788069843905</v>
      </c>
      <c r="H19" s="242">
        <f t="shared" si="2"/>
        <v>0.9024211930156095</v>
      </c>
      <c r="I19" s="157"/>
    </row>
    <row r="20" spans="1:9" ht="15">
      <c r="A20" s="164"/>
      <c r="B20" s="165">
        <f>DATE(22,5,1)</f>
        <v>8157</v>
      </c>
      <c r="C20" s="226">
        <v>131346904.41</v>
      </c>
      <c r="D20" s="226">
        <v>12488700.45</v>
      </c>
      <c r="E20" s="226">
        <v>13791921.35</v>
      </c>
      <c r="F20" s="166">
        <f t="shared" si="0"/>
        <v>-0.09449161338206155</v>
      </c>
      <c r="G20" s="241">
        <f t="shared" si="1"/>
        <v>0.09508180269720298</v>
      </c>
      <c r="H20" s="242">
        <f t="shared" si="2"/>
        <v>0.904918197302797</v>
      </c>
      <c r="I20" s="157"/>
    </row>
    <row r="21" spans="1:9" ht="15">
      <c r="A21" s="164"/>
      <c r="B21" s="165">
        <f>DATE(22,6,1)</f>
        <v>8188</v>
      </c>
      <c r="C21" s="226">
        <v>125915269.56</v>
      </c>
      <c r="D21" s="226">
        <v>11617618.9</v>
      </c>
      <c r="E21" s="226">
        <v>12102988.3</v>
      </c>
      <c r="F21" s="166">
        <f t="shared" si="0"/>
        <v>-0.04010326937191209</v>
      </c>
      <c r="G21" s="241">
        <f t="shared" si="1"/>
        <v>0.09226536972518713</v>
      </c>
      <c r="H21" s="242">
        <f t="shared" si="2"/>
        <v>0.9077346302748128</v>
      </c>
      <c r="I21" s="157"/>
    </row>
    <row r="22" spans="1:9" ht="15" thickBot="1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6.5" thickBot="1" thickTop="1">
      <c r="A23" s="169" t="s">
        <v>14</v>
      </c>
      <c r="B23" s="155"/>
      <c r="C23" s="223">
        <f>SUM(C10:C22)</f>
        <v>1517553415.45</v>
      </c>
      <c r="D23" s="223">
        <f>SUM(D10:D22)</f>
        <v>146405357.25</v>
      </c>
      <c r="E23" s="223">
        <f>SUM(E10:E22)</f>
        <v>140527102.36</v>
      </c>
      <c r="F23" s="170">
        <f>(+D23-E23)/E23</f>
        <v>0.04183004410737204</v>
      </c>
      <c r="G23" s="236">
        <f>D23/C23</f>
        <v>0.09647459902199648</v>
      </c>
      <c r="H23" s="237">
        <f>1-G23</f>
        <v>0.9035254009780035</v>
      </c>
      <c r="I23" s="157"/>
    </row>
    <row r="24" spans="1:9" ht="15" thickTop="1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">
      <c r="A25" s="19" t="s">
        <v>48</v>
      </c>
      <c r="B25" s="165">
        <f>DATE(21,7,1)</f>
        <v>7853</v>
      </c>
      <c r="C25" s="226">
        <v>73584363.37</v>
      </c>
      <c r="D25" s="226">
        <v>7305624.15</v>
      </c>
      <c r="E25" s="226">
        <v>5066109.03</v>
      </c>
      <c r="F25" s="166">
        <f aca="true" t="shared" si="3" ref="F25:F36">(+D25-E25)/E25</f>
        <v>0.4420582160269851</v>
      </c>
      <c r="G25" s="241">
        <f aca="true" t="shared" si="4" ref="G25:G36">D25/C25</f>
        <v>0.09928229063103465</v>
      </c>
      <c r="H25" s="242">
        <f aca="true" t="shared" si="5" ref="H25:H36">1-G25</f>
        <v>0.9007177093689653</v>
      </c>
      <c r="I25" s="157"/>
    </row>
    <row r="26" spans="1:9" ht="15">
      <c r="A26" s="19"/>
      <c r="B26" s="165">
        <f>DATE(21,8,1)</f>
        <v>7884</v>
      </c>
      <c r="C26" s="226">
        <v>67816496.49</v>
      </c>
      <c r="D26" s="226">
        <v>6574172.11</v>
      </c>
      <c r="E26" s="226">
        <v>5468550.73</v>
      </c>
      <c r="F26" s="166">
        <f t="shared" si="3"/>
        <v>0.2021781335838499</v>
      </c>
      <c r="G26" s="241">
        <f t="shared" si="4"/>
        <v>0.09694060369174935</v>
      </c>
      <c r="H26" s="242">
        <f t="shared" si="5"/>
        <v>0.9030593963082506</v>
      </c>
      <c r="I26" s="157"/>
    </row>
    <row r="27" spans="1:9" ht="15">
      <c r="A27" s="19"/>
      <c r="B27" s="165">
        <f>DATE(21,9,1)</f>
        <v>7915</v>
      </c>
      <c r="C27" s="226">
        <v>67990554.87</v>
      </c>
      <c r="D27" s="226">
        <v>6771046.11</v>
      </c>
      <c r="E27" s="226">
        <v>5506925.16</v>
      </c>
      <c r="F27" s="166">
        <f t="shared" si="3"/>
        <v>0.22955114029550389</v>
      </c>
      <c r="G27" s="241">
        <f t="shared" si="4"/>
        <v>0.09958804017626338</v>
      </c>
      <c r="H27" s="242">
        <f t="shared" si="5"/>
        <v>0.9004119598237366</v>
      </c>
      <c r="I27" s="157"/>
    </row>
    <row r="28" spans="1:9" ht="15">
      <c r="A28" s="19"/>
      <c r="B28" s="165">
        <f>DATE(21,10,1)</f>
        <v>7945</v>
      </c>
      <c r="C28" s="226">
        <v>70153959.48</v>
      </c>
      <c r="D28" s="226">
        <v>7189129.76</v>
      </c>
      <c r="E28" s="226">
        <v>5104255.39</v>
      </c>
      <c r="F28" s="166">
        <f t="shared" si="3"/>
        <v>0.40845808265875194</v>
      </c>
      <c r="G28" s="241">
        <f t="shared" si="4"/>
        <v>0.10247646481093528</v>
      </c>
      <c r="H28" s="242">
        <f t="shared" si="5"/>
        <v>0.8975235351890647</v>
      </c>
      <c r="I28" s="157"/>
    </row>
    <row r="29" spans="1:9" ht="15">
      <c r="A29" s="19"/>
      <c r="B29" s="165">
        <f>DATE(21,11,1)</f>
        <v>7976</v>
      </c>
      <c r="C29" s="226">
        <v>61861650.84</v>
      </c>
      <c r="D29" s="226">
        <v>6088324.14</v>
      </c>
      <c r="E29" s="226">
        <v>4814628.37</v>
      </c>
      <c r="F29" s="166">
        <f t="shared" si="3"/>
        <v>0.26454705786565197</v>
      </c>
      <c r="G29" s="241">
        <f t="shared" si="4"/>
        <v>0.09841839099552875</v>
      </c>
      <c r="H29" s="242">
        <f t="shared" si="5"/>
        <v>0.9015816090044713</v>
      </c>
      <c r="I29" s="157"/>
    </row>
    <row r="30" spans="1:9" ht="15">
      <c r="A30" s="19"/>
      <c r="B30" s="165">
        <f>DATE(21,12,1)</f>
        <v>8006</v>
      </c>
      <c r="C30" s="226">
        <v>69301193.8</v>
      </c>
      <c r="D30" s="226">
        <v>6682194.9</v>
      </c>
      <c r="E30" s="226">
        <v>5255704.49</v>
      </c>
      <c r="F30" s="166">
        <f t="shared" si="3"/>
        <v>0.2714175450149786</v>
      </c>
      <c r="G30" s="241">
        <f t="shared" si="4"/>
        <v>0.09642250780389876</v>
      </c>
      <c r="H30" s="242">
        <f t="shared" si="5"/>
        <v>0.9035774921961013</v>
      </c>
      <c r="I30" s="157"/>
    </row>
    <row r="31" spans="1:9" ht="15">
      <c r="A31" s="19"/>
      <c r="B31" s="165">
        <f>DATE(22,1,1)</f>
        <v>8037</v>
      </c>
      <c r="C31" s="226">
        <v>57247161.74</v>
      </c>
      <c r="D31" s="226">
        <v>5978134.71</v>
      </c>
      <c r="E31" s="226">
        <v>6374309.3</v>
      </c>
      <c r="F31" s="166">
        <f t="shared" si="3"/>
        <v>-0.062151767564840296</v>
      </c>
      <c r="G31" s="241">
        <f t="shared" si="4"/>
        <v>0.10442674410918315</v>
      </c>
      <c r="H31" s="242">
        <f t="shared" si="5"/>
        <v>0.8955732558908168</v>
      </c>
      <c r="I31" s="157"/>
    </row>
    <row r="32" spans="1:9" ht="15">
      <c r="A32" s="19"/>
      <c r="B32" s="165">
        <f>DATE(22,2,1)</f>
        <v>8068</v>
      </c>
      <c r="C32" s="226">
        <v>61471456.63</v>
      </c>
      <c r="D32" s="226">
        <v>6104570.21</v>
      </c>
      <c r="E32" s="226">
        <v>5505403.35</v>
      </c>
      <c r="F32" s="166">
        <f t="shared" si="3"/>
        <v>0.10883250906584353</v>
      </c>
      <c r="G32" s="241">
        <f t="shared" si="4"/>
        <v>0.09930739475955053</v>
      </c>
      <c r="H32" s="242">
        <f t="shared" si="5"/>
        <v>0.9006926052404495</v>
      </c>
      <c r="I32" s="157"/>
    </row>
    <row r="33" spans="1:9" ht="15">
      <c r="A33" s="19"/>
      <c r="B33" s="165">
        <f>DATE(22,3,1)</f>
        <v>8096</v>
      </c>
      <c r="C33" s="226">
        <v>71765258.21</v>
      </c>
      <c r="D33" s="226">
        <v>7172828.29</v>
      </c>
      <c r="E33" s="226">
        <v>7970520.96</v>
      </c>
      <c r="F33" s="166">
        <f t="shared" si="3"/>
        <v>-0.1000803678960528</v>
      </c>
      <c r="G33" s="241">
        <f t="shared" si="4"/>
        <v>0.09994847742358594</v>
      </c>
      <c r="H33" s="242">
        <f t="shared" si="5"/>
        <v>0.9000515225764141</v>
      </c>
      <c r="I33" s="157"/>
    </row>
    <row r="34" spans="1:9" ht="15">
      <c r="A34" s="19"/>
      <c r="B34" s="165">
        <f>DATE(22,4,1)</f>
        <v>8127</v>
      </c>
      <c r="C34" s="226">
        <v>73131986.41</v>
      </c>
      <c r="D34" s="226">
        <v>7550260.26</v>
      </c>
      <c r="E34" s="226">
        <v>7582503.62</v>
      </c>
      <c r="F34" s="166">
        <f t="shared" si="3"/>
        <v>-0.004252336908215065</v>
      </c>
      <c r="G34" s="241">
        <f t="shared" si="4"/>
        <v>0.10324155859340345</v>
      </c>
      <c r="H34" s="242">
        <f t="shared" si="5"/>
        <v>0.8967584414065966</v>
      </c>
      <c r="I34" s="157"/>
    </row>
    <row r="35" spans="1:9" ht="15">
      <c r="A35" s="19"/>
      <c r="B35" s="165">
        <f>DATE(22,5,1)</f>
        <v>8157</v>
      </c>
      <c r="C35" s="226">
        <v>65902148.96</v>
      </c>
      <c r="D35" s="226">
        <v>6555808.29</v>
      </c>
      <c r="E35" s="226">
        <v>7684389.53</v>
      </c>
      <c r="F35" s="166">
        <f t="shared" si="3"/>
        <v>-0.14686674010915218</v>
      </c>
      <c r="G35" s="241">
        <f t="shared" si="4"/>
        <v>0.09947791374723025</v>
      </c>
      <c r="H35" s="242">
        <f t="shared" si="5"/>
        <v>0.9005220862527697</v>
      </c>
      <c r="I35" s="157"/>
    </row>
    <row r="36" spans="1:9" ht="15">
      <c r="A36" s="19"/>
      <c r="B36" s="165">
        <f>DATE(22,6,1)</f>
        <v>8188</v>
      </c>
      <c r="C36" s="226">
        <v>63914098.06</v>
      </c>
      <c r="D36" s="226">
        <v>6076334.75</v>
      </c>
      <c r="E36" s="226">
        <v>6586120.75</v>
      </c>
      <c r="F36" s="166">
        <f t="shared" si="3"/>
        <v>-0.07740307524729181</v>
      </c>
      <c r="G36" s="241">
        <f t="shared" si="4"/>
        <v>0.09507033556658782</v>
      </c>
      <c r="H36" s="242">
        <f t="shared" si="5"/>
        <v>0.9049296644334122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69" t="s">
        <v>14</v>
      </c>
      <c r="B38" s="155"/>
      <c r="C38" s="223">
        <f>SUM(C25:C37)</f>
        <v>804140328.8600001</v>
      </c>
      <c r="D38" s="223">
        <f>SUM(D25:D37)</f>
        <v>80048427.68</v>
      </c>
      <c r="E38" s="223">
        <f>SUM(E25:E37)</f>
        <v>72919420.68</v>
      </c>
      <c r="F38" s="170">
        <f>(+D38-E38)/E38</f>
        <v>0.09776554631838032</v>
      </c>
      <c r="G38" s="236">
        <f>D38/C38</f>
        <v>0.09954534651120121</v>
      </c>
      <c r="H38" s="237">
        <f>1-G38</f>
        <v>0.9004546534887988</v>
      </c>
      <c r="I38" s="157"/>
    </row>
    <row r="39" spans="1:9" ht="15" thickTop="1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">
      <c r="A40" s="19" t="s">
        <v>62</v>
      </c>
      <c r="B40" s="165">
        <f>DATE(21,7,1)</f>
        <v>7853</v>
      </c>
      <c r="C40" s="226">
        <v>41344494.67</v>
      </c>
      <c r="D40" s="226">
        <v>4179858.95</v>
      </c>
      <c r="E40" s="226">
        <v>3105687.6</v>
      </c>
      <c r="F40" s="166">
        <f aca="true" t="shared" si="6" ref="F40:F51">(+D40-E40)/E40</f>
        <v>0.34587231181912825</v>
      </c>
      <c r="G40" s="241">
        <f aca="true" t="shared" si="7" ref="G40:G51">D40/C40</f>
        <v>0.10109831994229088</v>
      </c>
      <c r="H40" s="242">
        <f aca="true" t="shared" si="8" ref="H40:H51">1-G40</f>
        <v>0.8989016800577091</v>
      </c>
      <c r="I40" s="157"/>
    </row>
    <row r="41" spans="1:9" ht="15">
      <c r="A41" s="19"/>
      <c r="B41" s="165">
        <f>DATE(21,8,1)</f>
        <v>7884</v>
      </c>
      <c r="C41" s="226">
        <v>34738721.11</v>
      </c>
      <c r="D41" s="226">
        <v>3554355.99</v>
      </c>
      <c r="E41" s="226">
        <v>3031801</v>
      </c>
      <c r="F41" s="166">
        <f t="shared" si="6"/>
        <v>0.17235794499704968</v>
      </c>
      <c r="G41" s="241">
        <f t="shared" si="7"/>
        <v>0.10231683482950188</v>
      </c>
      <c r="H41" s="242">
        <f t="shared" si="8"/>
        <v>0.8976831651704982</v>
      </c>
      <c r="I41" s="157"/>
    </row>
    <row r="42" spans="1:9" ht="15">
      <c r="A42" s="19"/>
      <c r="B42" s="165">
        <f>DATE(21,9,1)</f>
        <v>7915</v>
      </c>
      <c r="C42" s="226">
        <v>35864944.78</v>
      </c>
      <c r="D42" s="226">
        <v>3815155.29</v>
      </c>
      <c r="E42" s="226">
        <v>2818231.18</v>
      </c>
      <c r="F42" s="166">
        <f t="shared" si="6"/>
        <v>0.35374106889272294</v>
      </c>
      <c r="G42" s="241">
        <f t="shared" si="7"/>
        <v>0.10637560752993303</v>
      </c>
      <c r="H42" s="242">
        <f t="shared" si="8"/>
        <v>0.893624392470067</v>
      </c>
      <c r="I42" s="157"/>
    </row>
    <row r="43" spans="1:9" ht="15">
      <c r="A43" s="19"/>
      <c r="B43" s="165">
        <f>DATE(21,10,1)</f>
        <v>7945</v>
      </c>
      <c r="C43" s="226">
        <v>35456144.61</v>
      </c>
      <c r="D43" s="226">
        <v>3758784.61</v>
      </c>
      <c r="E43" s="226">
        <v>2969140.93</v>
      </c>
      <c r="F43" s="166">
        <f t="shared" si="6"/>
        <v>0.2659502188062187</v>
      </c>
      <c r="G43" s="241">
        <f t="shared" si="7"/>
        <v>0.10601222020455878</v>
      </c>
      <c r="H43" s="242">
        <f t="shared" si="8"/>
        <v>0.8939877797954412</v>
      </c>
      <c r="I43" s="157"/>
    </row>
    <row r="44" spans="1:9" ht="15">
      <c r="A44" s="19"/>
      <c r="B44" s="165">
        <f>DATE(21,11,1)</f>
        <v>7976</v>
      </c>
      <c r="C44" s="226">
        <v>31753102.99</v>
      </c>
      <c r="D44" s="226">
        <v>3347078.48</v>
      </c>
      <c r="E44" s="226">
        <v>2745164.62</v>
      </c>
      <c r="F44" s="166">
        <f t="shared" si="6"/>
        <v>0.21926330232246685</v>
      </c>
      <c r="G44" s="241">
        <f t="shared" si="7"/>
        <v>0.10540949276844204</v>
      </c>
      <c r="H44" s="242">
        <f t="shared" si="8"/>
        <v>0.894590507231558</v>
      </c>
      <c r="I44" s="157"/>
    </row>
    <row r="45" spans="1:9" ht="15">
      <c r="A45" s="19"/>
      <c r="B45" s="165">
        <f>DATE(21,12,1)</f>
        <v>8006</v>
      </c>
      <c r="C45" s="226">
        <v>36776952.97</v>
      </c>
      <c r="D45" s="226">
        <v>3599731.36</v>
      </c>
      <c r="E45" s="226">
        <v>2957388.53</v>
      </c>
      <c r="F45" s="166">
        <f t="shared" si="6"/>
        <v>0.21719933768729405</v>
      </c>
      <c r="G45" s="241">
        <f t="shared" si="7"/>
        <v>0.09788008710064704</v>
      </c>
      <c r="H45" s="242">
        <f t="shared" si="8"/>
        <v>0.902119912899353</v>
      </c>
      <c r="I45" s="157"/>
    </row>
    <row r="46" spans="1:9" ht="15">
      <c r="A46" s="19"/>
      <c r="B46" s="165">
        <f>DATE(22,1,1)</f>
        <v>8037</v>
      </c>
      <c r="C46" s="226">
        <v>30780937.68</v>
      </c>
      <c r="D46" s="226">
        <v>3120845.46</v>
      </c>
      <c r="E46" s="226">
        <v>3739186.99</v>
      </c>
      <c r="F46" s="166">
        <f t="shared" si="6"/>
        <v>-0.16536790795798106</v>
      </c>
      <c r="G46" s="241">
        <f t="shared" si="7"/>
        <v>0.101388901548239</v>
      </c>
      <c r="H46" s="242">
        <f t="shared" si="8"/>
        <v>0.898611098451761</v>
      </c>
      <c r="I46" s="157"/>
    </row>
    <row r="47" spans="1:9" ht="15">
      <c r="A47" s="19"/>
      <c r="B47" s="165">
        <f>DATE(22,2,1)</f>
        <v>8068</v>
      </c>
      <c r="C47" s="226">
        <v>33531797.13</v>
      </c>
      <c r="D47" s="226">
        <v>3529009.1</v>
      </c>
      <c r="E47" s="226">
        <v>2745767.52</v>
      </c>
      <c r="F47" s="166">
        <f t="shared" si="6"/>
        <v>0.2852541499944613</v>
      </c>
      <c r="G47" s="241">
        <f t="shared" si="7"/>
        <v>0.10524366130208662</v>
      </c>
      <c r="H47" s="242">
        <f t="shared" si="8"/>
        <v>0.8947563386979134</v>
      </c>
      <c r="I47" s="157"/>
    </row>
    <row r="48" spans="1:9" ht="15">
      <c r="A48" s="19"/>
      <c r="B48" s="165">
        <f>DATE(22,3,1)</f>
        <v>8096</v>
      </c>
      <c r="C48" s="226">
        <v>40014241.24</v>
      </c>
      <c r="D48" s="226">
        <v>4379101.56</v>
      </c>
      <c r="E48" s="226">
        <v>4914550.05</v>
      </c>
      <c r="F48" s="166">
        <f t="shared" si="6"/>
        <v>-0.10895168114118611</v>
      </c>
      <c r="G48" s="241">
        <f t="shared" si="7"/>
        <v>0.10943857547453521</v>
      </c>
      <c r="H48" s="242">
        <f t="shared" si="8"/>
        <v>0.8905614245254648</v>
      </c>
      <c r="I48" s="157"/>
    </row>
    <row r="49" spans="1:9" ht="15">
      <c r="A49" s="19"/>
      <c r="B49" s="165">
        <f>DATE(22,4,1)</f>
        <v>8127</v>
      </c>
      <c r="C49" s="226">
        <v>37285517.41</v>
      </c>
      <c r="D49" s="226">
        <v>3978475.16</v>
      </c>
      <c r="E49" s="226">
        <v>5056717.64</v>
      </c>
      <c r="F49" s="166">
        <f t="shared" si="6"/>
        <v>-0.21322971871532057</v>
      </c>
      <c r="G49" s="241">
        <f t="shared" si="7"/>
        <v>0.10670296233928542</v>
      </c>
      <c r="H49" s="242">
        <f t="shared" si="8"/>
        <v>0.8932970376607146</v>
      </c>
      <c r="I49" s="157"/>
    </row>
    <row r="50" spans="1:9" ht="15">
      <c r="A50" s="19"/>
      <c r="B50" s="165">
        <f>DATE(22,5,1)</f>
        <v>8157</v>
      </c>
      <c r="C50" s="226">
        <v>34158336.13</v>
      </c>
      <c r="D50" s="226">
        <v>3652765.18</v>
      </c>
      <c r="E50" s="226">
        <v>4511191.21</v>
      </c>
      <c r="F50" s="166">
        <f t="shared" si="6"/>
        <v>-0.19028810574402583</v>
      </c>
      <c r="G50" s="241">
        <f t="shared" si="7"/>
        <v>0.10693627365508332</v>
      </c>
      <c r="H50" s="242">
        <f t="shared" si="8"/>
        <v>0.8930637263449167</v>
      </c>
      <c r="I50" s="157"/>
    </row>
    <row r="51" spans="1:9" ht="15">
      <c r="A51" s="19"/>
      <c r="B51" s="165">
        <f>DATE(22,6,1)</f>
        <v>8188</v>
      </c>
      <c r="C51" s="226">
        <v>30688189.4</v>
      </c>
      <c r="D51" s="226">
        <v>3294140.26</v>
      </c>
      <c r="E51" s="226">
        <v>3965244.8</v>
      </c>
      <c r="F51" s="166">
        <f t="shared" si="6"/>
        <v>-0.16924668560185743</v>
      </c>
      <c r="G51" s="241">
        <f t="shared" si="7"/>
        <v>0.10734228132729133</v>
      </c>
      <c r="H51" s="242">
        <f t="shared" si="8"/>
        <v>0.8926577186727087</v>
      </c>
      <c r="I51" s="157"/>
    </row>
    <row r="52" spans="1:9" ht="1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6.5" thickBot="1" thickTop="1">
      <c r="A53" s="174" t="s">
        <v>14</v>
      </c>
      <c r="B53" s="175"/>
      <c r="C53" s="228">
        <f>SUM(C40:C52)</f>
        <v>422393380.12</v>
      </c>
      <c r="D53" s="228">
        <f>SUM(D40:D52)</f>
        <v>44209301.4</v>
      </c>
      <c r="E53" s="228">
        <f>SUM(E40:E52)</f>
        <v>42560072.07</v>
      </c>
      <c r="F53" s="176">
        <f>(+D53-E53)/E53</f>
        <v>0.03875062352543611</v>
      </c>
      <c r="G53" s="245">
        <f>D53/C53</f>
        <v>0.10466381217300409</v>
      </c>
      <c r="H53" s="246">
        <f>1-G53</f>
        <v>0.8953361878269959</v>
      </c>
      <c r="I53" s="157"/>
    </row>
    <row r="54" spans="1:9" ht="1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">
      <c r="A55" s="177" t="s">
        <v>58</v>
      </c>
      <c r="B55" s="165">
        <f>DATE(21,7,1)</f>
        <v>7853</v>
      </c>
      <c r="C55" s="226">
        <v>184241191.87</v>
      </c>
      <c r="D55" s="226">
        <v>16788708.57</v>
      </c>
      <c r="E55" s="226">
        <v>12870761.89</v>
      </c>
      <c r="F55" s="166">
        <f aca="true" t="shared" si="9" ref="F55:F66">(+D55-E55)/E55</f>
        <v>0.3044067409128334</v>
      </c>
      <c r="G55" s="241">
        <f aca="true" t="shared" si="10" ref="G55:G66">D55/C55</f>
        <v>0.0911235343171578</v>
      </c>
      <c r="H55" s="242">
        <f aca="true" t="shared" si="11" ref="H55:H66">1-G55</f>
        <v>0.9088764656828422</v>
      </c>
      <c r="I55" s="157"/>
    </row>
    <row r="56" spans="1:9" ht="15">
      <c r="A56" s="177"/>
      <c r="B56" s="165">
        <f>DATE(21,8,1)</f>
        <v>7884</v>
      </c>
      <c r="C56" s="226">
        <v>171470115.47</v>
      </c>
      <c r="D56" s="226">
        <v>15228470.93</v>
      </c>
      <c r="E56" s="226">
        <v>13070251.67</v>
      </c>
      <c r="F56" s="166">
        <f t="shared" si="9"/>
        <v>0.1651245373456531</v>
      </c>
      <c r="G56" s="241">
        <f t="shared" si="10"/>
        <v>0.08881122455804456</v>
      </c>
      <c r="H56" s="242">
        <f t="shared" si="11"/>
        <v>0.9111887754419554</v>
      </c>
      <c r="I56" s="157"/>
    </row>
    <row r="57" spans="1:9" ht="15">
      <c r="A57" s="177"/>
      <c r="B57" s="165">
        <f>DATE(21,9,1)</f>
        <v>7915</v>
      </c>
      <c r="C57" s="226">
        <v>183696506.8</v>
      </c>
      <c r="D57" s="226">
        <v>16699713.12</v>
      </c>
      <c r="E57" s="226">
        <v>12783360.18</v>
      </c>
      <c r="F57" s="166">
        <f t="shared" si="9"/>
        <v>0.3063633414731806</v>
      </c>
      <c r="G57" s="241">
        <f t="shared" si="10"/>
        <v>0.090909257943494</v>
      </c>
      <c r="H57" s="242">
        <f t="shared" si="11"/>
        <v>0.909090742056506</v>
      </c>
      <c r="I57" s="157"/>
    </row>
    <row r="58" spans="1:9" ht="15">
      <c r="A58" s="177"/>
      <c r="B58" s="165">
        <f>DATE(21,10,1)</f>
        <v>7945</v>
      </c>
      <c r="C58" s="226">
        <v>184731805.9</v>
      </c>
      <c r="D58" s="226">
        <v>16704308.95</v>
      </c>
      <c r="E58" s="226">
        <v>13822122.46</v>
      </c>
      <c r="F58" s="166">
        <f t="shared" si="9"/>
        <v>0.20851982018975673</v>
      </c>
      <c r="G58" s="241">
        <f t="shared" si="10"/>
        <v>0.09042465031193635</v>
      </c>
      <c r="H58" s="242">
        <f t="shared" si="11"/>
        <v>0.9095753496880636</v>
      </c>
      <c r="I58" s="157"/>
    </row>
    <row r="59" spans="1:9" ht="15">
      <c r="A59" s="177"/>
      <c r="B59" s="165">
        <f>DATE(21,11,1)</f>
        <v>7976</v>
      </c>
      <c r="C59" s="226">
        <v>168594729.13</v>
      </c>
      <c r="D59" s="226">
        <v>15419780.21</v>
      </c>
      <c r="E59" s="226">
        <v>11508836.74</v>
      </c>
      <c r="F59" s="166">
        <f t="shared" si="9"/>
        <v>0.3398209183389633</v>
      </c>
      <c r="G59" s="241">
        <f t="shared" si="10"/>
        <v>0.09146063040980433</v>
      </c>
      <c r="H59" s="242">
        <f t="shared" si="11"/>
        <v>0.9085393695901957</v>
      </c>
      <c r="I59" s="157"/>
    </row>
    <row r="60" spans="1:9" ht="15">
      <c r="A60" s="177"/>
      <c r="B60" s="165">
        <f>DATE(21,12,1)</f>
        <v>8006</v>
      </c>
      <c r="C60" s="226">
        <v>190132607.17</v>
      </c>
      <c r="D60" s="226">
        <v>17100191.72</v>
      </c>
      <c r="E60" s="226">
        <v>12101151.11</v>
      </c>
      <c r="F60" s="166">
        <f t="shared" si="9"/>
        <v>0.41310455216685577</v>
      </c>
      <c r="G60" s="241">
        <f t="shared" si="10"/>
        <v>0.08993823823554105</v>
      </c>
      <c r="H60" s="242">
        <f t="shared" si="11"/>
        <v>0.910061761764459</v>
      </c>
      <c r="I60" s="157"/>
    </row>
    <row r="61" spans="1:9" ht="15">
      <c r="A61" s="177"/>
      <c r="B61" s="165">
        <f>DATE(22,1,1)</f>
        <v>8037</v>
      </c>
      <c r="C61" s="226">
        <v>171922425.78</v>
      </c>
      <c r="D61" s="226">
        <v>15681818.64</v>
      </c>
      <c r="E61" s="226">
        <v>12204646.31</v>
      </c>
      <c r="F61" s="166">
        <f t="shared" si="9"/>
        <v>0.28490562050544177</v>
      </c>
      <c r="G61" s="241">
        <f t="shared" si="10"/>
        <v>0.09121450310425</v>
      </c>
      <c r="H61" s="242">
        <f t="shared" si="11"/>
        <v>0.9087854968957501</v>
      </c>
      <c r="I61" s="157"/>
    </row>
    <row r="62" spans="1:9" ht="15">
      <c r="A62" s="177"/>
      <c r="B62" s="165">
        <f>DATE(22,2,1)</f>
        <v>8068</v>
      </c>
      <c r="C62" s="226">
        <v>165948421.02</v>
      </c>
      <c r="D62" s="226">
        <v>15007235.04</v>
      </c>
      <c r="E62" s="226">
        <v>10252818.6</v>
      </c>
      <c r="F62" s="166">
        <f t="shared" si="9"/>
        <v>0.4637179906801433</v>
      </c>
      <c r="G62" s="241">
        <f t="shared" si="10"/>
        <v>0.09043312944924818</v>
      </c>
      <c r="H62" s="242">
        <f t="shared" si="11"/>
        <v>0.9095668705507518</v>
      </c>
      <c r="I62" s="157"/>
    </row>
    <row r="63" spans="1:9" ht="15">
      <c r="A63" s="177"/>
      <c r="B63" s="165">
        <f>DATE(22,3,1)</f>
        <v>8096</v>
      </c>
      <c r="C63" s="226">
        <v>208993399.75</v>
      </c>
      <c r="D63" s="226">
        <v>19277164.58</v>
      </c>
      <c r="E63" s="226">
        <v>14669876.65</v>
      </c>
      <c r="F63" s="166">
        <f t="shared" si="9"/>
        <v>0.31406453100612797</v>
      </c>
      <c r="G63" s="241">
        <f t="shared" si="10"/>
        <v>0.09223815011890106</v>
      </c>
      <c r="H63" s="242">
        <f t="shared" si="11"/>
        <v>0.907761849881099</v>
      </c>
      <c r="I63" s="157"/>
    </row>
    <row r="64" spans="1:9" ht="15">
      <c r="A64" s="177"/>
      <c r="B64" s="165">
        <f>DATE(22,4,1)</f>
        <v>8127</v>
      </c>
      <c r="C64" s="226">
        <v>211201144.83</v>
      </c>
      <c r="D64" s="226">
        <v>19150089.61</v>
      </c>
      <c r="E64" s="226">
        <v>15179487.01</v>
      </c>
      <c r="F64" s="166">
        <f t="shared" si="9"/>
        <v>0.26157686339362</v>
      </c>
      <c r="G64" s="241">
        <f t="shared" si="10"/>
        <v>0.09067228127676243</v>
      </c>
      <c r="H64" s="242">
        <f t="shared" si="11"/>
        <v>0.9093277187232376</v>
      </c>
      <c r="I64" s="157"/>
    </row>
    <row r="65" spans="1:9" ht="15">
      <c r="A65" s="177"/>
      <c r="B65" s="165">
        <f>DATE(22,5,1)</f>
        <v>8157</v>
      </c>
      <c r="C65" s="226">
        <v>197513891.62</v>
      </c>
      <c r="D65" s="226">
        <v>17913916.41</v>
      </c>
      <c r="E65" s="226">
        <v>17577497.16</v>
      </c>
      <c r="F65" s="166">
        <f t="shared" si="9"/>
        <v>0.019139200930469672</v>
      </c>
      <c r="G65" s="241">
        <f t="shared" si="10"/>
        <v>0.09069699484462013</v>
      </c>
      <c r="H65" s="242">
        <f t="shared" si="11"/>
        <v>0.9093030051553799</v>
      </c>
      <c r="I65" s="157"/>
    </row>
    <row r="66" spans="1:9" ht="15">
      <c r="A66" s="177"/>
      <c r="B66" s="165">
        <f>DATE(22,6,1)</f>
        <v>8188</v>
      </c>
      <c r="C66" s="226">
        <v>177097125.17</v>
      </c>
      <c r="D66" s="226">
        <v>15757107.11</v>
      </c>
      <c r="E66" s="226">
        <v>16457875.17</v>
      </c>
      <c r="F66" s="166">
        <f t="shared" si="9"/>
        <v>-0.04257949782468793</v>
      </c>
      <c r="G66" s="241">
        <f t="shared" si="10"/>
        <v>0.08897438111925507</v>
      </c>
      <c r="H66" s="242">
        <f t="shared" si="11"/>
        <v>0.911025618880745</v>
      </c>
      <c r="I66" s="157"/>
    </row>
    <row r="67" spans="1:9" ht="1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8"/>
      <c r="C68" s="228">
        <f>SUM(C55:C67)</f>
        <v>2215543364.51</v>
      </c>
      <c r="D68" s="228">
        <f>SUM(D55:D67)</f>
        <v>200728504.89</v>
      </c>
      <c r="E68" s="228">
        <f>SUM(E55:E67)</f>
        <v>162498684.95000002</v>
      </c>
      <c r="F68" s="176">
        <f>(+D68-E68)/E68</f>
        <v>0.23526233428758564</v>
      </c>
      <c r="G68" s="245">
        <f>D68/C68</f>
        <v>0.09060012460392262</v>
      </c>
      <c r="H68" s="246">
        <f>1-G68</f>
        <v>0.9093998753960774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60</v>
      </c>
      <c r="B70" s="165">
        <f>DATE(21,7,1)</f>
        <v>7853</v>
      </c>
      <c r="C70" s="226">
        <v>134033453.04</v>
      </c>
      <c r="D70" s="226">
        <v>12735420.67</v>
      </c>
      <c r="E70" s="226">
        <v>13388447.99</v>
      </c>
      <c r="F70" s="166">
        <f aca="true" t="shared" si="12" ref="F70:F81">(+D70-E70)/E70</f>
        <v>-0.0487754309153499</v>
      </c>
      <c r="G70" s="241">
        <f aca="true" t="shared" si="13" ref="G70:G81">D70/C70</f>
        <v>0.09501673187662583</v>
      </c>
      <c r="H70" s="242">
        <f aca="true" t="shared" si="14" ref="H70:H81">1-G70</f>
        <v>0.9049832681233742</v>
      </c>
      <c r="I70" s="157"/>
    </row>
    <row r="71" spans="1:9" ht="15">
      <c r="A71" s="164"/>
      <c r="B71" s="165">
        <f>DATE(21,8,1)</f>
        <v>7884</v>
      </c>
      <c r="C71" s="226">
        <v>120007751.62</v>
      </c>
      <c r="D71" s="226">
        <v>11645905.55</v>
      </c>
      <c r="E71" s="226">
        <v>12503132.88</v>
      </c>
      <c r="F71" s="166">
        <f t="shared" si="12"/>
        <v>-0.06856100292841165</v>
      </c>
      <c r="G71" s="241">
        <f t="shared" si="13"/>
        <v>0.0970429442497708</v>
      </c>
      <c r="H71" s="242">
        <f t="shared" si="14"/>
        <v>0.9029570557502292</v>
      </c>
      <c r="I71" s="157"/>
    </row>
    <row r="72" spans="1:9" ht="15">
      <c r="A72" s="164"/>
      <c r="B72" s="165">
        <f>DATE(21,9,1)</f>
        <v>7915</v>
      </c>
      <c r="C72" s="226">
        <v>117022540.7</v>
      </c>
      <c r="D72" s="226">
        <v>11184280.18</v>
      </c>
      <c r="E72" s="226">
        <v>11218535.91</v>
      </c>
      <c r="F72" s="166">
        <f t="shared" si="12"/>
        <v>-0.003053493813703935</v>
      </c>
      <c r="G72" s="241">
        <f t="shared" si="13"/>
        <v>0.09557372548141915</v>
      </c>
      <c r="H72" s="242">
        <f t="shared" si="14"/>
        <v>0.9044262745185808</v>
      </c>
      <c r="I72" s="157"/>
    </row>
    <row r="73" spans="1:9" ht="15">
      <c r="A73" s="164"/>
      <c r="B73" s="165">
        <f>DATE(21,10,1)</f>
        <v>7945</v>
      </c>
      <c r="C73" s="226">
        <v>120771341.03</v>
      </c>
      <c r="D73" s="226">
        <v>11396005.27</v>
      </c>
      <c r="E73" s="226">
        <v>11439504.38</v>
      </c>
      <c r="F73" s="166">
        <f t="shared" si="12"/>
        <v>-0.0038025344940688125</v>
      </c>
      <c r="G73" s="241">
        <f t="shared" si="13"/>
        <v>0.09436017827415856</v>
      </c>
      <c r="H73" s="242">
        <f t="shared" si="14"/>
        <v>0.9056398217258415</v>
      </c>
      <c r="I73" s="157"/>
    </row>
    <row r="74" spans="1:9" ht="15">
      <c r="A74" s="164"/>
      <c r="B74" s="165">
        <f>DATE(21,11,1)</f>
        <v>7976</v>
      </c>
      <c r="C74" s="226">
        <v>113934737.93</v>
      </c>
      <c r="D74" s="226">
        <v>11134846.92</v>
      </c>
      <c r="E74" s="226">
        <v>10067796.14</v>
      </c>
      <c r="F74" s="166">
        <f t="shared" si="12"/>
        <v>0.10598653023580186</v>
      </c>
      <c r="G74" s="241">
        <f t="shared" si="13"/>
        <v>0.09773004372767419</v>
      </c>
      <c r="H74" s="242">
        <f t="shared" si="14"/>
        <v>0.9022699562723258</v>
      </c>
      <c r="I74" s="157"/>
    </row>
    <row r="75" spans="1:9" ht="15">
      <c r="A75" s="164"/>
      <c r="B75" s="165">
        <f>DATE(21,12,1)</f>
        <v>8006</v>
      </c>
      <c r="C75" s="226">
        <v>123312951.99</v>
      </c>
      <c r="D75" s="226">
        <v>11993406.7</v>
      </c>
      <c r="E75" s="226">
        <v>10607281.23</v>
      </c>
      <c r="F75" s="166">
        <f t="shared" si="12"/>
        <v>0.1306767907764805</v>
      </c>
      <c r="G75" s="241">
        <f t="shared" si="13"/>
        <v>0.0972599107105359</v>
      </c>
      <c r="H75" s="242">
        <f t="shared" si="14"/>
        <v>0.9027400892894641</v>
      </c>
      <c r="I75" s="157"/>
    </row>
    <row r="76" spans="1:9" ht="15">
      <c r="A76" s="164"/>
      <c r="B76" s="165">
        <f>DATE(22,1,1)</f>
        <v>8037</v>
      </c>
      <c r="C76" s="226">
        <v>107371536.32</v>
      </c>
      <c r="D76" s="226">
        <v>10442254.63</v>
      </c>
      <c r="E76" s="226">
        <v>11913560.08</v>
      </c>
      <c r="F76" s="166">
        <f t="shared" si="12"/>
        <v>-0.12349838672236747</v>
      </c>
      <c r="G76" s="241">
        <f t="shared" si="13"/>
        <v>0.09725347133786827</v>
      </c>
      <c r="H76" s="242">
        <f t="shared" si="14"/>
        <v>0.9027465286621317</v>
      </c>
      <c r="I76" s="157"/>
    </row>
    <row r="77" spans="1:9" ht="15">
      <c r="A77" s="164"/>
      <c r="B77" s="165">
        <f>DATE(22,2,1)</f>
        <v>8068</v>
      </c>
      <c r="C77" s="226">
        <v>107183986.49</v>
      </c>
      <c r="D77" s="226">
        <v>10124033.77</v>
      </c>
      <c r="E77" s="226">
        <v>10274207.17</v>
      </c>
      <c r="F77" s="166">
        <f t="shared" si="12"/>
        <v>-0.014616543886568367</v>
      </c>
      <c r="G77" s="241">
        <f t="shared" si="13"/>
        <v>0.09445472314975471</v>
      </c>
      <c r="H77" s="242">
        <f t="shared" si="14"/>
        <v>0.9055452768502453</v>
      </c>
      <c r="I77" s="157"/>
    </row>
    <row r="78" spans="1:9" ht="15">
      <c r="A78" s="164"/>
      <c r="B78" s="165">
        <f>DATE(22,3,1)</f>
        <v>8096</v>
      </c>
      <c r="C78" s="226">
        <v>126920327.34</v>
      </c>
      <c r="D78" s="226">
        <v>12312940.59</v>
      </c>
      <c r="E78" s="226">
        <v>14770804.86</v>
      </c>
      <c r="F78" s="166">
        <f t="shared" si="12"/>
        <v>-0.1664001585083563</v>
      </c>
      <c r="G78" s="241">
        <f t="shared" si="13"/>
        <v>0.09701314870560906</v>
      </c>
      <c r="H78" s="242">
        <f t="shared" si="14"/>
        <v>0.9029868512943909</v>
      </c>
      <c r="I78" s="157"/>
    </row>
    <row r="79" spans="1:9" ht="15">
      <c r="A79" s="164"/>
      <c r="B79" s="165">
        <f>DATE(22,4,1)</f>
        <v>8127</v>
      </c>
      <c r="C79" s="226">
        <v>125526989.11</v>
      </c>
      <c r="D79" s="226">
        <v>12424611.6</v>
      </c>
      <c r="E79" s="226">
        <v>13856992.35</v>
      </c>
      <c r="F79" s="166">
        <f t="shared" si="12"/>
        <v>-0.10336880571345629</v>
      </c>
      <c r="G79" s="241">
        <f t="shared" si="13"/>
        <v>0.09897960341510496</v>
      </c>
      <c r="H79" s="242">
        <f t="shared" si="14"/>
        <v>0.9010203965848951</v>
      </c>
      <c r="I79" s="157"/>
    </row>
    <row r="80" spans="1:9" ht="15">
      <c r="A80" s="164"/>
      <c r="B80" s="165">
        <f>DATE(22,5,1)</f>
        <v>8157</v>
      </c>
      <c r="C80" s="226">
        <v>121451054.53</v>
      </c>
      <c r="D80" s="226">
        <v>11818816.79</v>
      </c>
      <c r="E80" s="226">
        <v>13462135.29</v>
      </c>
      <c r="F80" s="166">
        <f t="shared" si="12"/>
        <v>-0.122069676511177</v>
      </c>
      <c r="G80" s="241">
        <f t="shared" si="13"/>
        <v>0.09731341432758492</v>
      </c>
      <c r="H80" s="242">
        <f t="shared" si="14"/>
        <v>0.9026865856724151</v>
      </c>
      <c r="I80" s="157"/>
    </row>
    <row r="81" spans="1:9" ht="15">
      <c r="A81" s="164"/>
      <c r="B81" s="165">
        <f>DATE(22,6,1)</f>
        <v>8188</v>
      </c>
      <c r="C81" s="226">
        <v>108032361.04</v>
      </c>
      <c r="D81" s="226">
        <v>10163774.34</v>
      </c>
      <c r="E81" s="226">
        <v>11551052.74</v>
      </c>
      <c r="F81" s="166">
        <f t="shared" si="12"/>
        <v>-0.1200997373335515</v>
      </c>
      <c r="G81" s="241">
        <f t="shared" si="13"/>
        <v>0.09408083135604864</v>
      </c>
      <c r="H81" s="242">
        <f t="shared" si="14"/>
        <v>0.9059191686439514</v>
      </c>
      <c r="I81" s="157"/>
    </row>
    <row r="82" spans="1:9" ht="15" thickBot="1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6.5" thickBot="1" thickTop="1">
      <c r="A83" s="174" t="s">
        <v>14</v>
      </c>
      <c r="B83" s="175"/>
      <c r="C83" s="228">
        <f>SUM(C70:C82)</f>
        <v>1425569031.1399999</v>
      </c>
      <c r="D83" s="230">
        <f>SUM(D70:D82)</f>
        <v>137376297.01</v>
      </c>
      <c r="E83" s="271">
        <f>SUM(E70:E82)</f>
        <v>145053451.02</v>
      </c>
      <c r="F83" s="272">
        <f>(+D83-E83)/E83</f>
        <v>-0.05292637959328173</v>
      </c>
      <c r="G83" s="249">
        <f>D83/C83</f>
        <v>0.09636593809851694</v>
      </c>
      <c r="H83" s="270">
        <f>1-G83</f>
        <v>0.9036340619014831</v>
      </c>
      <c r="I83" s="157"/>
    </row>
    <row r="84" spans="1:9" ht="15" thickTop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">
      <c r="A85" s="164" t="s">
        <v>64</v>
      </c>
      <c r="B85" s="165">
        <f>DATE(21,7,1)</f>
        <v>7853</v>
      </c>
      <c r="C85" s="226">
        <v>55925733.85</v>
      </c>
      <c r="D85" s="226">
        <v>5744094.34</v>
      </c>
      <c r="E85" s="226">
        <v>4434379.57</v>
      </c>
      <c r="F85" s="166">
        <f aca="true" t="shared" si="15" ref="F85:F96">(+D85-E85)/E85</f>
        <v>0.2953546825040959</v>
      </c>
      <c r="G85" s="241">
        <f aca="true" t="shared" si="16" ref="G85:G96">D85/C85</f>
        <v>0.10270932439449786</v>
      </c>
      <c r="H85" s="242">
        <f aca="true" t="shared" si="17" ref="H85:H96">1-G85</f>
        <v>0.8972906756055021</v>
      </c>
      <c r="I85" s="157"/>
    </row>
    <row r="86" spans="1:9" ht="15">
      <c r="A86" s="164"/>
      <c r="B86" s="165">
        <f>DATE(21,8,1)</f>
        <v>7884</v>
      </c>
      <c r="C86" s="226">
        <v>50658517.55</v>
      </c>
      <c r="D86" s="226">
        <v>5022432.17</v>
      </c>
      <c r="E86" s="226">
        <v>4333573.3</v>
      </c>
      <c r="F86" s="166">
        <f t="shared" si="15"/>
        <v>0.15895862889869664</v>
      </c>
      <c r="G86" s="241">
        <f t="shared" si="16"/>
        <v>0.09914289665193726</v>
      </c>
      <c r="H86" s="242">
        <f t="shared" si="17"/>
        <v>0.9008571033480628</v>
      </c>
      <c r="I86" s="157"/>
    </row>
    <row r="87" spans="1:9" ht="15">
      <c r="A87" s="164"/>
      <c r="B87" s="165">
        <f>DATE(21,9,1)</f>
        <v>7915</v>
      </c>
      <c r="C87" s="226">
        <v>50731057.32</v>
      </c>
      <c r="D87" s="226">
        <v>5281548.16</v>
      </c>
      <c r="E87" s="226">
        <v>4417017.56</v>
      </c>
      <c r="F87" s="166">
        <f t="shared" si="15"/>
        <v>0.19572722731036654</v>
      </c>
      <c r="G87" s="241">
        <f t="shared" si="16"/>
        <v>0.10410877357996291</v>
      </c>
      <c r="H87" s="242">
        <f t="shared" si="17"/>
        <v>0.895891226420037</v>
      </c>
      <c r="I87" s="157"/>
    </row>
    <row r="88" spans="1:9" ht="15">
      <c r="A88" s="164"/>
      <c r="B88" s="165">
        <f>DATE(21,10,1)</f>
        <v>7945</v>
      </c>
      <c r="C88" s="226">
        <v>50383468.32</v>
      </c>
      <c r="D88" s="226">
        <v>5329338.81</v>
      </c>
      <c r="E88" s="226">
        <v>4440838.89</v>
      </c>
      <c r="F88" s="166">
        <f t="shared" si="15"/>
        <v>0.20007479262549874</v>
      </c>
      <c r="G88" s="241">
        <f t="shared" si="16"/>
        <v>0.10577554479083943</v>
      </c>
      <c r="H88" s="242">
        <f t="shared" si="17"/>
        <v>0.8942244552091606</v>
      </c>
      <c r="I88" s="157"/>
    </row>
    <row r="89" spans="1:9" ht="15">
      <c r="A89" s="164"/>
      <c r="B89" s="165">
        <f>DATE(21,11,1)</f>
        <v>7976</v>
      </c>
      <c r="C89" s="226">
        <v>48521452.54</v>
      </c>
      <c r="D89" s="226">
        <v>4979381.55</v>
      </c>
      <c r="E89" s="226">
        <v>4093288.05</v>
      </c>
      <c r="F89" s="166">
        <f t="shared" si="15"/>
        <v>0.2164747482161682</v>
      </c>
      <c r="G89" s="241">
        <f t="shared" si="16"/>
        <v>0.10262226890044376</v>
      </c>
      <c r="H89" s="242">
        <f t="shared" si="17"/>
        <v>0.8973777310995562</v>
      </c>
      <c r="I89" s="157"/>
    </row>
    <row r="90" spans="1:9" ht="15">
      <c r="A90" s="164"/>
      <c r="B90" s="165">
        <f>DATE(21,12,1)</f>
        <v>8006</v>
      </c>
      <c r="C90" s="226">
        <v>54263223.82</v>
      </c>
      <c r="D90" s="226">
        <v>5568235.39</v>
      </c>
      <c r="E90" s="226">
        <v>5522096.13</v>
      </c>
      <c r="F90" s="166">
        <f t="shared" si="15"/>
        <v>0.008355388771546029</v>
      </c>
      <c r="G90" s="241">
        <f t="shared" si="16"/>
        <v>0.10261527049094518</v>
      </c>
      <c r="H90" s="242">
        <f t="shared" si="17"/>
        <v>0.8973847295090548</v>
      </c>
      <c r="I90" s="157"/>
    </row>
    <row r="91" spans="1:9" ht="15">
      <c r="A91" s="164"/>
      <c r="B91" s="165">
        <f>DATE(22,1,1)</f>
        <v>8037</v>
      </c>
      <c r="C91" s="226">
        <v>47452534.9</v>
      </c>
      <c r="D91" s="226">
        <v>4884841.69</v>
      </c>
      <c r="E91" s="226">
        <v>6117314.93</v>
      </c>
      <c r="F91" s="166">
        <f t="shared" si="15"/>
        <v>-0.20147290994547495</v>
      </c>
      <c r="G91" s="241">
        <f t="shared" si="16"/>
        <v>0.10294163842446277</v>
      </c>
      <c r="H91" s="242">
        <f t="shared" si="17"/>
        <v>0.8970583615755372</v>
      </c>
      <c r="I91" s="157"/>
    </row>
    <row r="92" spans="1:9" ht="15">
      <c r="A92" s="164"/>
      <c r="B92" s="165">
        <f>DATE(22,2,1)</f>
        <v>8068</v>
      </c>
      <c r="C92" s="226">
        <v>49042930.52</v>
      </c>
      <c r="D92" s="226">
        <v>4926896.7</v>
      </c>
      <c r="E92" s="226">
        <v>4347455.36</v>
      </c>
      <c r="F92" s="166">
        <f t="shared" si="15"/>
        <v>0.13328287285737647</v>
      </c>
      <c r="G92" s="241">
        <f t="shared" si="16"/>
        <v>0.10046089513331145</v>
      </c>
      <c r="H92" s="242">
        <f t="shared" si="17"/>
        <v>0.8995391048666885</v>
      </c>
      <c r="I92" s="157"/>
    </row>
    <row r="93" spans="1:9" ht="15">
      <c r="A93" s="164"/>
      <c r="B93" s="165">
        <f>DATE(22,3,1)</f>
        <v>8096</v>
      </c>
      <c r="C93" s="226">
        <v>56260322.25</v>
      </c>
      <c r="D93" s="226">
        <v>5781376.58</v>
      </c>
      <c r="E93" s="226">
        <v>7136950.12</v>
      </c>
      <c r="F93" s="166">
        <f t="shared" si="15"/>
        <v>-0.1899373706145504</v>
      </c>
      <c r="G93" s="241">
        <f t="shared" si="16"/>
        <v>0.10276117072898565</v>
      </c>
      <c r="H93" s="242">
        <f t="shared" si="17"/>
        <v>0.8972388292710144</v>
      </c>
      <c r="I93" s="157"/>
    </row>
    <row r="94" spans="1:9" ht="15">
      <c r="A94" s="164"/>
      <c r="B94" s="165">
        <f>DATE(22,4,1)</f>
        <v>8127</v>
      </c>
      <c r="C94" s="226">
        <v>55264941</v>
      </c>
      <c r="D94" s="226">
        <v>5577670.54</v>
      </c>
      <c r="E94" s="226">
        <v>6511908.58</v>
      </c>
      <c r="F94" s="166">
        <f t="shared" si="15"/>
        <v>-0.1434660865586046</v>
      </c>
      <c r="G94" s="241">
        <f t="shared" si="16"/>
        <v>0.10092601998797031</v>
      </c>
      <c r="H94" s="242">
        <f t="shared" si="17"/>
        <v>0.8990739800120296</v>
      </c>
      <c r="I94" s="157"/>
    </row>
    <row r="95" spans="1:9" ht="15">
      <c r="A95" s="164"/>
      <c r="B95" s="165">
        <f>DATE(22,5,1)</f>
        <v>8157</v>
      </c>
      <c r="C95" s="226">
        <v>51385312.75</v>
      </c>
      <c r="D95" s="226">
        <v>5298271.4</v>
      </c>
      <c r="E95" s="226">
        <v>6330542.69</v>
      </c>
      <c r="F95" s="166">
        <f t="shared" si="15"/>
        <v>-0.16306205337349997</v>
      </c>
      <c r="G95" s="241">
        <f t="shared" si="16"/>
        <v>0.10310867281818772</v>
      </c>
      <c r="H95" s="242">
        <f t="shared" si="17"/>
        <v>0.8968913271818123</v>
      </c>
      <c r="I95" s="157"/>
    </row>
    <row r="96" spans="1:9" ht="15">
      <c r="A96" s="164"/>
      <c r="B96" s="165">
        <f>DATE(22,6,1)</f>
        <v>8188</v>
      </c>
      <c r="C96" s="226">
        <v>46659284.58</v>
      </c>
      <c r="D96" s="226">
        <v>5013057.86</v>
      </c>
      <c r="E96" s="226">
        <v>5542585.46</v>
      </c>
      <c r="F96" s="166">
        <f t="shared" si="15"/>
        <v>-0.0955380126876744</v>
      </c>
      <c r="G96" s="241">
        <f t="shared" si="16"/>
        <v>0.1074396640481023</v>
      </c>
      <c r="H96" s="242">
        <f t="shared" si="17"/>
        <v>0.8925603359518977</v>
      </c>
      <c r="I96" s="157"/>
    </row>
    <row r="97" spans="1:9" ht="15" thickBot="1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6.5" thickBot="1" thickTop="1">
      <c r="A98" s="174" t="s">
        <v>14</v>
      </c>
      <c r="B98" s="175"/>
      <c r="C98" s="228">
        <f>SUM(C85:C97)</f>
        <v>616548779.4</v>
      </c>
      <c r="D98" s="230">
        <f>SUM(D85:D97)</f>
        <v>63407145.19</v>
      </c>
      <c r="E98" s="271">
        <f>SUM(E85:E97)</f>
        <v>63227950.63999999</v>
      </c>
      <c r="F98" s="272">
        <f>(+D98-E98)/E98</f>
        <v>0.0028341034018369775</v>
      </c>
      <c r="G98" s="249">
        <f>D98/C98</f>
        <v>0.10284205777149577</v>
      </c>
      <c r="H98" s="270">
        <f>1-G98</f>
        <v>0.8971579422285042</v>
      </c>
      <c r="I98" s="157"/>
    </row>
    <row r="99" spans="1:9" ht="1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">
      <c r="A100" s="290" t="s">
        <v>68</v>
      </c>
      <c r="B100" s="165">
        <f>DATE(21,7,1)</f>
        <v>7853</v>
      </c>
      <c r="C100" s="226">
        <v>75548562.82</v>
      </c>
      <c r="D100" s="226">
        <v>8446672.57</v>
      </c>
      <c r="E100" s="226">
        <v>4303428.05</v>
      </c>
      <c r="F100" s="166">
        <f aca="true" t="shared" si="18" ref="F100:F111">(+D100-E100)/E100</f>
        <v>0.9627776906831289</v>
      </c>
      <c r="G100" s="241">
        <f aca="true" t="shared" si="19" ref="G100:G111">D100/C100</f>
        <v>0.11180454339184213</v>
      </c>
      <c r="H100" s="242">
        <f aca="true" t="shared" si="20" ref="H100:H111">1-G100</f>
        <v>0.8881954566081579</v>
      </c>
      <c r="I100" s="157"/>
    </row>
    <row r="101" spans="1:9" ht="15">
      <c r="A101" s="290"/>
      <c r="B101" s="165">
        <f>DATE(21,8,1)</f>
        <v>7884</v>
      </c>
      <c r="C101" s="226">
        <v>78426771.27</v>
      </c>
      <c r="D101" s="226">
        <v>8803736.44</v>
      </c>
      <c r="E101" s="226">
        <v>4134795.6</v>
      </c>
      <c r="F101" s="166">
        <f t="shared" si="18"/>
        <v>1.1291829854902622</v>
      </c>
      <c r="G101" s="241">
        <f t="shared" si="19"/>
        <v>0.11225422515089088</v>
      </c>
      <c r="H101" s="242">
        <f t="shared" si="20"/>
        <v>0.8877457748491091</v>
      </c>
      <c r="I101" s="157"/>
    </row>
    <row r="102" spans="1:9" ht="15">
      <c r="A102" s="290"/>
      <c r="B102" s="165">
        <f>DATE(21,9,1)</f>
        <v>7915</v>
      </c>
      <c r="C102" s="226">
        <v>81538936.45</v>
      </c>
      <c r="D102" s="226">
        <v>8914995.23</v>
      </c>
      <c r="E102" s="226">
        <v>5078159.95</v>
      </c>
      <c r="F102" s="166">
        <f t="shared" si="18"/>
        <v>0.7555562088980675</v>
      </c>
      <c r="G102" s="241">
        <f t="shared" si="19"/>
        <v>0.1093342103556466</v>
      </c>
      <c r="H102" s="242">
        <f t="shared" si="20"/>
        <v>0.8906657896443534</v>
      </c>
      <c r="I102" s="157"/>
    </row>
    <row r="103" spans="1:9" ht="15">
      <c r="A103" s="290"/>
      <c r="B103" s="165">
        <f>DATE(21,10,1)</f>
        <v>7945</v>
      </c>
      <c r="C103" s="226">
        <v>82353659.94</v>
      </c>
      <c r="D103" s="226">
        <v>9230867.67</v>
      </c>
      <c r="E103" s="226">
        <v>5823943.82</v>
      </c>
      <c r="F103" s="166">
        <f t="shared" si="18"/>
        <v>0.5849856996044992</v>
      </c>
      <c r="G103" s="241">
        <f t="shared" si="19"/>
        <v>0.11208812913385134</v>
      </c>
      <c r="H103" s="242">
        <f t="shared" si="20"/>
        <v>0.8879118708661486</v>
      </c>
      <c r="I103" s="157"/>
    </row>
    <row r="104" spans="1:9" ht="15">
      <c r="A104" s="290"/>
      <c r="B104" s="165">
        <f>DATE(21,11,1)</f>
        <v>7976</v>
      </c>
      <c r="C104" s="226">
        <v>77184349.21</v>
      </c>
      <c r="D104" s="226">
        <v>8512217.68</v>
      </c>
      <c r="E104" s="226">
        <v>5498815.81</v>
      </c>
      <c r="F104" s="166">
        <f t="shared" si="18"/>
        <v>0.5480092394656878</v>
      </c>
      <c r="G104" s="241">
        <f t="shared" si="19"/>
        <v>0.11028424502019586</v>
      </c>
      <c r="H104" s="242">
        <f t="shared" si="20"/>
        <v>0.8897157549798042</v>
      </c>
      <c r="I104" s="157"/>
    </row>
    <row r="105" spans="1:9" ht="15">
      <c r="A105" s="290"/>
      <c r="B105" s="165">
        <f>DATE(21,12,1)</f>
        <v>8006</v>
      </c>
      <c r="C105" s="226">
        <v>81671033.46</v>
      </c>
      <c r="D105" s="226">
        <v>9265401.08</v>
      </c>
      <c r="E105" s="226">
        <v>6073396.25</v>
      </c>
      <c r="F105" s="166">
        <f t="shared" si="18"/>
        <v>0.5255716404145374</v>
      </c>
      <c r="G105" s="241">
        <f t="shared" si="19"/>
        <v>0.11344782461382608</v>
      </c>
      <c r="H105" s="242">
        <f t="shared" si="20"/>
        <v>0.8865521753861739</v>
      </c>
      <c r="I105" s="157"/>
    </row>
    <row r="106" spans="1:9" ht="15">
      <c r="A106" s="290"/>
      <c r="B106" s="165">
        <f>DATE(22,1,1)</f>
        <v>8037</v>
      </c>
      <c r="C106" s="226">
        <v>72620256.52</v>
      </c>
      <c r="D106" s="226">
        <v>8004296.77</v>
      </c>
      <c r="E106" s="226">
        <v>6544399.04</v>
      </c>
      <c r="F106" s="166">
        <f t="shared" si="18"/>
        <v>0.22307590369672806</v>
      </c>
      <c r="G106" s="241">
        <f t="shared" si="19"/>
        <v>0.11022126819113583</v>
      </c>
      <c r="H106" s="242">
        <f t="shared" si="20"/>
        <v>0.8897787318088641</v>
      </c>
      <c r="I106" s="157"/>
    </row>
    <row r="107" spans="1:9" ht="15">
      <c r="A107" s="290"/>
      <c r="B107" s="165">
        <f>DATE(22,2,1)</f>
        <v>8068</v>
      </c>
      <c r="C107" s="226">
        <v>76264752.71</v>
      </c>
      <c r="D107" s="226">
        <v>8308096.34</v>
      </c>
      <c r="E107" s="226">
        <v>5959695.79</v>
      </c>
      <c r="F107" s="166">
        <f t="shared" si="18"/>
        <v>0.39404705084787556</v>
      </c>
      <c r="G107" s="241">
        <f t="shared" si="19"/>
        <v>0.10893756348482364</v>
      </c>
      <c r="H107" s="242">
        <f t="shared" si="20"/>
        <v>0.8910624365151764</v>
      </c>
      <c r="I107" s="157"/>
    </row>
    <row r="108" spans="1:9" ht="15">
      <c r="A108" s="290"/>
      <c r="B108" s="165">
        <f>DATE(22,3,1)</f>
        <v>8096</v>
      </c>
      <c r="C108" s="226">
        <v>92378730.77</v>
      </c>
      <c r="D108" s="226">
        <v>10191834.04</v>
      </c>
      <c r="E108" s="226">
        <v>9308574.85</v>
      </c>
      <c r="F108" s="166">
        <f t="shared" si="18"/>
        <v>0.09488661843869682</v>
      </c>
      <c r="G108" s="241">
        <f t="shared" si="19"/>
        <v>0.11032662989682251</v>
      </c>
      <c r="H108" s="242">
        <f t="shared" si="20"/>
        <v>0.8896733701031775</v>
      </c>
      <c r="I108" s="157"/>
    </row>
    <row r="109" spans="1:9" ht="15">
      <c r="A109" s="290"/>
      <c r="B109" s="165">
        <f>DATE(22,4,1)</f>
        <v>8127</v>
      </c>
      <c r="C109" s="226">
        <v>88924404.92</v>
      </c>
      <c r="D109" s="226">
        <v>9948758.66</v>
      </c>
      <c r="E109" s="226">
        <v>9080911.86</v>
      </c>
      <c r="F109" s="166">
        <f t="shared" si="18"/>
        <v>0.09556824395826707</v>
      </c>
      <c r="G109" s="241">
        <f t="shared" si="19"/>
        <v>0.11187883313866769</v>
      </c>
      <c r="H109" s="242">
        <f t="shared" si="20"/>
        <v>0.8881211668613324</v>
      </c>
      <c r="I109" s="157"/>
    </row>
    <row r="110" spans="1:9" ht="15">
      <c r="A110" s="290"/>
      <c r="B110" s="165">
        <f>DATE(22,5,1)</f>
        <v>8157</v>
      </c>
      <c r="C110" s="226">
        <v>87216143.16</v>
      </c>
      <c r="D110" s="226">
        <v>9691278.63</v>
      </c>
      <c r="E110" s="226">
        <v>9014920.49</v>
      </c>
      <c r="F110" s="166">
        <f t="shared" si="18"/>
        <v>0.07502652305699932</v>
      </c>
      <c r="G110" s="241">
        <f t="shared" si="19"/>
        <v>0.11111794535813319</v>
      </c>
      <c r="H110" s="242">
        <f t="shared" si="20"/>
        <v>0.8888820546418668</v>
      </c>
      <c r="I110" s="157"/>
    </row>
    <row r="111" spans="1:9" ht="15">
      <c r="A111" s="290"/>
      <c r="B111" s="165">
        <f>DATE(22,6,1)</f>
        <v>8188</v>
      </c>
      <c r="C111" s="226">
        <v>80077616.86</v>
      </c>
      <c r="D111" s="226">
        <v>8939778.86</v>
      </c>
      <c r="E111" s="226">
        <v>7483113.85</v>
      </c>
      <c r="F111" s="166">
        <f t="shared" si="18"/>
        <v>0.19466027635006514</v>
      </c>
      <c r="G111" s="241">
        <f t="shared" si="19"/>
        <v>0.1116389224673038</v>
      </c>
      <c r="H111" s="242">
        <f t="shared" si="20"/>
        <v>0.8883610775326962</v>
      </c>
      <c r="I111" s="157"/>
    </row>
    <row r="112" spans="1:9" ht="15" thickBot="1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6.5" thickBot="1" thickTop="1">
      <c r="A113" s="174" t="s">
        <v>14</v>
      </c>
      <c r="B113" s="175"/>
      <c r="C113" s="228">
        <f>SUM(C100:C112)</f>
        <v>974205218.0899999</v>
      </c>
      <c r="D113" s="230">
        <f>SUM(D100:D112)</f>
        <v>108257933.96999998</v>
      </c>
      <c r="E113" s="271">
        <f>SUM(E100:E112)</f>
        <v>78304155.36</v>
      </c>
      <c r="F113" s="272">
        <f>(+D113-E113)/E113</f>
        <v>0.38253115013231126</v>
      </c>
      <c r="G113" s="249">
        <f>D113/C113</f>
        <v>0.11112436266995934</v>
      </c>
      <c r="H113" s="270">
        <f>1-G113</f>
        <v>0.8888756373300406</v>
      </c>
      <c r="I113" s="157"/>
    </row>
    <row r="114" spans="1:9" ht="15" thickTop="1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">
      <c r="A115" s="164" t="s">
        <v>70</v>
      </c>
      <c r="B115" s="165">
        <f>DATE(21,7,1)</f>
        <v>7853</v>
      </c>
      <c r="C115" s="226">
        <v>132221883.15</v>
      </c>
      <c r="D115" s="226">
        <v>13534455.82</v>
      </c>
      <c r="E115" s="226">
        <v>10751795.77</v>
      </c>
      <c r="F115" s="166">
        <f aca="true" t="shared" si="21" ref="F115:F126">(+D115-E115)/E115</f>
        <v>0.2588088640749917</v>
      </c>
      <c r="G115" s="241">
        <f aca="true" t="shared" si="22" ref="G115:G126">D115/C115</f>
        <v>0.10236169306895854</v>
      </c>
      <c r="H115" s="242">
        <f aca="true" t="shared" si="23" ref="H115:H126">1-G115</f>
        <v>0.8976383069310414</v>
      </c>
      <c r="I115" s="157"/>
    </row>
    <row r="116" spans="1:9" ht="15">
      <c r="A116" s="164"/>
      <c r="B116" s="165">
        <f>DATE(21,8,1)</f>
        <v>7884</v>
      </c>
      <c r="C116" s="226">
        <v>113338502.33</v>
      </c>
      <c r="D116" s="226">
        <v>11799607.16</v>
      </c>
      <c r="E116" s="226">
        <v>11312353.68</v>
      </c>
      <c r="F116" s="166">
        <f t="shared" si="21"/>
        <v>0.043072687946581284</v>
      </c>
      <c r="G116" s="241">
        <f t="shared" si="22"/>
        <v>0.104109432517856</v>
      </c>
      <c r="H116" s="242">
        <f t="shared" si="23"/>
        <v>0.895890567482144</v>
      </c>
      <c r="I116" s="157"/>
    </row>
    <row r="117" spans="1:9" ht="15">
      <c r="A117" s="164"/>
      <c r="B117" s="165">
        <f>DATE(21,9,1)</f>
        <v>7915</v>
      </c>
      <c r="C117" s="226">
        <v>111073381.85</v>
      </c>
      <c r="D117" s="226">
        <v>11262305.48</v>
      </c>
      <c r="E117" s="226">
        <v>10956999.04</v>
      </c>
      <c r="F117" s="166">
        <f t="shared" si="21"/>
        <v>0.027864056470703256</v>
      </c>
      <c r="G117" s="241">
        <f t="shared" si="22"/>
        <v>0.10139517940679323</v>
      </c>
      <c r="H117" s="242">
        <f t="shared" si="23"/>
        <v>0.8986048205932068</v>
      </c>
      <c r="I117" s="157"/>
    </row>
    <row r="118" spans="1:9" ht="15">
      <c r="A118" s="164"/>
      <c r="B118" s="165">
        <f>DATE(21,10,1)</f>
        <v>7945</v>
      </c>
      <c r="C118" s="226">
        <v>116016618.26</v>
      </c>
      <c r="D118" s="226">
        <v>11850584.04</v>
      </c>
      <c r="E118" s="226">
        <v>10410650.7</v>
      </c>
      <c r="F118" s="166">
        <f t="shared" si="21"/>
        <v>0.13831348121208215</v>
      </c>
      <c r="G118" s="241">
        <f t="shared" si="22"/>
        <v>0.10214557377842327</v>
      </c>
      <c r="H118" s="242">
        <f t="shared" si="23"/>
        <v>0.8978544262215767</v>
      </c>
      <c r="I118" s="157"/>
    </row>
    <row r="119" spans="1:9" ht="15">
      <c r="A119" s="164"/>
      <c r="B119" s="165">
        <f>DATE(21,11,1)</f>
        <v>7976</v>
      </c>
      <c r="C119" s="226">
        <v>102366140.35</v>
      </c>
      <c r="D119" s="226">
        <v>10537202.82</v>
      </c>
      <c r="E119" s="226">
        <v>9890840.52</v>
      </c>
      <c r="F119" s="166">
        <f t="shared" si="21"/>
        <v>0.06534958264598535</v>
      </c>
      <c r="G119" s="241">
        <f t="shared" si="22"/>
        <v>0.10293640830817942</v>
      </c>
      <c r="H119" s="242">
        <f t="shared" si="23"/>
        <v>0.8970635916918206</v>
      </c>
      <c r="I119" s="157"/>
    </row>
    <row r="120" spans="1:9" ht="15">
      <c r="A120" s="164"/>
      <c r="B120" s="165">
        <f>DATE(21,12,1)</f>
        <v>8006</v>
      </c>
      <c r="C120" s="226">
        <v>112755235.07</v>
      </c>
      <c r="D120" s="226">
        <v>11616287.57</v>
      </c>
      <c r="E120" s="226">
        <v>12890871.2</v>
      </c>
      <c r="F120" s="166">
        <f t="shared" si="21"/>
        <v>-0.09887490226416963</v>
      </c>
      <c r="G120" s="241">
        <f t="shared" si="22"/>
        <v>0.1030221573551636</v>
      </c>
      <c r="H120" s="242">
        <f t="shared" si="23"/>
        <v>0.8969778426448364</v>
      </c>
      <c r="I120" s="157"/>
    </row>
    <row r="121" spans="1:9" ht="15">
      <c r="A121" s="164"/>
      <c r="B121" s="165">
        <f>DATE(22,1,1)</f>
        <v>8037</v>
      </c>
      <c r="C121" s="226">
        <v>96959535.67</v>
      </c>
      <c r="D121" s="226">
        <v>9767141.98</v>
      </c>
      <c r="E121" s="226">
        <v>14761434.99</v>
      </c>
      <c r="F121" s="166">
        <f t="shared" si="21"/>
        <v>-0.3383338417561259</v>
      </c>
      <c r="G121" s="241">
        <f t="shared" si="22"/>
        <v>0.10073420744548828</v>
      </c>
      <c r="H121" s="242">
        <f t="shared" si="23"/>
        <v>0.8992657925545118</v>
      </c>
      <c r="I121" s="157"/>
    </row>
    <row r="122" spans="1:9" ht="15">
      <c r="A122" s="164"/>
      <c r="B122" s="165">
        <f>DATE(22,2,1)</f>
        <v>8068</v>
      </c>
      <c r="C122" s="226">
        <v>100151252.09</v>
      </c>
      <c r="D122" s="226">
        <v>10322075.95</v>
      </c>
      <c r="E122" s="226">
        <v>10549814.82</v>
      </c>
      <c r="F122" s="166">
        <f t="shared" si="21"/>
        <v>-0.02158700165696378</v>
      </c>
      <c r="G122" s="241">
        <f t="shared" si="22"/>
        <v>0.10306487172745639</v>
      </c>
      <c r="H122" s="242">
        <f t="shared" si="23"/>
        <v>0.8969351282725436</v>
      </c>
      <c r="I122" s="157"/>
    </row>
    <row r="123" spans="1:9" ht="15">
      <c r="A123" s="164"/>
      <c r="B123" s="165">
        <f>DATE(22,3,1)</f>
        <v>8096</v>
      </c>
      <c r="C123" s="226">
        <v>126474844.35</v>
      </c>
      <c r="D123" s="226">
        <v>13047812.96</v>
      </c>
      <c r="E123" s="226">
        <v>15700425.04</v>
      </c>
      <c r="F123" s="166">
        <f t="shared" si="21"/>
        <v>-0.16895160947821056</v>
      </c>
      <c r="G123" s="241">
        <f t="shared" si="22"/>
        <v>0.10316528181598036</v>
      </c>
      <c r="H123" s="242">
        <f t="shared" si="23"/>
        <v>0.8968347181840196</v>
      </c>
      <c r="I123" s="157"/>
    </row>
    <row r="124" spans="1:9" ht="15">
      <c r="A124" s="164"/>
      <c r="B124" s="165">
        <f>DATE(22,4,1)</f>
        <v>8127</v>
      </c>
      <c r="C124" s="226">
        <v>110388749.39</v>
      </c>
      <c r="D124" s="226">
        <v>11513326.96</v>
      </c>
      <c r="E124" s="226">
        <v>15196693.13</v>
      </c>
      <c r="F124" s="166">
        <f t="shared" si="21"/>
        <v>-0.2423794531146132</v>
      </c>
      <c r="G124" s="241">
        <f t="shared" si="22"/>
        <v>0.10429801065436275</v>
      </c>
      <c r="H124" s="242">
        <f t="shared" si="23"/>
        <v>0.8957019893456373</v>
      </c>
      <c r="I124" s="157"/>
    </row>
    <row r="125" spans="1:9" ht="15">
      <c r="A125" s="164"/>
      <c r="B125" s="165">
        <f>DATE(22,5,1)</f>
        <v>8157</v>
      </c>
      <c r="C125" s="226">
        <v>108982080.39</v>
      </c>
      <c r="D125" s="226">
        <v>11115266.5</v>
      </c>
      <c r="E125" s="226">
        <v>14411371.16</v>
      </c>
      <c r="F125" s="166">
        <f t="shared" si="21"/>
        <v>-0.228715548534939</v>
      </c>
      <c r="G125" s="241">
        <f t="shared" si="22"/>
        <v>0.10199168946145312</v>
      </c>
      <c r="H125" s="242">
        <f t="shared" si="23"/>
        <v>0.8980083105385469</v>
      </c>
      <c r="I125" s="157"/>
    </row>
    <row r="126" spans="1:9" ht="15">
      <c r="A126" s="164"/>
      <c r="B126" s="165">
        <f>DATE(22,6,1)</f>
        <v>8188</v>
      </c>
      <c r="C126" s="226">
        <v>100582837.42</v>
      </c>
      <c r="D126" s="226">
        <v>10343351.01</v>
      </c>
      <c r="E126" s="226">
        <v>12776031.86</v>
      </c>
      <c r="F126" s="166">
        <f t="shared" si="21"/>
        <v>-0.19040973571899028</v>
      </c>
      <c r="G126" s="241">
        <f t="shared" si="22"/>
        <v>0.10283415416896279</v>
      </c>
      <c r="H126" s="242">
        <f t="shared" si="23"/>
        <v>0.8971658458310372</v>
      </c>
      <c r="I126" s="157"/>
    </row>
    <row r="127" spans="1:9" ht="15" thickBot="1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6.5" thickBot="1" thickTop="1">
      <c r="A128" s="174" t="s">
        <v>14</v>
      </c>
      <c r="B128" s="175"/>
      <c r="C128" s="228">
        <f>SUM(C115:C127)</f>
        <v>1331311060.3200002</v>
      </c>
      <c r="D128" s="230">
        <f>SUM(D115:D127)</f>
        <v>136709418.25</v>
      </c>
      <c r="E128" s="271">
        <f>SUM(E115:E127)</f>
        <v>149609281.90999997</v>
      </c>
      <c r="F128" s="176">
        <f>(+D128-E128)/E128</f>
        <v>-0.0862236854245454</v>
      </c>
      <c r="G128" s="249">
        <f>D128/C128</f>
        <v>0.10268781077890232</v>
      </c>
      <c r="H128" s="270">
        <f>1-G128</f>
        <v>0.8973121892210977</v>
      </c>
      <c r="I128" s="157"/>
    </row>
    <row r="129" spans="1:9" ht="15" thickTop="1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">
      <c r="A130" s="164" t="s">
        <v>16</v>
      </c>
      <c r="B130" s="165">
        <f>DATE(21,7,1)</f>
        <v>7853</v>
      </c>
      <c r="C130" s="226">
        <v>163880399.77</v>
      </c>
      <c r="D130" s="226">
        <v>16148799.36</v>
      </c>
      <c r="E130" s="226">
        <v>12124639.11</v>
      </c>
      <c r="F130" s="166">
        <f aca="true" t="shared" si="24" ref="F130:F141">(+D130-E130)/E130</f>
        <v>0.3318993838489598</v>
      </c>
      <c r="G130" s="241">
        <f aca="true" t="shared" si="25" ref="G130:G141">D130/C130</f>
        <v>0.09854015112645706</v>
      </c>
      <c r="H130" s="242">
        <f aca="true" t="shared" si="26" ref="H130:H141">1-G130</f>
        <v>0.9014598488735429</v>
      </c>
      <c r="I130" s="157"/>
    </row>
    <row r="131" spans="1:9" ht="15">
      <c r="A131" s="164"/>
      <c r="B131" s="165">
        <f>DATE(21,8,1)</f>
        <v>7884</v>
      </c>
      <c r="C131" s="226">
        <v>145844596.15</v>
      </c>
      <c r="D131" s="226">
        <v>14007269.2</v>
      </c>
      <c r="E131" s="226">
        <v>12772714.18</v>
      </c>
      <c r="F131" s="166">
        <f t="shared" si="24"/>
        <v>0.09665565224446286</v>
      </c>
      <c r="G131" s="241">
        <f t="shared" si="25"/>
        <v>0.09604242851475714</v>
      </c>
      <c r="H131" s="242">
        <f t="shared" si="26"/>
        <v>0.9039575714852428</v>
      </c>
      <c r="I131" s="157"/>
    </row>
    <row r="132" spans="1:9" ht="15">
      <c r="A132" s="164"/>
      <c r="B132" s="165">
        <f>DATE(21,9,1)</f>
        <v>7915</v>
      </c>
      <c r="C132" s="226">
        <v>143094986.73</v>
      </c>
      <c r="D132" s="226">
        <v>13534117.95</v>
      </c>
      <c r="E132" s="226">
        <v>12144964.72</v>
      </c>
      <c r="F132" s="166">
        <f t="shared" si="24"/>
        <v>0.11438100167655312</v>
      </c>
      <c r="G132" s="241">
        <f t="shared" si="25"/>
        <v>0.09458135647712779</v>
      </c>
      <c r="H132" s="242">
        <f t="shared" si="26"/>
        <v>0.9054186435228722</v>
      </c>
      <c r="I132" s="157"/>
    </row>
    <row r="133" spans="1:9" ht="15">
      <c r="A133" s="164"/>
      <c r="B133" s="165">
        <f>DATE(21,10,1)</f>
        <v>7945</v>
      </c>
      <c r="C133" s="226">
        <v>155067360.19</v>
      </c>
      <c r="D133" s="226">
        <v>14717532.77</v>
      </c>
      <c r="E133" s="226">
        <v>12789406.33</v>
      </c>
      <c r="F133" s="166">
        <f t="shared" si="24"/>
        <v>0.15075965140596165</v>
      </c>
      <c r="G133" s="241">
        <f t="shared" si="25"/>
        <v>0.0949105779060596</v>
      </c>
      <c r="H133" s="242">
        <f t="shared" si="26"/>
        <v>0.9050894220939404</v>
      </c>
      <c r="I133" s="157"/>
    </row>
    <row r="134" spans="1:9" ht="15">
      <c r="A134" s="164"/>
      <c r="B134" s="165">
        <f>DATE(21,11,1)</f>
        <v>7976</v>
      </c>
      <c r="C134" s="226">
        <v>143453865.59</v>
      </c>
      <c r="D134" s="226">
        <v>13812980.33</v>
      </c>
      <c r="E134" s="226">
        <v>11020143.83</v>
      </c>
      <c r="F134" s="166">
        <f t="shared" si="24"/>
        <v>0.2534301315012873</v>
      </c>
      <c r="G134" s="241">
        <f t="shared" si="25"/>
        <v>0.09628865888827527</v>
      </c>
      <c r="H134" s="242">
        <f t="shared" si="26"/>
        <v>0.9037113411117247</v>
      </c>
      <c r="I134" s="157"/>
    </row>
    <row r="135" spans="1:9" ht="15">
      <c r="A135" s="164"/>
      <c r="B135" s="165">
        <f>DATE(21,12,1)</f>
        <v>8006</v>
      </c>
      <c r="C135" s="226">
        <v>153813418.14</v>
      </c>
      <c r="D135" s="226">
        <v>14881396.94</v>
      </c>
      <c r="E135" s="226">
        <v>12188714.87</v>
      </c>
      <c r="F135" s="166">
        <f t="shared" si="24"/>
        <v>0.22091599473111642</v>
      </c>
      <c r="G135" s="241">
        <f t="shared" si="25"/>
        <v>0.09674966670628857</v>
      </c>
      <c r="H135" s="242">
        <f t="shared" si="26"/>
        <v>0.9032503332937114</v>
      </c>
      <c r="I135" s="157"/>
    </row>
    <row r="136" spans="1:9" ht="15">
      <c r="A136" s="164"/>
      <c r="B136" s="165">
        <f>DATE(22,1,1)</f>
        <v>8037</v>
      </c>
      <c r="C136" s="226">
        <v>138402939.88</v>
      </c>
      <c r="D136" s="226">
        <v>13218577.91</v>
      </c>
      <c r="E136" s="226">
        <v>13712800.54</v>
      </c>
      <c r="F136" s="166">
        <f t="shared" si="24"/>
        <v>-0.036040969790114</v>
      </c>
      <c r="G136" s="241">
        <f t="shared" si="25"/>
        <v>0.09550792722655278</v>
      </c>
      <c r="H136" s="242">
        <f t="shared" si="26"/>
        <v>0.9044920727734472</v>
      </c>
      <c r="I136" s="157"/>
    </row>
    <row r="137" spans="1:9" ht="15">
      <c r="A137" s="164"/>
      <c r="B137" s="165">
        <f>DATE(22,2,1)</f>
        <v>8068</v>
      </c>
      <c r="C137" s="226">
        <v>146170186.36</v>
      </c>
      <c r="D137" s="226">
        <v>14111261.68</v>
      </c>
      <c r="E137" s="226">
        <v>11801663.46</v>
      </c>
      <c r="F137" s="166">
        <f t="shared" si="24"/>
        <v>0.19570107449920443</v>
      </c>
      <c r="G137" s="241">
        <f t="shared" si="25"/>
        <v>0.09653994450855811</v>
      </c>
      <c r="H137" s="242">
        <f t="shared" si="26"/>
        <v>0.9034600554914419</v>
      </c>
      <c r="I137" s="157"/>
    </row>
    <row r="138" spans="1:9" ht="15">
      <c r="A138" s="164"/>
      <c r="B138" s="165">
        <f>DATE(22,3,1)</f>
        <v>8096</v>
      </c>
      <c r="C138" s="226">
        <v>163699710.52</v>
      </c>
      <c r="D138" s="226">
        <v>16088302.82</v>
      </c>
      <c r="E138" s="226">
        <v>17750671.77</v>
      </c>
      <c r="F138" s="166">
        <f t="shared" si="24"/>
        <v>-0.0936510443965017</v>
      </c>
      <c r="G138" s="241">
        <f t="shared" si="25"/>
        <v>0.09827936023157727</v>
      </c>
      <c r="H138" s="242">
        <f t="shared" si="26"/>
        <v>0.9017206397684228</v>
      </c>
      <c r="I138" s="157"/>
    </row>
    <row r="139" spans="1:9" ht="15">
      <c r="A139" s="164"/>
      <c r="B139" s="165">
        <f>DATE(22,4,1)</f>
        <v>8127</v>
      </c>
      <c r="C139" s="226">
        <v>165055379.78</v>
      </c>
      <c r="D139" s="226">
        <v>16169410.21</v>
      </c>
      <c r="E139" s="226">
        <v>17175205.884</v>
      </c>
      <c r="F139" s="166">
        <f t="shared" si="24"/>
        <v>-0.05856090930106249</v>
      </c>
      <c r="G139" s="241">
        <f t="shared" si="25"/>
        <v>0.09796354551758313</v>
      </c>
      <c r="H139" s="242">
        <f t="shared" si="26"/>
        <v>0.9020364544824169</v>
      </c>
      <c r="I139" s="157"/>
    </row>
    <row r="140" spans="1:9" ht="15">
      <c r="A140" s="164"/>
      <c r="B140" s="165">
        <f>DATE(22,5,1)</f>
        <v>8157</v>
      </c>
      <c r="C140" s="226">
        <v>156922714.06</v>
      </c>
      <c r="D140" s="226">
        <v>15057793.13</v>
      </c>
      <c r="E140" s="226">
        <v>17139059.95</v>
      </c>
      <c r="F140" s="166">
        <f t="shared" si="24"/>
        <v>-0.12143412918046292</v>
      </c>
      <c r="G140" s="241">
        <f t="shared" si="25"/>
        <v>0.09595674673484551</v>
      </c>
      <c r="H140" s="242">
        <f t="shared" si="26"/>
        <v>0.9040432532651544</v>
      </c>
      <c r="I140" s="157"/>
    </row>
    <row r="141" spans="1:9" ht="15">
      <c r="A141" s="164"/>
      <c r="B141" s="165">
        <f>DATE(22,6,1)</f>
        <v>8188</v>
      </c>
      <c r="C141" s="226">
        <v>150188049.71</v>
      </c>
      <c r="D141" s="226">
        <v>14541336.98</v>
      </c>
      <c r="E141" s="226">
        <v>14780716.42</v>
      </c>
      <c r="F141" s="166">
        <f t="shared" si="24"/>
        <v>-0.01619538817997291</v>
      </c>
      <c r="G141" s="241">
        <f t="shared" si="25"/>
        <v>0.09682086562864389</v>
      </c>
      <c r="H141" s="242">
        <f t="shared" si="26"/>
        <v>0.9031791343713561</v>
      </c>
      <c r="I141" s="157"/>
    </row>
    <row r="142" spans="1:9" ht="15.75" customHeight="1" thickBot="1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6.5" thickBot="1" thickTop="1">
      <c r="A143" s="174" t="s">
        <v>14</v>
      </c>
      <c r="B143" s="181"/>
      <c r="C143" s="228">
        <f>SUM(C130:C142)</f>
        <v>1825593606.8799999</v>
      </c>
      <c r="D143" s="228">
        <f>SUM(D130:D142)</f>
        <v>176288779.27999997</v>
      </c>
      <c r="E143" s="228">
        <f>SUM(E130:E142)</f>
        <v>165400701.06399998</v>
      </c>
      <c r="F143" s="176">
        <f>(+D143-E143)/E143</f>
        <v>0.06582848891182734</v>
      </c>
      <c r="G143" s="245">
        <f>D143/C143</f>
        <v>0.09656518220464376</v>
      </c>
      <c r="H143" s="246">
        <f>1-G143</f>
        <v>0.9034348177953563</v>
      </c>
      <c r="I143" s="157"/>
    </row>
    <row r="144" spans="1:9" ht="15" thickTop="1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">
      <c r="A145" s="164" t="s">
        <v>53</v>
      </c>
      <c r="B145" s="165">
        <f>DATE(21,7,1)</f>
        <v>7853</v>
      </c>
      <c r="C145" s="226">
        <v>200357166.29</v>
      </c>
      <c r="D145" s="226">
        <v>17635283.72</v>
      </c>
      <c r="E145" s="226">
        <v>13113665.15</v>
      </c>
      <c r="F145" s="166">
        <f aca="true" t="shared" si="27" ref="F145:F156">(+D145-E145)/E145</f>
        <v>0.34480204567370687</v>
      </c>
      <c r="G145" s="241">
        <f aca="true" t="shared" si="28" ref="G145:G156">D145/C145</f>
        <v>0.0880192310889166</v>
      </c>
      <c r="H145" s="242">
        <f aca="true" t="shared" si="29" ref="H145:H156">1-G145</f>
        <v>0.9119807689110834</v>
      </c>
      <c r="I145" s="157"/>
    </row>
    <row r="146" spans="1:9" ht="15">
      <c r="A146" s="164"/>
      <c r="B146" s="165">
        <f>DATE(21,8,1)</f>
        <v>7884</v>
      </c>
      <c r="C146" s="226">
        <v>187880345.89</v>
      </c>
      <c r="D146" s="226">
        <v>17152915.09</v>
      </c>
      <c r="E146" s="226">
        <v>13163225.94</v>
      </c>
      <c r="F146" s="166">
        <f t="shared" si="27"/>
        <v>0.303093570541569</v>
      </c>
      <c r="G146" s="241">
        <f t="shared" si="28"/>
        <v>0.09129701677280641</v>
      </c>
      <c r="H146" s="242">
        <f t="shared" si="29"/>
        <v>0.9087029832271936</v>
      </c>
      <c r="I146" s="157"/>
    </row>
    <row r="147" spans="1:9" ht="15">
      <c r="A147" s="164"/>
      <c r="B147" s="165">
        <f>DATE(21,9,1)</f>
        <v>7915</v>
      </c>
      <c r="C147" s="226">
        <v>188989871.89</v>
      </c>
      <c r="D147" s="226">
        <v>16762718.67</v>
      </c>
      <c r="E147" s="226">
        <v>13632742.51</v>
      </c>
      <c r="F147" s="166">
        <f t="shared" si="27"/>
        <v>0.22959255320080127</v>
      </c>
      <c r="G147" s="241">
        <f t="shared" si="28"/>
        <v>0.08869638622622382</v>
      </c>
      <c r="H147" s="242">
        <f t="shared" si="29"/>
        <v>0.9113036137737762</v>
      </c>
      <c r="I147" s="157"/>
    </row>
    <row r="148" spans="1:9" ht="15">
      <c r="A148" s="164"/>
      <c r="B148" s="165">
        <f>DATE(21,10,1)</f>
        <v>7945</v>
      </c>
      <c r="C148" s="226">
        <v>196390014.61</v>
      </c>
      <c r="D148" s="226">
        <v>18368300.02</v>
      </c>
      <c r="E148" s="226">
        <v>14284849.61</v>
      </c>
      <c r="F148" s="166">
        <f t="shared" si="27"/>
        <v>0.2858588309632194</v>
      </c>
      <c r="G148" s="241">
        <f t="shared" si="28"/>
        <v>0.09352970443266467</v>
      </c>
      <c r="H148" s="242">
        <f t="shared" si="29"/>
        <v>0.9064702955673354</v>
      </c>
      <c r="I148" s="157"/>
    </row>
    <row r="149" spans="1:9" ht="15">
      <c r="A149" s="164"/>
      <c r="B149" s="165">
        <f>DATE(21,11,1)</f>
        <v>7976</v>
      </c>
      <c r="C149" s="226">
        <v>186554423.29</v>
      </c>
      <c r="D149" s="226">
        <v>17099113.55</v>
      </c>
      <c r="E149" s="226">
        <v>12348288.83</v>
      </c>
      <c r="F149" s="166">
        <f t="shared" si="27"/>
        <v>0.38473547107660266</v>
      </c>
      <c r="G149" s="241">
        <f t="shared" si="28"/>
        <v>0.0916575080260591</v>
      </c>
      <c r="H149" s="242">
        <f t="shared" si="29"/>
        <v>0.9083424919739409</v>
      </c>
      <c r="I149" s="157"/>
    </row>
    <row r="150" spans="1:9" ht="15">
      <c r="A150" s="164"/>
      <c r="B150" s="165">
        <f>DATE(21,12,1)</f>
        <v>8006</v>
      </c>
      <c r="C150" s="226">
        <v>206769172.86</v>
      </c>
      <c r="D150" s="226">
        <v>18695924.3</v>
      </c>
      <c r="E150" s="226">
        <v>12123166.43</v>
      </c>
      <c r="F150" s="166">
        <f t="shared" si="27"/>
        <v>0.5421651107366676</v>
      </c>
      <c r="G150" s="241">
        <f t="shared" si="28"/>
        <v>0.09041930207197135</v>
      </c>
      <c r="H150" s="242">
        <f t="shared" si="29"/>
        <v>0.9095806979280286</v>
      </c>
      <c r="I150" s="157"/>
    </row>
    <row r="151" spans="1:9" ht="15">
      <c r="A151" s="164"/>
      <c r="B151" s="165">
        <f>DATE(22,1,1)</f>
        <v>8037</v>
      </c>
      <c r="C151" s="226">
        <v>188729424.12</v>
      </c>
      <c r="D151" s="226">
        <v>16268714.7</v>
      </c>
      <c r="E151" s="226">
        <v>13355551.67</v>
      </c>
      <c r="F151" s="166">
        <f t="shared" si="27"/>
        <v>0.21812375122951394</v>
      </c>
      <c r="G151" s="241">
        <f t="shared" si="28"/>
        <v>0.08620126287067907</v>
      </c>
      <c r="H151" s="242">
        <f t="shared" si="29"/>
        <v>0.9137987371293209</v>
      </c>
      <c r="I151" s="157"/>
    </row>
    <row r="152" spans="1:9" ht="15">
      <c r="A152" s="164"/>
      <c r="B152" s="165">
        <f>DATE(22,2,1)</f>
        <v>8068</v>
      </c>
      <c r="C152" s="226">
        <v>187783165.44</v>
      </c>
      <c r="D152" s="226">
        <v>16850587.23</v>
      </c>
      <c r="E152" s="226">
        <v>11342744.4</v>
      </c>
      <c r="F152" s="166">
        <f t="shared" si="27"/>
        <v>0.4855829097233294</v>
      </c>
      <c r="G152" s="241">
        <f t="shared" si="28"/>
        <v>0.089734280442642</v>
      </c>
      <c r="H152" s="242">
        <f t="shared" si="29"/>
        <v>0.910265719557358</v>
      </c>
      <c r="I152" s="157"/>
    </row>
    <row r="153" spans="1:9" ht="15">
      <c r="A153" s="164"/>
      <c r="B153" s="165">
        <f>DATE(22,3,1)</f>
        <v>8096</v>
      </c>
      <c r="C153" s="226">
        <v>223597613.43</v>
      </c>
      <c r="D153" s="226">
        <v>20102038.1</v>
      </c>
      <c r="E153" s="226">
        <v>16919608</v>
      </c>
      <c r="F153" s="166">
        <f t="shared" si="27"/>
        <v>0.18809124301224955</v>
      </c>
      <c r="G153" s="241">
        <f t="shared" si="28"/>
        <v>0.08990273997845327</v>
      </c>
      <c r="H153" s="242">
        <f t="shared" si="29"/>
        <v>0.9100972600215467</v>
      </c>
      <c r="I153" s="157"/>
    </row>
    <row r="154" spans="1:9" ht="15">
      <c r="A154" s="164"/>
      <c r="B154" s="165">
        <f>DATE(22,4,1)</f>
        <v>8127</v>
      </c>
      <c r="C154" s="226">
        <v>223292924.17</v>
      </c>
      <c r="D154" s="226">
        <v>19770105.32</v>
      </c>
      <c r="E154" s="226">
        <v>16896033.17</v>
      </c>
      <c r="F154" s="166">
        <f t="shared" si="27"/>
        <v>0.1701033681150141</v>
      </c>
      <c r="G154" s="241">
        <f t="shared" si="28"/>
        <v>0.08853887956139797</v>
      </c>
      <c r="H154" s="242">
        <f t="shared" si="29"/>
        <v>0.9114611204386021</v>
      </c>
      <c r="I154" s="157"/>
    </row>
    <row r="155" spans="1:9" ht="15">
      <c r="A155" s="164"/>
      <c r="B155" s="165">
        <f>DATE(22,5,1)</f>
        <v>8157</v>
      </c>
      <c r="C155" s="226">
        <v>211077262.26</v>
      </c>
      <c r="D155" s="226">
        <v>19445827.75</v>
      </c>
      <c r="E155" s="226">
        <v>17979970.69</v>
      </c>
      <c r="F155" s="166">
        <f t="shared" si="27"/>
        <v>0.08152722188892503</v>
      </c>
      <c r="G155" s="241">
        <f t="shared" si="28"/>
        <v>0.09212658692743081</v>
      </c>
      <c r="H155" s="242">
        <f t="shared" si="29"/>
        <v>0.9078734130725692</v>
      </c>
      <c r="I155" s="157"/>
    </row>
    <row r="156" spans="1:9" ht="15">
      <c r="A156" s="164"/>
      <c r="B156" s="165">
        <f>DATE(22,6,1)</f>
        <v>8188</v>
      </c>
      <c r="C156" s="226">
        <v>194824494.43</v>
      </c>
      <c r="D156" s="226">
        <v>17545199.96</v>
      </c>
      <c r="E156" s="226">
        <v>16909104.59</v>
      </c>
      <c r="F156" s="166">
        <f t="shared" si="27"/>
        <v>0.03761851295048386</v>
      </c>
      <c r="G156" s="241">
        <f t="shared" si="28"/>
        <v>0.09005643777663672</v>
      </c>
      <c r="H156" s="242">
        <f t="shared" si="29"/>
        <v>0.9099435622233633</v>
      </c>
      <c r="I156" s="157"/>
    </row>
    <row r="157" spans="1:9" ht="15" thickBot="1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6.5" thickBot="1" thickTop="1">
      <c r="A158" s="174" t="s">
        <v>14</v>
      </c>
      <c r="B158" s="175"/>
      <c r="C158" s="228">
        <f>SUM(C145:C157)</f>
        <v>2396245878.68</v>
      </c>
      <c r="D158" s="228">
        <f>SUM(D145:D157)</f>
        <v>215696728.41</v>
      </c>
      <c r="E158" s="228">
        <f>SUM(E145:E157)</f>
        <v>172068950.99</v>
      </c>
      <c r="F158" s="176">
        <f>(+D158-E158)/E158</f>
        <v>0.25354822685317274</v>
      </c>
      <c r="G158" s="249">
        <f>D158/C158</f>
        <v>0.09001443897268968</v>
      </c>
      <c r="H158" s="270">
        <f>1-G158</f>
        <v>0.9099855610273103</v>
      </c>
      <c r="I158" s="157"/>
    </row>
    <row r="159" spans="1:9" ht="15" thickTop="1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">
      <c r="A160" s="164" t="s">
        <v>54</v>
      </c>
      <c r="B160" s="165">
        <f>DATE(21,7,1)</f>
        <v>7853</v>
      </c>
      <c r="C160" s="226">
        <v>32852563.39</v>
      </c>
      <c r="D160" s="226">
        <v>3540868.12</v>
      </c>
      <c r="E160" s="226">
        <v>2784731.95</v>
      </c>
      <c r="F160" s="166">
        <f aca="true" t="shared" si="30" ref="F160:F171">(+D160-E160)/E160</f>
        <v>0.27152924718660976</v>
      </c>
      <c r="G160" s="241">
        <f aca="true" t="shared" si="31" ref="G160:G171">D160/C160</f>
        <v>0.10778057340505143</v>
      </c>
      <c r="H160" s="242">
        <f aca="true" t="shared" si="32" ref="H160:H171">1-G160</f>
        <v>0.8922194265949486</v>
      </c>
      <c r="I160" s="157"/>
    </row>
    <row r="161" spans="1:9" ht="15">
      <c r="A161" s="164"/>
      <c r="B161" s="165">
        <f>DATE(21,8,1)</f>
        <v>7884</v>
      </c>
      <c r="C161" s="226">
        <v>29251271.52</v>
      </c>
      <c r="D161" s="226">
        <v>3115295.59</v>
      </c>
      <c r="E161" s="226">
        <v>2961173.82</v>
      </c>
      <c r="F161" s="166">
        <f t="shared" si="30"/>
        <v>0.052047525531615034</v>
      </c>
      <c r="G161" s="241">
        <f t="shared" si="31"/>
        <v>0.10650120244755773</v>
      </c>
      <c r="H161" s="242">
        <f t="shared" si="32"/>
        <v>0.8934987975524422</v>
      </c>
      <c r="I161" s="157"/>
    </row>
    <row r="162" spans="1:9" ht="15">
      <c r="A162" s="164"/>
      <c r="B162" s="165">
        <f>DATE(21,9,1)</f>
        <v>7915</v>
      </c>
      <c r="C162" s="226">
        <v>28714079.04</v>
      </c>
      <c r="D162" s="226">
        <v>3042841.65</v>
      </c>
      <c r="E162" s="226">
        <v>2707604.99</v>
      </c>
      <c r="F162" s="166">
        <f t="shared" si="30"/>
        <v>0.1238129864725946</v>
      </c>
      <c r="G162" s="241">
        <f t="shared" si="31"/>
        <v>0.1059703724351105</v>
      </c>
      <c r="H162" s="242">
        <f t="shared" si="32"/>
        <v>0.8940296275648895</v>
      </c>
      <c r="I162" s="157"/>
    </row>
    <row r="163" spans="1:9" ht="15">
      <c r="A163" s="164"/>
      <c r="B163" s="165">
        <f>DATE(21,10,1)</f>
        <v>7945</v>
      </c>
      <c r="C163" s="226">
        <v>30764540.79</v>
      </c>
      <c r="D163" s="226">
        <v>3415416.93</v>
      </c>
      <c r="E163" s="226">
        <v>2777127.87</v>
      </c>
      <c r="F163" s="166">
        <f t="shared" si="30"/>
        <v>0.22983783602301325</v>
      </c>
      <c r="G163" s="241">
        <f t="shared" si="31"/>
        <v>0.1110179720644548</v>
      </c>
      <c r="H163" s="242">
        <f t="shared" si="32"/>
        <v>0.8889820279355451</v>
      </c>
      <c r="I163" s="157"/>
    </row>
    <row r="164" spans="1:9" ht="15">
      <c r="A164" s="164"/>
      <c r="B164" s="165">
        <f>DATE(21,11,1)</f>
        <v>7976</v>
      </c>
      <c r="C164" s="226">
        <v>26364208.16</v>
      </c>
      <c r="D164" s="226">
        <v>3126811.29</v>
      </c>
      <c r="E164" s="226">
        <v>2545068.3</v>
      </c>
      <c r="F164" s="166">
        <f t="shared" si="30"/>
        <v>0.2285765729744857</v>
      </c>
      <c r="G164" s="241">
        <f t="shared" si="31"/>
        <v>0.11860061455378829</v>
      </c>
      <c r="H164" s="242">
        <f t="shared" si="32"/>
        <v>0.8813993854462117</v>
      </c>
      <c r="I164" s="157"/>
    </row>
    <row r="165" spans="1:9" ht="15">
      <c r="A165" s="164"/>
      <c r="B165" s="165">
        <f>DATE(21,12,1)</f>
        <v>8006</v>
      </c>
      <c r="C165" s="226">
        <v>28863732.34</v>
      </c>
      <c r="D165" s="226">
        <v>3080901.79</v>
      </c>
      <c r="E165" s="226">
        <v>3275319.33</v>
      </c>
      <c r="F165" s="166">
        <f t="shared" si="30"/>
        <v>-0.05935834659517002</v>
      </c>
      <c r="G165" s="241">
        <f t="shared" si="31"/>
        <v>0.10673954960878078</v>
      </c>
      <c r="H165" s="242">
        <f t="shared" si="32"/>
        <v>0.8932604503912193</v>
      </c>
      <c r="I165" s="157"/>
    </row>
    <row r="166" spans="1:9" ht="15">
      <c r="A166" s="164"/>
      <c r="B166" s="165">
        <f>DATE(22,1,1)</f>
        <v>8037</v>
      </c>
      <c r="C166" s="226">
        <v>25072068.11</v>
      </c>
      <c r="D166" s="226">
        <v>2697598.25</v>
      </c>
      <c r="E166" s="226">
        <v>3376789.13</v>
      </c>
      <c r="F166" s="166">
        <f t="shared" si="30"/>
        <v>-0.2011351179633772</v>
      </c>
      <c r="G166" s="241">
        <f t="shared" si="31"/>
        <v>0.10759376682309117</v>
      </c>
      <c r="H166" s="242">
        <f t="shared" si="32"/>
        <v>0.8924062331769088</v>
      </c>
      <c r="I166" s="157"/>
    </row>
    <row r="167" spans="1:9" ht="15">
      <c r="A167" s="164"/>
      <c r="B167" s="165">
        <f>DATE(22,2,1)</f>
        <v>8068</v>
      </c>
      <c r="C167" s="226">
        <v>25705348.33</v>
      </c>
      <c r="D167" s="226">
        <v>2911358.37</v>
      </c>
      <c r="E167" s="226">
        <v>2596549.7</v>
      </c>
      <c r="F167" s="166">
        <f t="shared" si="30"/>
        <v>0.12124114936063034</v>
      </c>
      <c r="G167" s="241">
        <f t="shared" si="31"/>
        <v>0.11325885697499903</v>
      </c>
      <c r="H167" s="242">
        <f t="shared" si="32"/>
        <v>0.886741143025001</v>
      </c>
      <c r="I167" s="157"/>
    </row>
    <row r="168" spans="1:9" ht="15">
      <c r="A168" s="164"/>
      <c r="B168" s="165">
        <f>DATE(22,3,1)</f>
        <v>8096</v>
      </c>
      <c r="C168" s="226">
        <v>30885456.42</v>
      </c>
      <c r="D168" s="226">
        <v>3443177.29</v>
      </c>
      <c r="E168" s="226">
        <v>4129956.27</v>
      </c>
      <c r="F168" s="166">
        <f t="shared" si="30"/>
        <v>-0.16629207069061774</v>
      </c>
      <c r="G168" s="241">
        <f t="shared" si="31"/>
        <v>0.11148215662341181</v>
      </c>
      <c r="H168" s="242">
        <f t="shared" si="32"/>
        <v>0.8885178433765882</v>
      </c>
      <c r="I168" s="157"/>
    </row>
    <row r="169" spans="1:9" ht="15">
      <c r="A169" s="164"/>
      <c r="B169" s="165">
        <f>DATE(22,4,1)</f>
        <v>8127</v>
      </c>
      <c r="C169" s="226">
        <v>31423892.42</v>
      </c>
      <c r="D169" s="226">
        <v>3438636.03</v>
      </c>
      <c r="E169" s="226">
        <v>3809202.94</v>
      </c>
      <c r="F169" s="166">
        <f t="shared" si="30"/>
        <v>-0.09728200776827085</v>
      </c>
      <c r="G169" s="241">
        <f t="shared" si="31"/>
        <v>0.10942743769742067</v>
      </c>
      <c r="H169" s="242">
        <f t="shared" si="32"/>
        <v>0.8905725623025793</v>
      </c>
      <c r="I169" s="157"/>
    </row>
    <row r="170" spans="1:9" ht="15">
      <c r="A170" s="164"/>
      <c r="B170" s="165">
        <f>DATE(22,5,1)</f>
        <v>8157</v>
      </c>
      <c r="C170" s="226">
        <v>26480608.85</v>
      </c>
      <c r="D170" s="226">
        <v>3043117.21</v>
      </c>
      <c r="E170" s="226">
        <v>3164766.52</v>
      </c>
      <c r="F170" s="166">
        <f t="shared" si="30"/>
        <v>-0.0384386365411879</v>
      </c>
      <c r="G170" s="241">
        <f t="shared" si="31"/>
        <v>0.11491870248293025</v>
      </c>
      <c r="H170" s="242">
        <f t="shared" si="32"/>
        <v>0.8850812975170698</v>
      </c>
      <c r="I170" s="157"/>
    </row>
    <row r="171" spans="1:9" ht="15">
      <c r="A171" s="164"/>
      <c r="B171" s="165">
        <f>DATE(22,6,1)</f>
        <v>8188</v>
      </c>
      <c r="C171" s="226">
        <v>24751461.64</v>
      </c>
      <c r="D171" s="226">
        <v>2688419.11</v>
      </c>
      <c r="E171" s="226">
        <v>3221938.03</v>
      </c>
      <c r="F171" s="166">
        <f t="shared" si="30"/>
        <v>-0.1655894418304501</v>
      </c>
      <c r="G171" s="241">
        <f t="shared" si="31"/>
        <v>0.10861657986513963</v>
      </c>
      <c r="H171" s="242">
        <f t="shared" si="32"/>
        <v>0.8913834201348604</v>
      </c>
      <c r="I171" s="157"/>
    </row>
    <row r="172" spans="1:9" ht="15" thickBot="1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6.5" thickBot="1" thickTop="1">
      <c r="A173" s="182" t="s">
        <v>14</v>
      </c>
      <c r="B173" s="183"/>
      <c r="C173" s="230">
        <f>SUM(C160:C172)</f>
        <v>341129231.01</v>
      </c>
      <c r="D173" s="230">
        <f>SUM(D160:D172)</f>
        <v>37544441.629999995</v>
      </c>
      <c r="E173" s="230">
        <f>SUM(E160:E172)</f>
        <v>37350228.85</v>
      </c>
      <c r="F173" s="176">
        <f>(+D173-E173)/E173</f>
        <v>0.005199774833507981</v>
      </c>
      <c r="G173" s="249">
        <f>D173/C173</f>
        <v>0.11005929195466513</v>
      </c>
      <c r="H173" s="246">
        <f>1-G173</f>
        <v>0.8899407080453349</v>
      </c>
      <c r="I173" s="157"/>
    </row>
    <row r="174" spans="1:9" ht="15" thickTop="1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">
      <c r="A175" s="164" t="s">
        <v>37</v>
      </c>
      <c r="B175" s="165">
        <f>DATE(21,7,1)</f>
        <v>7853</v>
      </c>
      <c r="C175" s="226">
        <v>233748610.44</v>
      </c>
      <c r="D175" s="226">
        <v>21441670.74</v>
      </c>
      <c r="E175" s="226">
        <v>17781520.26</v>
      </c>
      <c r="F175" s="166">
        <f aca="true" t="shared" si="33" ref="F175:F186">(+D175-E175)/E175</f>
        <v>0.20584013214177202</v>
      </c>
      <c r="G175" s="241">
        <f aca="true" t="shared" si="34" ref="G175:G186">D175/C175</f>
        <v>0.0917296179842052</v>
      </c>
      <c r="H175" s="242">
        <f aca="true" t="shared" si="35" ref="H175:H186">1-G175</f>
        <v>0.9082703820157948</v>
      </c>
      <c r="I175" s="157"/>
    </row>
    <row r="176" spans="1:9" ht="15">
      <c r="A176" s="164"/>
      <c r="B176" s="165">
        <f>DATE(21,8,1)</f>
        <v>7884</v>
      </c>
      <c r="C176" s="226">
        <v>213172987.47</v>
      </c>
      <c r="D176" s="226">
        <v>19679228.6</v>
      </c>
      <c r="E176" s="226">
        <v>17286123.99</v>
      </c>
      <c r="F176" s="166">
        <f t="shared" si="33"/>
        <v>0.13844078703730295</v>
      </c>
      <c r="G176" s="241">
        <f t="shared" si="34"/>
        <v>0.09231577055591753</v>
      </c>
      <c r="H176" s="242">
        <f t="shared" si="35"/>
        <v>0.9076842294440824</v>
      </c>
      <c r="I176" s="157"/>
    </row>
    <row r="177" spans="1:9" ht="15">
      <c r="A177" s="164"/>
      <c r="B177" s="165">
        <f>DATE(21,9,1)</f>
        <v>7915</v>
      </c>
      <c r="C177" s="226">
        <v>211086159.19</v>
      </c>
      <c r="D177" s="226">
        <v>19466571.38</v>
      </c>
      <c r="E177" s="226">
        <v>16702603.76</v>
      </c>
      <c r="F177" s="166">
        <f t="shared" si="33"/>
        <v>0.16548124230901345</v>
      </c>
      <c r="G177" s="241">
        <f t="shared" si="34"/>
        <v>0.09222097486021343</v>
      </c>
      <c r="H177" s="242">
        <f t="shared" si="35"/>
        <v>0.9077790251397866</v>
      </c>
      <c r="I177" s="157"/>
    </row>
    <row r="178" spans="1:9" ht="15">
      <c r="A178" s="164"/>
      <c r="B178" s="165">
        <f>DATE(21,10,1)</f>
        <v>7945</v>
      </c>
      <c r="C178" s="226">
        <v>221465276.75</v>
      </c>
      <c r="D178" s="226">
        <v>20992171.95</v>
      </c>
      <c r="E178" s="226">
        <v>17754592.84</v>
      </c>
      <c r="F178" s="166">
        <f t="shared" si="33"/>
        <v>0.1823516393293984</v>
      </c>
      <c r="G178" s="241">
        <f t="shared" si="34"/>
        <v>0.09478764462790666</v>
      </c>
      <c r="H178" s="242">
        <f t="shared" si="35"/>
        <v>0.9052123553720933</v>
      </c>
      <c r="I178" s="157"/>
    </row>
    <row r="179" spans="1:9" ht="15">
      <c r="A179" s="164"/>
      <c r="B179" s="165">
        <f>DATE(21,11,1)</f>
        <v>7976</v>
      </c>
      <c r="C179" s="226">
        <v>210964434.35</v>
      </c>
      <c r="D179" s="226">
        <v>19425579.76</v>
      </c>
      <c r="E179" s="226">
        <v>15307588.33</v>
      </c>
      <c r="F179" s="166">
        <f t="shared" si="33"/>
        <v>0.2690163428245265</v>
      </c>
      <c r="G179" s="241">
        <f t="shared" si="34"/>
        <v>0.09207987981411143</v>
      </c>
      <c r="H179" s="242">
        <f t="shared" si="35"/>
        <v>0.9079201201858885</v>
      </c>
      <c r="I179" s="157"/>
    </row>
    <row r="180" spans="1:9" ht="15">
      <c r="A180" s="164"/>
      <c r="B180" s="165">
        <f>DATE(21,12,1)</f>
        <v>8006</v>
      </c>
      <c r="C180" s="226">
        <v>232501845.03</v>
      </c>
      <c r="D180" s="226">
        <v>21621662.72</v>
      </c>
      <c r="E180" s="226">
        <v>19390114.29</v>
      </c>
      <c r="F180" s="166">
        <f t="shared" si="33"/>
        <v>0.11508691473525089</v>
      </c>
      <c r="G180" s="241">
        <f t="shared" si="34"/>
        <v>0.09299566081813299</v>
      </c>
      <c r="H180" s="242">
        <f t="shared" si="35"/>
        <v>0.907004339181867</v>
      </c>
      <c r="I180" s="157"/>
    </row>
    <row r="181" spans="1:9" ht="15">
      <c r="A181" s="164"/>
      <c r="B181" s="165">
        <f>DATE(22,1,1)</f>
        <v>8037</v>
      </c>
      <c r="C181" s="226">
        <v>205128645.43</v>
      </c>
      <c r="D181" s="226">
        <v>18690342.72</v>
      </c>
      <c r="E181" s="226">
        <v>21258869.32</v>
      </c>
      <c r="F181" s="166">
        <f t="shared" si="33"/>
        <v>-0.12082141158766017</v>
      </c>
      <c r="G181" s="241">
        <f t="shared" si="34"/>
        <v>0.0911152251837887</v>
      </c>
      <c r="H181" s="242">
        <f t="shared" si="35"/>
        <v>0.9088847748162113</v>
      </c>
      <c r="I181" s="157"/>
    </row>
    <row r="182" spans="1:9" ht="15">
      <c r="A182" s="164"/>
      <c r="B182" s="165">
        <f>DATE(22,2,1)</f>
        <v>8068</v>
      </c>
      <c r="C182" s="226">
        <v>199609422.41</v>
      </c>
      <c r="D182" s="226">
        <v>18139556.95</v>
      </c>
      <c r="E182" s="226">
        <v>17430403.5</v>
      </c>
      <c r="F182" s="166">
        <f t="shared" si="33"/>
        <v>0.040684855631712674</v>
      </c>
      <c r="G182" s="241">
        <f t="shared" si="34"/>
        <v>0.09087525393836943</v>
      </c>
      <c r="H182" s="242">
        <f t="shared" si="35"/>
        <v>0.9091247460616305</v>
      </c>
      <c r="I182" s="157"/>
    </row>
    <row r="183" spans="1:9" ht="15">
      <c r="A183" s="164"/>
      <c r="B183" s="165">
        <f>DATE(22,3,1)</f>
        <v>8096</v>
      </c>
      <c r="C183" s="226">
        <v>230766252.42</v>
      </c>
      <c r="D183" s="226">
        <v>21560181.28</v>
      </c>
      <c r="E183" s="226">
        <v>23210435.77</v>
      </c>
      <c r="F183" s="166">
        <f t="shared" si="33"/>
        <v>-0.07109967716043439</v>
      </c>
      <c r="G183" s="241">
        <f t="shared" si="34"/>
        <v>0.0934286580204109</v>
      </c>
      <c r="H183" s="242">
        <f t="shared" si="35"/>
        <v>0.9065713419795891</v>
      </c>
      <c r="I183" s="157"/>
    </row>
    <row r="184" spans="1:9" ht="15">
      <c r="A184" s="164"/>
      <c r="B184" s="165">
        <f>DATE(22,4,1)</f>
        <v>8127</v>
      </c>
      <c r="C184" s="226">
        <v>226997466.87</v>
      </c>
      <c r="D184" s="226">
        <v>20708642.59</v>
      </c>
      <c r="E184" s="226">
        <v>22680246.17</v>
      </c>
      <c r="F184" s="166">
        <f t="shared" si="33"/>
        <v>-0.08693043123173481</v>
      </c>
      <c r="G184" s="241">
        <f t="shared" si="34"/>
        <v>0.09122851843038278</v>
      </c>
      <c r="H184" s="242">
        <f t="shared" si="35"/>
        <v>0.9087714815696172</v>
      </c>
      <c r="I184" s="157"/>
    </row>
    <row r="185" spans="1:9" ht="15">
      <c r="A185" s="164"/>
      <c r="B185" s="165">
        <f>DATE(22,5,1)</f>
        <v>8157</v>
      </c>
      <c r="C185" s="226">
        <v>215467537.27</v>
      </c>
      <c r="D185" s="226">
        <v>20421283.67</v>
      </c>
      <c r="E185" s="226">
        <v>22245591.99</v>
      </c>
      <c r="F185" s="166">
        <f t="shared" si="33"/>
        <v>-0.08200763193085951</v>
      </c>
      <c r="G185" s="241">
        <f t="shared" si="34"/>
        <v>0.09477661428139086</v>
      </c>
      <c r="H185" s="242">
        <f t="shared" si="35"/>
        <v>0.9052233857186092</v>
      </c>
      <c r="I185" s="157"/>
    </row>
    <row r="186" spans="1:9" ht="15">
      <c r="A186" s="164"/>
      <c r="B186" s="165">
        <f>DATE(22,6,1)</f>
        <v>8188</v>
      </c>
      <c r="C186" s="226">
        <v>207727475.99</v>
      </c>
      <c r="D186" s="226">
        <v>19324054.37</v>
      </c>
      <c r="E186" s="226">
        <v>20172087.68</v>
      </c>
      <c r="F186" s="166">
        <f t="shared" si="33"/>
        <v>-0.04203993773241415</v>
      </c>
      <c r="G186" s="241">
        <f t="shared" si="34"/>
        <v>0.09302599127970082</v>
      </c>
      <c r="H186" s="242">
        <f t="shared" si="35"/>
        <v>0.9069740087202992</v>
      </c>
      <c r="I186" s="157"/>
    </row>
    <row r="187" spans="1:9" ht="15" thickBot="1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6.5" thickBot="1" thickTop="1">
      <c r="A188" s="174" t="s">
        <v>14</v>
      </c>
      <c r="B188" s="175"/>
      <c r="C188" s="228">
        <f>SUM(C175:C187)</f>
        <v>2608636113.62</v>
      </c>
      <c r="D188" s="228">
        <f>SUM(D175:D187)</f>
        <v>241470946.73000002</v>
      </c>
      <c r="E188" s="228">
        <f>SUM(E175:E187)</f>
        <v>231220177.90000004</v>
      </c>
      <c r="F188" s="176">
        <f>(+D188-E188)/E188</f>
        <v>0.04433336624467661</v>
      </c>
      <c r="G188" s="245">
        <f>D188/C188</f>
        <v>0.09256597555682505</v>
      </c>
      <c r="H188" s="246">
        <f>1-G188</f>
        <v>0.9074340244431749</v>
      </c>
      <c r="I188" s="157"/>
    </row>
    <row r="189" spans="1:9" ht="15" thickTop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">
      <c r="A190" s="164" t="s">
        <v>57</v>
      </c>
      <c r="B190" s="165">
        <f>DATE(21,7,1)</f>
        <v>7853</v>
      </c>
      <c r="C190" s="226">
        <v>34083326.16</v>
      </c>
      <c r="D190" s="226">
        <v>3963905.07</v>
      </c>
      <c r="E190" s="226">
        <v>3357321.79</v>
      </c>
      <c r="F190" s="166">
        <f aca="true" t="shared" si="36" ref="F190:F201">(+D190-E190)/E190</f>
        <v>0.18067475146610829</v>
      </c>
      <c r="G190" s="241">
        <f aca="true" t="shared" si="37" ref="G190:G201">D190/C190</f>
        <v>0.11630041772894856</v>
      </c>
      <c r="H190" s="242">
        <f aca="true" t="shared" si="38" ref="H190:H201">1-G190</f>
        <v>0.8836995822710514</v>
      </c>
      <c r="I190" s="157"/>
    </row>
    <row r="191" spans="1:9" ht="15">
      <c r="A191" s="164"/>
      <c r="B191" s="165">
        <f>DATE(21,8,1)</f>
        <v>7884</v>
      </c>
      <c r="C191" s="226">
        <v>34540166.32</v>
      </c>
      <c r="D191" s="226">
        <v>3797696.16</v>
      </c>
      <c r="E191" s="226">
        <v>3360444.04</v>
      </c>
      <c r="F191" s="166">
        <f t="shared" si="36"/>
        <v>0.13011736389456438</v>
      </c>
      <c r="G191" s="241">
        <f t="shared" si="37"/>
        <v>0.10995014108548161</v>
      </c>
      <c r="H191" s="242">
        <f t="shared" si="38"/>
        <v>0.8900498589145184</v>
      </c>
      <c r="I191" s="157"/>
    </row>
    <row r="192" spans="1:9" ht="15">
      <c r="A192" s="164"/>
      <c r="B192" s="165">
        <f>DATE(21,9,1)</f>
        <v>7915</v>
      </c>
      <c r="C192" s="226">
        <v>32245918.62</v>
      </c>
      <c r="D192" s="226">
        <v>3519488.37</v>
      </c>
      <c r="E192" s="226">
        <v>3031984.28</v>
      </c>
      <c r="F192" s="166">
        <f t="shared" si="36"/>
        <v>0.16078714299930352</v>
      </c>
      <c r="G192" s="241">
        <f t="shared" si="37"/>
        <v>0.10914523513735767</v>
      </c>
      <c r="H192" s="242">
        <f t="shared" si="38"/>
        <v>0.8908547648626424</v>
      </c>
      <c r="I192" s="157"/>
    </row>
    <row r="193" spans="1:9" ht="15">
      <c r="A193" s="164"/>
      <c r="B193" s="165">
        <f>DATE(21,10,1)</f>
        <v>7945</v>
      </c>
      <c r="C193" s="226">
        <v>35165394.68</v>
      </c>
      <c r="D193" s="226">
        <v>3955357.96</v>
      </c>
      <c r="E193" s="226">
        <v>2770053.12</v>
      </c>
      <c r="F193" s="166">
        <f t="shared" si="36"/>
        <v>0.42789967868919415</v>
      </c>
      <c r="G193" s="241">
        <f t="shared" si="37"/>
        <v>0.11247870231496575</v>
      </c>
      <c r="H193" s="242">
        <f t="shared" si="38"/>
        <v>0.8875212976850343</v>
      </c>
      <c r="I193" s="157"/>
    </row>
    <row r="194" spans="1:9" ht="15">
      <c r="A194" s="164"/>
      <c r="B194" s="165">
        <f>DATE(21,11,1)</f>
        <v>7976</v>
      </c>
      <c r="C194" s="226">
        <v>32606589.75</v>
      </c>
      <c r="D194" s="226">
        <v>3600834.91</v>
      </c>
      <c r="E194" s="226">
        <v>2396488.16</v>
      </c>
      <c r="F194" s="166">
        <f t="shared" si="36"/>
        <v>0.5025465053831102</v>
      </c>
      <c r="G194" s="241">
        <f t="shared" si="37"/>
        <v>0.110432735763175</v>
      </c>
      <c r="H194" s="242">
        <f t="shared" si="38"/>
        <v>0.889567264236825</v>
      </c>
      <c r="I194" s="157"/>
    </row>
    <row r="195" spans="1:9" ht="15">
      <c r="A195" s="164"/>
      <c r="B195" s="165">
        <f>DATE(21,12,1)</f>
        <v>8006</v>
      </c>
      <c r="C195" s="226">
        <v>36407288.43</v>
      </c>
      <c r="D195" s="226">
        <v>3929490.08</v>
      </c>
      <c r="E195" s="226">
        <v>2648752.51</v>
      </c>
      <c r="F195" s="166">
        <f t="shared" si="36"/>
        <v>0.4835248159896979</v>
      </c>
      <c r="G195" s="241">
        <f t="shared" si="37"/>
        <v>0.10793141289704118</v>
      </c>
      <c r="H195" s="242">
        <f t="shared" si="38"/>
        <v>0.8920685871029588</v>
      </c>
      <c r="I195" s="157"/>
    </row>
    <row r="196" spans="1:9" ht="15">
      <c r="A196" s="164"/>
      <c r="B196" s="165">
        <f>DATE(22,1,1)</f>
        <v>8037</v>
      </c>
      <c r="C196" s="226">
        <v>30326927.2</v>
      </c>
      <c r="D196" s="226">
        <v>3412089.33</v>
      </c>
      <c r="E196" s="226">
        <v>3041407.25</v>
      </c>
      <c r="F196" s="166">
        <f t="shared" si="36"/>
        <v>0.12187847582726716</v>
      </c>
      <c r="G196" s="241">
        <f t="shared" si="37"/>
        <v>0.11251022259848338</v>
      </c>
      <c r="H196" s="242">
        <f t="shared" si="38"/>
        <v>0.8874897774015166</v>
      </c>
      <c r="I196" s="157"/>
    </row>
    <row r="197" spans="1:9" ht="15">
      <c r="A197" s="164"/>
      <c r="B197" s="165">
        <f>DATE(22,2,1)</f>
        <v>8068</v>
      </c>
      <c r="C197" s="226">
        <v>34706950.13</v>
      </c>
      <c r="D197" s="226">
        <v>3898386.72</v>
      </c>
      <c r="E197" s="226">
        <v>2699820.17</v>
      </c>
      <c r="F197" s="166">
        <f t="shared" si="36"/>
        <v>0.4439431052920833</v>
      </c>
      <c r="G197" s="241">
        <f t="shared" si="37"/>
        <v>0.112322941237937</v>
      </c>
      <c r="H197" s="242">
        <f t="shared" si="38"/>
        <v>0.887677058762063</v>
      </c>
      <c r="I197" s="157"/>
    </row>
    <row r="198" spans="1:9" ht="15">
      <c r="A198" s="164"/>
      <c r="B198" s="165">
        <f>DATE(22,3,1)</f>
        <v>8096</v>
      </c>
      <c r="C198" s="226">
        <v>38299066.33</v>
      </c>
      <c r="D198" s="226">
        <v>4277132.01</v>
      </c>
      <c r="E198" s="226">
        <v>4317336.44</v>
      </c>
      <c r="F198" s="166">
        <f t="shared" si="36"/>
        <v>-0.009312322669020585</v>
      </c>
      <c r="G198" s="241">
        <f t="shared" si="37"/>
        <v>0.11167718745795337</v>
      </c>
      <c r="H198" s="242">
        <f t="shared" si="38"/>
        <v>0.8883228125420466</v>
      </c>
      <c r="I198" s="157"/>
    </row>
    <row r="199" spans="1:9" ht="15">
      <c r="A199" s="164"/>
      <c r="B199" s="165">
        <f>DATE(22,4,1)</f>
        <v>8127</v>
      </c>
      <c r="C199" s="226">
        <v>38209445</v>
      </c>
      <c r="D199" s="226">
        <v>4391413.75</v>
      </c>
      <c r="E199" s="226">
        <v>4384922.79</v>
      </c>
      <c r="F199" s="166">
        <f t="shared" si="36"/>
        <v>0.001480290602790742</v>
      </c>
      <c r="G199" s="241">
        <f t="shared" si="37"/>
        <v>0.1149300585234881</v>
      </c>
      <c r="H199" s="242">
        <f t="shared" si="38"/>
        <v>0.8850699414765119</v>
      </c>
      <c r="I199" s="157"/>
    </row>
    <row r="200" spans="1:9" ht="15">
      <c r="A200" s="164"/>
      <c r="B200" s="165">
        <f>DATE(22,5,1)</f>
        <v>8157</v>
      </c>
      <c r="C200" s="226">
        <v>34140087.36</v>
      </c>
      <c r="D200" s="226">
        <v>3881631.19</v>
      </c>
      <c r="E200" s="226">
        <v>4157751.73</v>
      </c>
      <c r="F200" s="166">
        <f t="shared" si="36"/>
        <v>-0.06641102161239436</v>
      </c>
      <c r="G200" s="241">
        <f t="shared" si="37"/>
        <v>0.11369716629805367</v>
      </c>
      <c r="H200" s="242">
        <f t="shared" si="38"/>
        <v>0.8863028337019463</v>
      </c>
      <c r="I200" s="157"/>
    </row>
    <row r="201" spans="1:9" ht="15">
      <c r="A201" s="164"/>
      <c r="B201" s="165">
        <f>DATE(22,6,1)</f>
        <v>8188</v>
      </c>
      <c r="C201" s="226">
        <v>31589940.91</v>
      </c>
      <c r="D201" s="226">
        <v>3590504.18</v>
      </c>
      <c r="E201" s="226">
        <v>3527120.36</v>
      </c>
      <c r="F201" s="166">
        <f t="shared" si="36"/>
        <v>0.017970415957112476</v>
      </c>
      <c r="G201" s="241">
        <f t="shared" si="37"/>
        <v>0.11365973080574528</v>
      </c>
      <c r="H201" s="242">
        <f t="shared" si="38"/>
        <v>0.8863402691942547</v>
      </c>
      <c r="I201" s="157"/>
    </row>
    <row r="202" spans="1:9" ht="15" thickBot="1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6.5" thickBot="1" thickTop="1">
      <c r="A203" s="169" t="s">
        <v>14</v>
      </c>
      <c r="B203" s="155"/>
      <c r="C203" s="223">
        <f>SUM(C190:C202)</f>
        <v>412321100.89000005</v>
      </c>
      <c r="D203" s="223">
        <f>SUM(D190:D202)</f>
        <v>46217929.73</v>
      </c>
      <c r="E203" s="223">
        <f>SUM(E190:E202)</f>
        <v>39693402.64</v>
      </c>
      <c r="F203" s="176">
        <f>(+D203-E203)/E203</f>
        <v>0.16437308610638163</v>
      </c>
      <c r="G203" s="245">
        <f>D203/C203</f>
        <v>0.1120920797655954</v>
      </c>
      <c r="H203" s="246">
        <f>1-G203</f>
        <v>0.8879079202344046</v>
      </c>
      <c r="I203" s="157"/>
    </row>
    <row r="204" spans="1:9" ht="15.75" thickBot="1" thickTop="1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6.5" thickBot="1" thickTop="1">
      <c r="A205" s="184" t="s">
        <v>38</v>
      </c>
      <c r="B205" s="155"/>
      <c r="C205" s="223">
        <f>C203+C188+C143+C113+C83+C53+C23+C68+C173+C38+C128+C158+C98</f>
        <v>16891190508.97</v>
      </c>
      <c r="D205" s="223">
        <f>D203+D188+D143+D113+D83+D53+D23+D68+D173+D38+D128+D158+D98</f>
        <v>1634361211.42</v>
      </c>
      <c r="E205" s="223">
        <f>E203+E188+E143+E113+E83+E53+E23+E68+E173+E38+E128+E158+E98</f>
        <v>1500433580.434</v>
      </c>
      <c r="F205" s="170">
        <f>(+D205-E205)/E205</f>
        <v>0.08925928660385056</v>
      </c>
      <c r="G205" s="236">
        <f>D205/C205</f>
        <v>0.09675820129742063</v>
      </c>
      <c r="H205" s="237">
        <f>1-G205</f>
        <v>0.9032417987025794</v>
      </c>
      <c r="I205" s="157"/>
    </row>
    <row r="206" spans="1:9" ht="16.5" thickBot="1" thickTop="1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6.5" thickBot="1" thickTop="1">
      <c r="A207" s="184" t="s">
        <v>39</v>
      </c>
      <c r="B207" s="155"/>
      <c r="C207" s="223">
        <f>SUM(C21+C36+C51+C66+C81+C96+C111+C126+C141+C156+C171+C186+C201)</f>
        <v>1342048204.7700002</v>
      </c>
      <c r="D207" s="223">
        <f>SUM(D21+D36+D51+D66+D81+D96+D111+D126+D141+D156+D171+D186+D201)</f>
        <v>128894677.69000001</v>
      </c>
      <c r="E207" s="223">
        <f>SUM(E21+E36+E51+E66+E81+E96+E111+E126+E141+E156+E171+E186+E201)</f>
        <v>135075980.01000002</v>
      </c>
      <c r="F207" s="170">
        <f>(+D207-E207)/E207</f>
        <v>-0.045761669243801824</v>
      </c>
      <c r="G207" s="236">
        <f>D207/C207</f>
        <v>0.09604325480401797</v>
      </c>
      <c r="H207" s="246">
        <f>1-G207</f>
        <v>0.903956745195982</v>
      </c>
      <c r="I207" s="157"/>
    </row>
    <row r="208" spans="1:9" ht="15.75" thickTop="1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9" ht="16.5" customHeight="1">
      <c r="A209" s="188" t="s">
        <v>49</v>
      </c>
      <c r="B209" s="189"/>
      <c r="C209" s="232"/>
      <c r="D209" s="232"/>
      <c r="E209" s="232"/>
      <c r="F209" s="190"/>
      <c r="G209" s="251"/>
      <c r="H209" s="251"/>
      <c r="I209" s="151"/>
    </row>
    <row r="210" spans="1:9" ht="15">
      <c r="A210" s="191"/>
      <c r="B210" s="189"/>
      <c r="C210" s="232"/>
      <c r="D210" s="232"/>
      <c r="E210" s="232"/>
      <c r="F210" s="190"/>
      <c r="G210" s="257"/>
      <c r="H210" s="257"/>
      <c r="I210" s="151"/>
    </row>
    <row r="211" spans="1:9" ht="15">
      <c r="A211" s="72"/>
      <c r="I21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2022-07-08T13:37:09Z</cp:lastPrinted>
  <dcterms:created xsi:type="dcterms:W3CDTF">2003-09-09T14:41:43Z</dcterms:created>
  <dcterms:modified xsi:type="dcterms:W3CDTF">2022-07-08T13:41:33Z</dcterms:modified>
  <cp:category/>
  <cp:version/>
  <cp:contentType/>
  <cp:contentStatus/>
</cp:coreProperties>
</file>