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Staging folder - FOR WEB USE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STATS'!$A$1:$M$156</definedName>
    <definedName name="_xlnm.Print_Area" localSheetId="4">'SLOT STATS'!$A$1:$I$157</definedName>
    <definedName name="_xlnm.Print_Area" localSheetId="2">'TABLE STATS'!$A$1:$H$156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F16" i="1" l="1"/>
  <c r="E155" i="4"/>
  <c r="D155" i="4"/>
  <c r="C155" i="4"/>
  <c r="F149" i="4"/>
  <c r="G149" i="4"/>
  <c r="H149" i="4" s="1"/>
  <c r="F138" i="4"/>
  <c r="G138" i="4"/>
  <c r="H138" i="4"/>
  <c r="F127" i="4"/>
  <c r="G127" i="4"/>
  <c r="H127" i="4" s="1"/>
  <c r="F116" i="4"/>
  <c r="G116" i="4"/>
  <c r="H116" i="4"/>
  <c r="F105" i="4"/>
  <c r="G105" i="4"/>
  <c r="H105" i="4" s="1"/>
  <c r="F94" i="4"/>
  <c r="G94" i="4"/>
  <c r="H94" i="4"/>
  <c r="F83" i="4"/>
  <c r="G83" i="4"/>
  <c r="H83" i="4" s="1"/>
  <c r="F72" i="4"/>
  <c r="G72" i="4"/>
  <c r="H72" i="4"/>
  <c r="F61" i="4"/>
  <c r="G61" i="4"/>
  <c r="H61" i="4" s="1"/>
  <c r="F50" i="4"/>
  <c r="G50" i="4"/>
  <c r="H50" i="4"/>
  <c r="F39" i="4"/>
  <c r="G39" i="4"/>
  <c r="H39" i="4" s="1"/>
  <c r="F28" i="4"/>
  <c r="G28" i="4"/>
  <c r="H28" i="4"/>
  <c r="F17" i="4"/>
  <c r="G17" i="4"/>
  <c r="H17" i="4" s="1"/>
  <c r="B149" i="4"/>
  <c r="B138" i="4"/>
  <c r="B127" i="4"/>
  <c r="B116" i="4"/>
  <c r="B105" i="4"/>
  <c r="B94" i="4"/>
  <c r="B83" i="4"/>
  <c r="B72" i="4"/>
  <c r="B61" i="4"/>
  <c r="B50" i="4"/>
  <c r="B39" i="4"/>
  <c r="B28" i="4"/>
  <c r="B17" i="4"/>
  <c r="E155" i="5"/>
  <c r="D155" i="5"/>
  <c r="G155" i="5" s="1"/>
  <c r="H155" i="5" s="1"/>
  <c r="C155" i="5"/>
  <c r="F138" i="5"/>
  <c r="G138" i="5"/>
  <c r="H138" i="5"/>
  <c r="G17" i="5"/>
  <c r="H17" i="5" s="1"/>
  <c r="B149" i="5"/>
  <c r="B138" i="5"/>
  <c r="B127" i="5"/>
  <c r="B116" i="5"/>
  <c r="B105" i="5"/>
  <c r="B94" i="5"/>
  <c r="B83" i="5"/>
  <c r="B72" i="5"/>
  <c r="B61" i="5"/>
  <c r="B50" i="5"/>
  <c r="B39" i="5"/>
  <c r="B28" i="5"/>
  <c r="B17" i="5"/>
  <c r="E154" i="3"/>
  <c r="D154" i="3"/>
  <c r="F154" i="3"/>
  <c r="C154" i="3"/>
  <c r="F148" i="3"/>
  <c r="G148" i="3"/>
  <c r="F137" i="3"/>
  <c r="G137" i="3"/>
  <c r="F126" i="3"/>
  <c r="G126" i="3"/>
  <c r="F115" i="3"/>
  <c r="G115" i="3"/>
  <c r="F104" i="3"/>
  <c r="G104" i="3"/>
  <c r="F93" i="3"/>
  <c r="G93" i="3"/>
  <c r="F82" i="3"/>
  <c r="G82" i="3"/>
  <c r="F71" i="3"/>
  <c r="G71" i="3"/>
  <c r="F60" i="3"/>
  <c r="G60" i="3"/>
  <c r="F49" i="3"/>
  <c r="G49" i="3"/>
  <c r="F38" i="3"/>
  <c r="G38" i="3"/>
  <c r="F27" i="3"/>
  <c r="G27" i="3"/>
  <c r="F16" i="3"/>
  <c r="G16" i="3"/>
  <c r="B148" i="3"/>
  <c r="B137" i="3"/>
  <c r="B126" i="3"/>
  <c r="B115" i="3"/>
  <c r="B104" i="3"/>
  <c r="B93" i="3"/>
  <c r="B82" i="3"/>
  <c r="B71" i="3"/>
  <c r="B60" i="3"/>
  <c r="B49" i="3"/>
  <c r="B38" i="3"/>
  <c r="B27" i="3"/>
  <c r="B16" i="3"/>
  <c r="N38" i="2"/>
  <c r="M38" i="2"/>
  <c r="L38" i="2"/>
  <c r="K38" i="2"/>
  <c r="J38" i="2"/>
  <c r="I38" i="2"/>
  <c r="H38" i="2"/>
  <c r="G38" i="2"/>
  <c r="F38" i="2"/>
  <c r="E38" i="2"/>
  <c r="O38" i="2" s="1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38" i="2"/>
  <c r="A17" i="2"/>
  <c r="F10" i="1"/>
  <c r="J10" i="1"/>
  <c r="F132" i="1"/>
  <c r="H132" i="1"/>
  <c r="F131" i="1"/>
  <c r="G25" i="1"/>
  <c r="L154" i="1"/>
  <c r="K154" i="1"/>
  <c r="M154" i="1"/>
  <c r="D154" i="1"/>
  <c r="C154" i="1"/>
  <c r="E154" i="1"/>
  <c r="M148" i="1"/>
  <c r="I148" i="1"/>
  <c r="J148" i="1"/>
  <c r="G148" i="1"/>
  <c r="F148" i="1"/>
  <c r="H148" i="1" s="1"/>
  <c r="E148" i="1"/>
  <c r="M137" i="1"/>
  <c r="I137" i="1"/>
  <c r="J137" i="1"/>
  <c r="G137" i="1"/>
  <c r="F137" i="1"/>
  <c r="H137" i="1" s="1"/>
  <c r="E137" i="1"/>
  <c r="H126" i="1"/>
  <c r="M126" i="1"/>
  <c r="I126" i="1"/>
  <c r="J126" i="1"/>
  <c r="G126" i="1"/>
  <c r="F126" i="1"/>
  <c r="E126" i="1"/>
  <c r="M115" i="1"/>
  <c r="I115" i="1"/>
  <c r="J115" i="1"/>
  <c r="G115" i="1"/>
  <c r="F115" i="1"/>
  <c r="H115" i="1" s="1"/>
  <c r="E115" i="1"/>
  <c r="M104" i="1"/>
  <c r="I104" i="1"/>
  <c r="G104" i="1"/>
  <c r="F104" i="1"/>
  <c r="H104" i="1" s="1"/>
  <c r="E104" i="1"/>
  <c r="H93" i="1"/>
  <c r="M93" i="1"/>
  <c r="I93" i="1"/>
  <c r="J93" i="1"/>
  <c r="G93" i="1"/>
  <c r="F93" i="1"/>
  <c r="E93" i="1"/>
  <c r="H82" i="1"/>
  <c r="M82" i="1"/>
  <c r="I82" i="1"/>
  <c r="J82" i="1"/>
  <c r="G82" i="1"/>
  <c r="F82" i="1"/>
  <c r="E82" i="1"/>
  <c r="M71" i="1"/>
  <c r="I71" i="1"/>
  <c r="G71" i="1"/>
  <c r="F71" i="1"/>
  <c r="H71" i="1" s="1"/>
  <c r="E71" i="1"/>
  <c r="H60" i="1"/>
  <c r="M60" i="1"/>
  <c r="I60" i="1"/>
  <c r="F60" i="1"/>
  <c r="J60" i="1" s="1"/>
  <c r="G60" i="1"/>
  <c r="E60" i="1"/>
  <c r="M49" i="1"/>
  <c r="I49" i="1"/>
  <c r="G49" i="1"/>
  <c r="F49" i="1"/>
  <c r="H49" i="1" s="1"/>
  <c r="E49" i="1"/>
  <c r="H38" i="1"/>
  <c r="M38" i="1"/>
  <c r="I38" i="1"/>
  <c r="G38" i="1"/>
  <c r="F38" i="1"/>
  <c r="J38" i="1" s="1"/>
  <c r="E38" i="1"/>
  <c r="H27" i="1"/>
  <c r="M27" i="1"/>
  <c r="I27" i="1"/>
  <c r="J27" i="1"/>
  <c r="G27" i="1"/>
  <c r="F27" i="1"/>
  <c r="E27" i="1"/>
  <c r="M16" i="1"/>
  <c r="I16" i="1"/>
  <c r="J16" i="1"/>
  <c r="G16" i="1"/>
  <c r="G154" i="1" s="1"/>
  <c r="E16" i="1"/>
  <c r="B148" i="1"/>
  <c r="B137" i="1"/>
  <c r="B126" i="1"/>
  <c r="B115" i="1"/>
  <c r="B104" i="1"/>
  <c r="B93" i="1"/>
  <c r="B82" i="1"/>
  <c r="B71" i="1"/>
  <c r="B60" i="1"/>
  <c r="B49" i="1"/>
  <c r="B38" i="1"/>
  <c r="B27" i="1"/>
  <c r="B16" i="1"/>
  <c r="G155" i="4"/>
  <c r="H155" i="4" s="1"/>
  <c r="G154" i="3"/>
  <c r="F148" i="4"/>
  <c r="G148" i="4"/>
  <c r="H148" i="4" s="1"/>
  <c r="F137" i="4"/>
  <c r="G137" i="4"/>
  <c r="H137" i="4"/>
  <c r="F126" i="4"/>
  <c r="G126" i="4"/>
  <c r="H126" i="4" s="1"/>
  <c r="F115" i="4"/>
  <c r="G115" i="4"/>
  <c r="H115" i="4"/>
  <c r="F104" i="4"/>
  <c r="G104" i="4"/>
  <c r="H104" i="4" s="1"/>
  <c r="F93" i="4"/>
  <c r="G93" i="4"/>
  <c r="H93" i="4"/>
  <c r="F82" i="4"/>
  <c r="G82" i="4"/>
  <c r="H82" i="4" s="1"/>
  <c r="F71" i="4"/>
  <c r="G71" i="4"/>
  <c r="H71" i="4"/>
  <c r="F60" i="4"/>
  <c r="G60" i="4"/>
  <c r="H60" i="4" s="1"/>
  <c r="F49" i="4"/>
  <c r="G49" i="4"/>
  <c r="H49" i="4"/>
  <c r="F38" i="4"/>
  <c r="G38" i="4"/>
  <c r="H38" i="4" s="1"/>
  <c r="F27" i="4"/>
  <c r="G27" i="4"/>
  <c r="H27" i="4"/>
  <c r="F16" i="4"/>
  <c r="G16" i="4"/>
  <c r="H16" i="4" s="1"/>
  <c r="B148" i="4"/>
  <c r="B137" i="4"/>
  <c r="B126" i="4"/>
  <c r="B115" i="4"/>
  <c r="B104" i="4"/>
  <c r="B93" i="4"/>
  <c r="B82" i="4"/>
  <c r="B71" i="4"/>
  <c r="B60" i="4"/>
  <c r="B49" i="4"/>
  <c r="B38" i="4"/>
  <c r="B27" i="4"/>
  <c r="B16" i="4"/>
  <c r="F137" i="5"/>
  <c r="F155" i="5"/>
  <c r="G137" i="5"/>
  <c r="H137" i="5"/>
  <c r="G16" i="5"/>
  <c r="H16" i="5"/>
  <c r="B148" i="5"/>
  <c r="B137" i="5"/>
  <c r="B126" i="5"/>
  <c r="B115" i="5"/>
  <c r="B104" i="5"/>
  <c r="B93" i="5"/>
  <c r="B82" i="5"/>
  <c r="B71" i="5"/>
  <c r="B60" i="5"/>
  <c r="B49" i="5"/>
  <c r="B38" i="5"/>
  <c r="B27" i="5"/>
  <c r="B16" i="5"/>
  <c r="F147" i="3"/>
  <c r="G147" i="3"/>
  <c r="F136" i="3"/>
  <c r="G136" i="3"/>
  <c r="F125" i="3"/>
  <c r="G125" i="3"/>
  <c r="F114" i="3"/>
  <c r="G114" i="3"/>
  <c r="F103" i="3"/>
  <c r="G103" i="3"/>
  <c r="F92" i="3"/>
  <c r="G92" i="3"/>
  <c r="F81" i="3"/>
  <c r="G81" i="3"/>
  <c r="F70" i="3"/>
  <c r="G70" i="3"/>
  <c r="F59" i="3"/>
  <c r="G59" i="3"/>
  <c r="F48" i="3"/>
  <c r="G48" i="3"/>
  <c r="F37" i="3"/>
  <c r="G37" i="3"/>
  <c r="F26" i="3"/>
  <c r="G26" i="3"/>
  <c r="F15" i="3"/>
  <c r="G15" i="3"/>
  <c r="B147" i="3"/>
  <c r="B136" i="3"/>
  <c r="B125" i="3"/>
  <c r="B114" i="3"/>
  <c r="B103" i="3"/>
  <c r="B92" i="3"/>
  <c r="B81" i="3"/>
  <c r="B70" i="3"/>
  <c r="B59" i="3"/>
  <c r="B48" i="3"/>
  <c r="B37" i="3"/>
  <c r="B26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O16" i="2" s="1"/>
  <c r="I16" i="2"/>
  <c r="H16" i="2"/>
  <c r="G16" i="2"/>
  <c r="F16" i="2"/>
  <c r="E16" i="2"/>
  <c r="D16" i="2"/>
  <c r="C16" i="2"/>
  <c r="B16" i="2"/>
  <c r="A37" i="2"/>
  <c r="A16" i="2"/>
  <c r="F25" i="1"/>
  <c r="H25" i="1" s="1"/>
  <c r="F80" i="1"/>
  <c r="J80" i="1" s="1"/>
  <c r="F124" i="1"/>
  <c r="J124" i="1" s="1"/>
  <c r="M147" i="1"/>
  <c r="I147" i="1"/>
  <c r="G147" i="1"/>
  <c r="F147" i="1"/>
  <c r="H147" i="1" s="1"/>
  <c r="E147" i="1"/>
  <c r="H136" i="1"/>
  <c r="M136" i="1"/>
  <c r="I136" i="1"/>
  <c r="G136" i="1"/>
  <c r="F136" i="1"/>
  <c r="J136" i="1" s="1"/>
  <c r="E136" i="1"/>
  <c r="M125" i="1"/>
  <c r="I125" i="1"/>
  <c r="G125" i="1"/>
  <c r="F125" i="1"/>
  <c r="H125" i="1" s="1"/>
  <c r="E125" i="1"/>
  <c r="H114" i="1"/>
  <c r="M114" i="1"/>
  <c r="I114" i="1"/>
  <c r="J114" i="1"/>
  <c r="G114" i="1"/>
  <c r="F114" i="1"/>
  <c r="E114" i="1"/>
  <c r="H103" i="1"/>
  <c r="M103" i="1"/>
  <c r="I103" i="1"/>
  <c r="G103" i="1"/>
  <c r="F103" i="1"/>
  <c r="J103" i="1" s="1"/>
  <c r="E103" i="1"/>
  <c r="M92" i="1"/>
  <c r="I92" i="1"/>
  <c r="J92" i="1"/>
  <c r="G92" i="1"/>
  <c r="H92" i="1" s="1"/>
  <c r="F92" i="1"/>
  <c r="E92" i="1"/>
  <c r="M81" i="1"/>
  <c r="I81" i="1"/>
  <c r="J81" i="1"/>
  <c r="G81" i="1"/>
  <c r="F81" i="1"/>
  <c r="H81" i="1" s="1"/>
  <c r="E81" i="1"/>
  <c r="M70" i="1"/>
  <c r="I70" i="1"/>
  <c r="G70" i="1"/>
  <c r="H70" i="1" s="1"/>
  <c r="F70" i="1"/>
  <c r="J70" i="1" s="1"/>
  <c r="E70" i="1"/>
  <c r="M59" i="1"/>
  <c r="I59" i="1"/>
  <c r="G59" i="1"/>
  <c r="F59" i="1"/>
  <c r="H59" i="1" s="1"/>
  <c r="E59" i="1"/>
  <c r="H48" i="1"/>
  <c r="M48" i="1"/>
  <c r="I48" i="1"/>
  <c r="J48" i="1"/>
  <c r="G48" i="1"/>
  <c r="F48" i="1"/>
  <c r="E48" i="1"/>
  <c r="M37" i="1"/>
  <c r="I37" i="1"/>
  <c r="G37" i="1"/>
  <c r="F37" i="1"/>
  <c r="H37" i="1" s="1"/>
  <c r="E37" i="1"/>
  <c r="H26" i="1"/>
  <c r="M26" i="1"/>
  <c r="I26" i="1"/>
  <c r="J26" i="1"/>
  <c r="G26" i="1"/>
  <c r="F26" i="1"/>
  <c r="E26" i="1"/>
  <c r="M15" i="1"/>
  <c r="I15" i="1"/>
  <c r="J15" i="1"/>
  <c r="G15" i="1"/>
  <c r="F15" i="1"/>
  <c r="H15" i="1" s="1"/>
  <c r="E15" i="1"/>
  <c r="B147" i="1"/>
  <c r="B136" i="1"/>
  <c r="B125" i="1"/>
  <c r="B114" i="1"/>
  <c r="B103" i="1"/>
  <c r="B92" i="1"/>
  <c r="B81" i="1"/>
  <c r="B70" i="1"/>
  <c r="B59" i="1"/>
  <c r="B48" i="1"/>
  <c r="B37" i="1"/>
  <c r="B26" i="1"/>
  <c r="B15" i="1"/>
  <c r="F147" i="4"/>
  <c r="G147" i="4"/>
  <c r="H147" i="4" s="1"/>
  <c r="F136" i="4"/>
  <c r="G136" i="4"/>
  <c r="H136" i="4"/>
  <c r="F125" i="4"/>
  <c r="G125" i="4"/>
  <c r="H125" i="4" s="1"/>
  <c r="F114" i="4"/>
  <c r="G114" i="4"/>
  <c r="H114" i="4"/>
  <c r="F103" i="4"/>
  <c r="G103" i="4"/>
  <c r="H103" i="4" s="1"/>
  <c r="F92" i="4"/>
  <c r="G92" i="4"/>
  <c r="H92" i="4"/>
  <c r="F81" i="4"/>
  <c r="G81" i="4"/>
  <c r="H81" i="4" s="1"/>
  <c r="F70" i="4"/>
  <c r="G70" i="4"/>
  <c r="H70" i="4"/>
  <c r="F59" i="4"/>
  <c r="G59" i="4"/>
  <c r="H59" i="4" s="1"/>
  <c r="F48" i="4"/>
  <c r="G48" i="4"/>
  <c r="H48" i="4"/>
  <c r="F37" i="4"/>
  <c r="G37" i="4"/>
  <c r="H37" i="4" s="1"/>
  <c r="F26" i="4"/>
  <c r="G26" i="4"/>
  <c r="H26" i="4"/>
  <c r="F15" i="4"/>
  <c r="G15" i="4"/>
  <c r="H15" i="4" s="1"/>
  <c r="B147" i="4"/>
  <c r="B136" i="4"/>
  <c r="B125" i="4"/>
  <c r="B114" i="4"/>
  <c r="B103" i="4"/>
  <c r="B92" i="4"/>
  <c r="B81" i="4"/>
  <c r="B70" i="4"/>
  <c r="B59" i="4"/>
  <c r="B48" i="4"/>
  <c r="B37" i="4"/>
  <c r="B26" i="4"/>
  <c r="B15" i="4"/>
  <c r="G136" i="5"/>
  <c r="H136" i="5"/>
  <c r="G15" i="5"/>
  <c r="H15" i="5"/>
  <c r="B147" i="5"/>
  <c r="B136" i="5"/>
  <c r="B125" i="5"/>
  <c r="B114" i="5"/>
  <c r="B103" i="5"/>
  <c r="B92" i="5"/>
  <c r="B81" i="5"/>
  <c r="B70" i="5"/>
  <c r="B59" i="5"/>
  <c r="B48" i="5"/>
  <c r="B37" i="5"/>
  <c r="B26" i="5"/>
  <c r="B15" i="5"/>
  <c r="F146" i="3"/>
  <c r="G146" i="3"/>
  <c r="F135" i="3"/>
  <c r="G135" i="3"/>
  <c r="F124" i="3"/>
  <c r="G124" i="3"/>
  <c r="F113" i="3"/>
  <c r="G113" i="3"/>
  <c r="F102" i="3"/>
  <c r="G102" i="3"/>
  <c r="F91" i="3"/>
  <c r="G91" i="3"/>
  <c r="F80" i="3"/>
  <c r="G80" i="3"/>
  <c r="F69" i="3"/>
  <c r="G69" i="3"/>
  <c r="F58" i="3"/>
  <c r="G58" i="3"/>
  <c r="F47" i="3"/>
  <c r="G47" i="3"/>
  <c r="F36" i="3"/>
  <c r="G36" i="3"/>
  <c r="F25" i="3"/>
  <c r="G25" i="3"/>
  <c r="F14" i="3"/>
  <c r="G14" i="3"/>
  <c r="B146" i="3"/>
  <c r="B135" i="3"/>
  <c r="B124" i="3"/>
  <c r="B113" i="3"/>
  <c r="B102" i="3"/>
  <c r="B91" i="3"/>
  <c r="B80" i="3"/>
  <c r="B69" i="3"/>
  <c r="B58" i="3"/>
  <c r="B47" i="3"/>
  <c r="B36" i="3"/>
  <c r="B25" i="3"/>
  <c r="B14" i="3"/>
  <c r="N36" i="2"/>
  <c r="M36" i="2"/>
  <c r="L36" i="2"/>
  <c r="K36" i="2"/>
  <c r="J36" i="2"/>
  <c r="I36" i="2"/>
  <c r="H36" i="2"/>
  <c r="G36" i="2"/>
  <c r="O36" i="2" s="1"/>
  <c r="F36" i="2"/>
  <c r="E36" i="2"/>
  <c r="D36" i="2"/>
  <c r="C36" i="2"/>
  <c r="B36" i="2"/>
  <c r="N15" i="2"/>
  <c r="M15" i="2"/>
  <c r="L15" i="2"/>
  <c r="K15" i="2"/>
  <c r="J15" i="2"/>
  <c r="I15" i="2"/>
  <c r="H15" i="2"/>
  <c r="O15" i="2" s="1"/>
  <c r="G15" i="2"/>
  <c r="F15" i="2"/>
  <c r="E15" i="2"/>
  <c r="D15" i="2"/>
  <c r="C15" i="2"/>
  <c r="B15" i="2"/>
  <c r="A36" i="2"/>
  <c r="A15" i="2"/>
  <c r="F79" i="1"/>
  <c r="H146" i="1"/>
  <c r="M146" i="1"/>
  <c r="I146" i="1"/>
  <c r="J146" i="1"/>
  <c r="G146" i="1"/>
  <c r="F146" i="1"/>
  <c r="E146" i="1"/>
  <c r="M124" i="1"/>
  <c r="I124" i="1"/>
  <c r="G124" i="1"/>
  <c r="E124" i="1"/>
  <c r="M135" i="1"/>
  <c r="I135" i="1"/>
  <c r="J135" i="1"/>
  <c r="G135" i="1"/>
  <c r="F135" i="1"/>
  <c r="H135" i="1" s="1"/>
  <c r="E135" i="1"/>
  <c r="M113" i="1"/>
  <c r="I113" i="1"/>
  <c r="G113" i="1"/>
  <c r="H113" i="1" s="1"/>
  <c r="F113" i="1"/>
  <c r="J113" i="1" s="1"/>
  <c r="E113" i="1"/>
  <c r="M102" i="1"/>
  <c r="I102" i="1"/>
  <c r="G102" i="1"/>
  <c r="F102" i="1"/>
  <c r="J102" i="1" s="1"/>
  <c r="E102" i="1"/>
  <c r="M91" i="1"/>
  <c r="I91" i="1"/>
  <c r="G91" i="1"/>
  <c r="H91" i="1" s="1"/>
  <c r="F91" i="1"/>
  <c r="J91" i="1" s="1"/>
  <c r="E91" i="1"/>
  <c r="M80" i="1"/>
  <c r="I80" i="1"/>
  <c r="G80" i="1"/>
  <c r="E80" i="1"/>
  <c r="H69" i="1"/>
  <c r="M69" i="1"/>
  <c r="I69" i="1"/>
  <c r="J69" i="1"/>
  <c r="G69" i="1"/>
  <c r="F69" i="1"/>
  <c r="E69" i="1"/>
  <c r="M58" i="1"/>
  <c r="I58" i="1"/>
  <c r="G58" i="1"/>
  <c r="F58" i="1"/>
  <c r="H58" i="1" s="1"/>
  <c r="E58" i="1"/>
  <c r="M47" i="1"/>
  <c r="I47" i="1"/>
  <c r="G47" i="1"/>
  <c r="F47" i="1"/>
  <c r="J47" i="1" s="1"/>
  <c r="E47" i="1"/>
  <c r="M36" i="1"/>
  <c r="I36" i="1"/>
  <c r="G36" i="1"/>
  <c r="H36" i="1" s="1"/>
  <c r="F36" i="1"/>
  <c r="J36" i="1" s="1"/>
  <c r="E36" i="1"/>
  <c r="M25" i="1"/>
  <c r="I25" i="1"/>
  <c r="E25" i="1"/>
  <c r="M14" i="1"/>
  <c r="I14" i="1"/>
  <c r="G14" i="1"/>
  <c r="F14" i="1"/>
  <c r="H14" i="1" s="1"/>
  <c r="E14" i="1"/>
  <c r="B146" i="1"/>
  <c r="B135" i="1"/>
  <c r="B124" i="1"/>
  <c r="B113" i="1"/>
  <c r="B102" i="1"/>
  <c r="B91" i="1"/>
  <c r="B80" i="1"/>
  <c r="B69" i="1"/>
  <c r="B58" i="1"/>
  <c r="B47" i="1"/>
  <c r="B36" i="1"/>
  <c r="B25" i="1"/>
  <c r="B14" i="1"/>
  <c r="F146" i="4"/>
  <c r="G146" i="4"/>
  <c r="H146" i="4" s="1"/>
  <c r="F135" i="4"/>
  <c r="G135" i="4"/>
  <c r="H135" i="4"/>
  <c r="F124" i="4"/>
  <c r="G124" i="4"/>
  <c r="H124" i="4" s="1"/>
  <c r="F113" i="4"/>
  <c r="G113" i="4"/>
  <c r="H113" i="4"/>
  <c r="F102" i="4"/>
  <c r="G102" i="4"/>
  <c r="H102" i="4" s="1"/>
  <c r="F91" i="4"/>
  <c r="G91" i="4"/>
  <c r="H91" i="4"/>
  <c r="F80" i="4"/>
  <c r="G80" i="4"/>
  <c r="H80" i="4" s="1"/>
  <c r="F69" i="4"/>
  <c r="G69" i="4"/>
  <c r="H69" i="4"/>
  <c r="F58" i="4"/>
  <c r="G58" i="4"/>
  <c r="H58" i="4" s="1"/>
  <c r="F47" i="4"/>
  <c r="G47" i="4"/>
  <c r="H47" i="4"/>
  <c r="F36" i="4"/>
  <c r="G36" i="4"/>
  <c r="H36" i="4" s="1"/>
  <c r="F25" i="4"/>
  <c r="G25" i="4"/>
  <c r="H25" i="4"/>
  <c r="F14" i="4"/>
  <c r="G14" i="4"/>
  <c r="H14" i="4" s="1"/>
  <c r="B146" i="4"/>
  <c r="B135" i="4"/>
  <c r="B124" i="4"/>
  <c r="B113" i="4"/>
  <c r="B102" i="4"/>
  <c r="B91" i="4"/>
  <c r="B80" i="4"/>
  <c r="B69" i="4"/>
  <c r="B58" i="4"/>
  <c r="B47" i="4"/>
  <c r="B36" i="4"/>
  <c r="B25" i="4"/>
  <c r="B14" i="4"/>
  <c r="G14" i="5"/>
  <c r="H14" i="5"/>
  <c r="G135" i="5"/>
  <c r="H135" i="5"/>
  <c r="B146" i="5"/>
  <c r="B135" i="5"/>
  <c r="B124" i="5"/>
  <c r="B113" i="5"/>
  <c r="B102" i="5"/>
  <c r="B91" i="5"/>
  <c r="B80" i="5"/>
  <c r="B69" i="5"/>
  <c r="B58" i="5"/>
  <c r="B47" i="5"/>
  <c r="B36" i="5"/>
  <c r="B25" i="5"/>
  <c r="B14" i="5"/>
  <c r="F145" i="3"/>
  <c r="G145" i="3"/>
  <c r="F134" i="3"/>
  <c r="G134" i="3"/>
  <c r="F123" i="3"/>
  <c r="G123" i="3"/>
  <c r="F112" i="3"/>
  <c r="G112" i="3"/>
  <c r="F101" i="3"/>
  <c r="G101" i="3"/>
  <c r="F90" i="3"/>
  <c r="G90" i="3"/>
  <c r="F79" i="3"/>
  <c r="G79" i="3"/>
  <c r="F68" i="3"/>
  <c r="G68" i="3"/>
  <c r="F57" i="3"/>
  <c r="G57" i="3"/>
  <c r="F46" i="3"/>
  <c r="G46" i="3"/>
  <c r="F35" i="3"/>
  <c r="G35" i="3"/>
  <c r="F24" i="3"/>
  <c r="G24" i="3"/>
  <c r="F13" i="3"/>
  <c r="G13" i="3"/>
  <c r="B145" i="3"/>
  <c r="B134" i="3"/>
  <c r="B123" i="3"/>
  <c r="B112" i="3"/>
  <c r="B101" i="3"/>
  <c r="B90" i="3"/>
  <c r="B79" i="3"/>
  <c r="B68" i="3"/>
  <c r="B57" i="3"/>
  <c r="B46" i="3"/>
  <c r="B35" i="3"/>
  <c r="B24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O35" i="2" s="1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M145" i="1"/>
  <c r="I145" i="1"/>
  <c r="G145" i="1"/>
  <c r="F145" i="1"/>
  <c r="H145" i="1" s="1"/>
  <c r="E145" i="1"/>
  <c r="H134" i="1"/>
  <c r="M134" i="1"/>
  <c r="I134" i="1"/>
  <c r="G134" i="1"/>
  <c r="F134" i="1"/>
  <c r="J134" i="1" s="1"/>
  <c r="E134" i="1"/>
  <c r="M123" i="1"/>
  <c r="I123" i="1"/>
  <c r="G123" i="1"/>
  <c r="F123" i="1"/>
  <c r="H123" i="1" s="1"/>
  <c r="E123" i="1"/>
  <c r="H112" i="1"/>
  <c r="M112" i="1"/>
  <c r="I112" i="1"/>
  <c r="J112" i="1"/>
  <c r="G112" i="1"/>
  <c r="F112" i="1"/>
  <c r="E112" i="1"/>
  <c r="M101" i="1"/>
  <c r="I101" i="1"/>
  <c r="J101" i="1"/>
  <c r="G101" i="1"/>
  <c r="F101" i="1"/>
  <c r="H101" i="1" s="1"/>
  <c r="E101" i="1"/>
  <c r="M90" i="1"/>
  <c r="I90" i="1"/>
  <c r="G90" i="1"/>
  <c r="H90" i="1" s="1"/>
  <c r="F90" i="1"/>
  <c r="J90" i="1" s="1"/>
  <c r="E90" i="1"/>
  <c r="M79" i="1"/>
  <c r="I79" i="1"/>
  <c r="G79" i="1"/>
  <c r="H79" i="1"/>
  <c r="E79" i="1"/>
  <c r="M68" i="1"/>
  <c r="I68" i="1"/>
  <c r="G68" i="1"/>
  <c r="H68" i="1" s="1"/>
  <c r="F68" i="1"/>
  <c r="J68" i="1" s="1"/>
  <c r="E68" i="1"/>
  <c r="H57" i="1"/>
  <c r="M57" i="1"/>
  <c r="I57" i="1"/>
  <c r="G57" i="1"/>
  <c r="F57" i="1"/>
  <c r="J57" i="1" s="1"/>
  <c r="E57" i="1"/>
  <c r="M46" i="1"/>
  <c r="I46" i="1"/>
  <c r="G46" i="1"/>
  <c r="F46" i="1"/>
  <c r="H46" i="1" s="1"/>
  <c r="E46" i="1"/>
  <c r="H35" i="1"/>
  <c r="M35" i="1"/>
  <c r="I35" i="1"/>
  <c r="J35" i="1"/>
  <c r="G35" i="1"/>
  <c r="F35" i="1"/>
  <c r="E35" i="1"/>
  <c r="M24" i="1"/>
  <c r="I24" i="1"/>
  <c r="J24" i="1"/>
  <c r="G24" i="1"/>
  <c r="F24" i="1"/>
  <c r="H24" i="1" s="1"/>
  <c r="E24" i="1"/>
  <c r="M13" i="1"/>
  <c r="I13" i="1"/>
  <c r="G13" i="1"/>
  <c r="H13" i="1" s="1"/>
  <c r="F13" i="1"/>
  <c r="J13" i="1" s="1"/>
  <c r="E13" i="1"/>
  <c r="B145" i="1"/>
  <c r="B134" i="1"/>
  <c r="B123" i="1"/>
  <c r="B112" i="1"/>
  <c r="B101" i="1"/>
  <c r="B90" i="1"/>
  <c r="B79" i="1"/>
  <c r="B68" i="1"/>
  <c r="B57" i="1"/>
  <c r="B46" i="1"/>
  <c r="B35" i="1"/>
  <c r="B24" i="1"/>
  <c r="B13" i="1"/>
  <c r="F145" i="4"/>
  <c r="G145" i="4"/>
  <c r="H145" i="4"/>
  <c r="F134" i="4"/>
  <c r="G134" i="4"/>
  <c r="H134" i="4" s="1"/>
  <c r="F123" i="4"/>
  <c r="G123" i="4"/>
  <c r="H123" i="4"/>
  <c r="F112" i="4"/>
  <c r="G112" i="4"/>
  <c r="H112" i="4" s="1"/>
  <c r="F101" i="4"/>
  <c r="G101" i="4"/>
  <c r="H101" i="4"/>
  <c r="F90" i="4"/>
  <c r="G90" i="4"/>
  <c r="H90" i="4" s="1"/>
  <c r="F79" i="4"/>
  <c r="G79" i="4"/>
  <c r="H79" i="4"/>
  <c r="F68" i="4"/>
  <c r="G68" i="4"/>
  <c r="H68" i="4" s="1"/>
  <c r="F57" i="4"/>
  <c r="G57" i="4"/>
  <c r="H57" i="4"/>
  <c r="F46" i="4"/>
  <c r="G46" i="4"/>
  <c r="H46" i="4" s="1"/>
  <c r="F35" i="4"/>
  <c r="G35" i="4"/>
  <c r="H35" i="4"/>
  <c r="F24" i="4"/>
  <c r="G24" i="4"/>
  <c r="H24" i="4" s="1"/>
  <c r="G13" i="4"/>
  <c r="H13" i="4" s="1"/>
  <c r="F13" i="4"/>
  <c r="B145" i="4"/>
  <c r="B134" i="4"/>
  <c r="B123" i="4"/>
  <c r="B112" i="4"/>
  <c r="B101" i="4"/>
  <c r="B90" i="4"/>
  <c r="B79" i="4"/>
  <c r="B68" i="4"/>
  <c r="B57" i="4"/>
  <c r="B46" i="4"/>
  <c r="B35" i="4"/>
  <c r="B24" i="4"/>
  <c r="B13" i="4"/>
  <c r="G134" i="5"/>
  <c r="H134" i="5" s="1"/>
  <c r="B145" i="5"/>
  <c r="B134" i="5"/>
  <c r="B123" i="5"/>
  <c r="B112" i="5"/>
  <c r="B101" i="5"/>
  <c r="B90" i="5"/>
  <c r="B79" i="5"/>
  <c r="B68" i="5"/>
  <c r="B57" i="5"/>
  <c r="B46" i="5"/>
  <c r="B35" i="5"/>
  <c r="B24" i="5"/>
  <c r="B13" i="5"/>
  <c r="F144" i="3"/>
  <c r="G144" i="3"/>
  <c r="F133" i="3"/>
  <c r="G133" i="3"/>
  <c r="F122" i="3"/>
  <c r="G122" i="3"/>
  <c r="F111" i="3"/>
  <c r="G111" i="3"/>
  <c r="F100" i="3"/>
  <c r="G100" i="3"/>
  <c r="G89" i="3"/>
  <c r="F89" i="3"/>
  <c r="F78" i="3"/>
  <c r="G78" i="3"/>
  <c r="F67" i="3"/>
  <c r="G67" i="3"/>
  <c r="F56" i="3"/>
  <c r="G56" i="3"/>
  <c r="F45" i="3"/>
  <c r="G45" i="3"/>
  <c r="F34" i="3"/>
  <c r="G34" i="3"/>
  <c r="F23" i="3"/>
  <c r="G23" i="3"/>
  <c r="G12" i="3"/>
  <c r="F12" i="3"/>
  <c r="B144" i="3"/>
  <c r="B133" i="3"/>
  <c r="B122" i="3"/>
  <c r="B111" i="3"/>
  <c r="B100" i="3"/>
  <c r="B89" i="3"/>
  <c r="B78" i="3"/>
  <c r="B67" i="3"/>
  <c r="B56" i="3"/>
  <c r="B45" i="3"/>
  <c r="B34" i="3"/>
  <c r="B23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O34" i="2" s="1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23" i="2" s="1"/>
  <c r="A13" i="2"/>
  <c r="F22" i="1"/>
  <c r="H22" i="1" s="1"/>
  <c r="J132" i="1"/>
  <c r="J131" i="1"/>
  <c r="M144" i="1"/>
  <c r="I144" i="1"/>
  <c r="J144" i="1"/>
  <c r="G144" i="1"/>
  <c r="H144" i="1" s="1"/>
  <c r="F144" i="1"/>
  <c r="E144" i="1"/>
  <c r="M133" i="1"/>
  <c r="I133" i="1"/>
  <c r="J133" i="1"/>
  <c r="G133" i="1"/>
  <c r="F133" i="1"/>
  <c r="H133" i="1" s="1"/>
  <c r="E133" i="1"/>
  <c r="M122" i="1"/>
  <c r="I122" i="1"/>
  <c r="G122" i="1"/>
  <c r="H122" i="1" s="1"/>
  <c r="F122" i="1"/>
  <c r="J122" i="1" s="1"/>
  <c r="E122" i="1"/>
  <c r="M111" i="1"/>
  <c r="I111" i="1"/>
  <c r="G111" i="1"/>
  <c r="F111" i="1"/>
  <c r="H111" i="1" s="1"/>
  <c r="E111" i="1"/>
  <c r="H100" i="1"/>
  <c r="M100" i="1"/>
  <c r="I100" i="1"/>
  <c r="J100" i="1"/>
  <c r="G100" i="1"/>
  <c r="F100" i="1"/>
  <c r="E100" i="1"/>
  <c r="M89" i="1"/>
  <c r="I89" i="1"/>
  <c r="G89" i="1"/>
  <c r="F89" i="1"/>
  <c r="H89" i="1" s="1"/>
  <c r="E89" i="1"/>
  <c r="H78" i="1"/>
  <c r="M78" i="1"/>
  <c r="I78" i="1"/>
  <c r="G78" i="1"/>
  <c r="F78" i="1"/>
  <c r="J78" i="1" s="1"/>
  <c r="E78" i="1"/>
  <c r="M67" i="1"/>
  <c r="I67" i="1"/>
  <c r="G67" i="1"/>
  <c r="F67" i="1"/>
  <c r="H67" i="1" s="1"/>
  <c r="E67" i="1"/>
  <c r="H56" i="1"/>
  <c r="M56" i="1"/>
  <c r="I56" i="1"/>
  <c r="J56" i="1"/>
  <c r="G56" i="1"/>
  <c r="F56" i="1"/>
  <c r="E56" i="1"/>
  <c r="M45" i="1"/>
  <c r="I45" i="1"/>
  <c r="J45" i="1"/>
  <c r="G45" i="1"/>
  <c r="F45" i="1"/>
  <c r="H45" i="1" s="1"/>
  <c r="E45" i="1"/>
  <c r="M34" i="1"/>
  <c r="I34" i="1"/>
  <c r="G34" i="1"/>
  <c r="F34" i="1"/>
  <c r="H34" i="1" s="1"/>
  <c r="E34" i="1"/>
  <c r="H23" i="1"/>
  <c r="M23" i="1"/>
  <c r="I23" i="1"/>
  <c r="G23" i="1"/>
  <c r="F23" i="1"/>
  <c r="J23" i="1" s="1"/>
  <c r="E23" i="1"/>
  <c r="M12" i="1"/>
  <c r="J12" i="1"/>
  <c r="I12" i="1"/>
  <c r="E12" i="1"/>
  <c r="G12" i="1"/>
  <c r="H12" i="1" s="1"/>
  <c r="F12" i="1"/>
  <c r="B144" i="1"/>
  <c r="B133" i="1"/>
  <c r="B122" i="1"/>
  <c r="B111" i="1"/>
  <c r="B100" i="1"/>
  <c r="B89" i="1"/>
  <c r="B78" i="1"/>
  <c r="B67" i="1"/>
  <c r="B56" i="1"/>
  <c r="B45" i="1"/>
  <c r="B34" i="1"/>
  <c r="B23" i="1"/>
  <c r="B12" i="1"/>
  <c r="G143" i="1"/>
  <c r="F143" i="1"/>
  <c r="J143" i="1" s="1"/>
  <c r="G132" i="1"/>
  <c r="G121" i="1"/>
  <c r="F121" i="1"/>
  <c r="J121" i="1" s="1"/>
  <c r="G110" i="1"/>
  <c r="F110" i="1"/>
  <c r="J110" i="1" s="1"/>
  <c r="G99" i="1"/>
  <c r="F99" i="1"/>
  <c r="J99" i="1" s="1"/>
  <c r="G88" i="1"/>
  <c r="H88" i="1" s="1"/>
  <c r="F88" i="1"/>
  <c r="G77" i="1"/>
  <c r="F77" i="1"/>
  <c r="H77" i="1" s="1"/>
  <c r="G66" i="1"/>
  <c r="F66" i="1"/>
  <c r="J66" i="1"/>
  <c r="G55" i="1"/>
  <c r="F55" i="1"/>
  <c r="J55" i="1" s="1"/>
  <c r="G44" i="1"/>
  <c r="H44" i="1" s="1"/>
  <c r="F44" i="1"/>
  <c r="J44" i="1"/>
  <c r="G33" i="1"/>
  <c r="F33" i="1"/>
  <c r="H33" i="1" s="1"/>
  <c r="G22" i="1"/>
  <c r="G11" i="1"/>
  <c r="F11" i="1"/>
  <c r="H11" i="1" s="1"/>
  <c r="G100" i="4"/>
  <c r="H100" i="4" s="1"/>
  <c r="F100" i="4"/>
  <c r="G89" i="4"/>
  <c r="H89" i="4"/>
  <c r="F89" i="4"/>
  <c r="G78" i="4"/>
  <c r="H78" i="4" s="1"/>
  <c r="F78" i="4"/>
  <c r="G67" i="4"/>
  <c r="H67" i="4"/>
  <c r="F67" i="4"/>
  <c r="H56" i="4"/>
  <c r="G56" i="4"/>
  <c r="F56" i="4"/>
  <c r="G45" i="4"/>
  <c r="H45" i="4"/>
  <c r="F45" i="4"/>
  <c r="G34" i="4"/>
  <c r="H34" i="4" s="1"/>
  <c r="F34" i="4"/>
  <c r="G23" i="4"/>
  <c r="H23" i="4"/>
  <c r="F23" i="4"/>
  <c r="G12" i="4"/>
  <c r="H12" i="4" s="1"/>
  <c r="F12" i="4"/>
  <c r="G111" i="4"/>
  <c r="H111" i="4"/>
  <c r="F111" i="4"/>
  <c r="G122" i="4"/>
  <c r="H122" i="4" s="1"/>
  <c r="F122" i="4"/>
  <c r="G133" i="4"/>
  <c r="H133" i="4"/>
  <c r="F133" i="4"/>
  <c r="G144" i="4"/>
  <c r="H144" i="4" s="1"/>
  <c r="F144" i="4"/>
  <c r="B144" i="4"/>
  <c r="B133" i="4"/>
  <c r="B122" i="4"/>
  <c r="B111" i="4"/>
  <c r="B100" i="4"/>
  <c r="B89" i="4"/>
  <c r="B78" i="4"/>
  <c r="B67" i="4"/>
  <c r="B56" i="4"/>
  <c r="B45" i="4"/>
  <c r="B34" i="4"/>
  <c r="B23" i="4"/>
  <c r="B12" i="4"/>
  <c r="G133" i="5"/>
  <c r="H133" i="5" s="1"/>
  <c r="B144" i="5"/>
  <c r="B133" i="5"/>
  <c r="B122" i="5"/>
  <c r="B111" i="5"/>
  <c r="B100" i="5"/>
  <c r="B89" i="5"/>
  <c r="B78" i="5"/>
  <c r="B67" i="5"/>
  <c r="B56" i="5"/>
  <c r="B45" i="5"/>
  <c r="B34" i="5"/>
  <c r="B23" i="5"/>
  <c r="B12" i="5"/>
  <c r="M143" i="1"/>
  <c r="I143" i="1"/>
  <c r="E143" i="1"/>
  <c r="M132" i="1"/>
  <c r="I132" i="1"/>
  <c r="E132" i="1"/>
  <c r="M121" i="1"/>
  <c r="I121" i="1"/>
  <c r="E121" i="1"/>
  <c r="M110" i="1"/>
  <c r="I110" i="1"/>
  <c r="E110" i="1"/>
  <c r="M99" i="1"/>
  <c r="I99" i="1"/>
  <c r="E99" i="1"/>
  <c r="M88" i="1"/>
  <c r="I88" i="1"/>
  <c r="E88" i="1"/>
  <c r="M77" i="1"/>
  <c r="I77" i="1"/>
  <c r="E77" i="1"/>
  <c r="M66" i="1"/>
  <c r="I66" i="1"/>
  <c r="H66" i="1"/>
  <c r="E66" i="1"/>
  <c r="M55" i="1"/>
  <c r="I55" i="1"/>
  <c r="H55" i="1"/>
  <c r="E55" i="1"/>
  <c r="M44" i="1"/>
  <c r="I44" i="1"/>
  <c r="E44" i="1"/>
  <c r="M33" i="1"/>
  <c r="J33" i="1"/>
  <c r="I33" i="1"/>
  <c r="E33" i="1"/>
  <c r="M22" i="1"/>
  <c r="J22" i="1"/>
  <c r="I22" i="1"/>
  <c r="E22" i="1"/>
  <c r="I11" i="1"/>
  <c r="M11" i="1"/>
  <c r="E11" i="1"/>
  <c r="G132" i="3"/>
  <c r="F132" i="3"/>
  <c r="G121" i="3"/>
  <c r="F121" i="3"/>
  <c r="G110" i="3"/>
  <c r="F110" i="3"/>
  <c r="G99" i="3"/>
  <c r="F99" i="3"/>
  <c r="G88" i="3"/>
  <c r="F88" i="3"/>
  <c r="G77" i="3"/>
  <c r="F77" i="3"/>
  <c r="G66" i="3"/>
  <c r="F66" i="3"/>
  <c r="G55" i="3"/>
  <c r="F55" i="3"/>
  <c r="G44" i="3"/>
  <c r="F44" i="3"/>
  <c r="G33" i="3"/>
  <c r="F33" i="3"/>
  <c r="G22" i="3"/>
  <c r="F22" i="3"/>
  <c r="G11" i="3"/>
  <c r="F11" i="3"/>
  <c r="G143" i="3"/>
  <c r="F143" i="3"/>
  <c r="B121" i="3"/>
  <c r="B143" i="3"/>
  <c r="B132" i="3"/>
  <c r="B110" i="3"/>
  <c r="B99" i="3"/>
  <c r="B88" i="3"/>
  <c r="B77" i="3"/>
  <c r="B66" i="3"/>
  <c r="B55" i="3"/>
  <c r="B44" i="3"/>
  <c r="B33" i="3"/>
  <c r="B22" i="3"/>
  <c r="B11" i="3"/>
  <c r="N33" i="2"/>
  <c r="N44" i="2" s="1"/>
  <c r="M33" i="2"/>
  <c r="L33" i="2"/>
  <c r="K33" i="2"/>
  <c r="J33" i="2"/>
  <c r="J44" i="2" s="1"/>
  <c r="I33" i="2"/>
  <c r="H33" i="2"/>
  <c r="G33" i="2"/>
  <c r="F33" i="2"/>
  <c r="F44" i="2" s="1"/>
  <c r="E33" i="2"/>
  <c r="D33" i="2"/>
  <c r="C33" i="2"/>
  <c r="B33" i="2"/>
  <c r="O33" i="2" s="1"/>
  <c r="N12" i="2"/>
  <c r="M12" i="2"/>
  <c r="M23" i="2" s="1"/>
  <c r="L12" i="2"/>
  <c r="K12" i="2"/>
  <c r="K23" i="2" s="1"/>
  <c r="J12" i="2"/>
  <c r="I12" i="2"/>
  <c r="H12" i="2"/>
  <c r="G12" i="2"/>
  <c r="G23" i="2" s="1"/>
  <c r="F12" i="2"/>
  <c r="E12" i="2"/>
  <c r="D12" i="2"/>
  <c r="C12" i="2"/>
  <c r="C23" i="2" s="1"/>
  <c r="B12" i="2"/>
  <c r="A33" i="2"/>
  <c r="A12" i="2"/>
  <c r="B143" i="1"/>
  <c r="B132" i="1"/>
  <c r="B121" i="1"/>
  <c r="B110" i="1"/>
  <c r="B99" i="1"/>
  <c r="B88" i="1"/>
  <c r="B77" i="1"/>
  <c r="B66" i="1"/>
  <c r="B55" i="1"/>
  <c r="B44" i="1"/>
  <c r="B33" i="1"/>
  <c r="B22" i="1"/>
  <c r="B11" i="1"/>
  <c r="G143" i="4"/>
  <c r="H143" i="4" s="1"/>
  <c r="F143" i="4"/>
  <c r="G132" i="4"/>
  <c r="H132" i="4" s="1"/>
  <c r="F132" i="4"/>
  <c r="G121" i="4"/>
  <c r="H121" i="4" s="1"/>
  <c r="F121" i="4"/>
  <c r="G110" i="4"/>
  <c r="H110" i="4" s="1"/>
  <c r="F110" i="4"/>
  <c r="G99" i="4"/>
  <c r="H99" i="4"/>
  <c r="F99" i="4"/>
  <c r="G88" i="4"/>
  <c r="H88" i="4" s="1"/>
  <c r="F88" i="4"/>
  <c r="G77" i="4"/>
  <c r="H77" i="4" s="1"/>
  <c r="F77" i="4"/>
  <c r="G66" i="4"/>
  <c r="H66" i="4" s="1"/>
  <c r="F66" i="4"/>
  <c r="G55" i="4"/>
  <c r="H55" i="4" s="1"/>
  <c r="F55" i="4"/>
  <c r="G44" i="4"/>
  <c r="H44" i="4" s="1"/>
  <c r="F44" i="4"/>
  <c r="G33" i="4"/>
  <c r="H33" i="4"/>
  <c r="F33" i="4"/>
  <c r="H22" i="4"/>
  <c r="G22" i="4"/>
  <c r="F22" i="4"/>
  <c r="G11" i="4"/>
  <c r="H11" i="4"/>
  <c r="F11" i="4"/>
  <c r="B143" i="4"/>
  <c r="B132" i="4"/>
  <c r="B121" i="4"/>
  <c r="B110" i="4"/>
  <c r="B99" i="4"/>
  <c r="B88" i="4"/>
  <c r="B77" i="4"/>
  <c r="B66" i="4"/>
  <c r="B55" i="4"/>
  <c r="B44" i="4"/>
  <c r="B33" i="4"/>
  <c r="B22" i="4"/>
  <c r="B11" i="4"/>
  <c r="G132" i="5"/>
  <c r="H132" i="5"/>
  <c r="G131" i="5"/>
  <c r="H131" i="5" s="1"/>
  <c r="B143" i="5"/>
  <c r="B132" i="5"/>
  <c r="B121" i="5"/>
  <c r="B110" i="5"/>
  <c r="B99" i="5"/>
  <c r="B88" i="5"/>
  <c r="B77" i="5"/>
  <c r="B66" i="5"/>
  <c r="B55" i="5"/>
  <c r="B44" i="5"/>
  <c r="B33" i="5"/>
  <c r="B22" i="5"/>
  <c r="B11" i="5"/>
  <c r="G142" i="3"/>
  <c r="F142" i="3"/>
  <c r="G131" i="3"/>
  <c r="F131" i="3"/>
  <c r="G120" i="3"/>
  <c r="F120" i="3"/>
  <c r="G109" i="3"/>
  <c r="F109" i="3"/>
  <c r="G98" i="3"/>
  <c r="F98" i="3"/>
  <c r="G87" i="3"/>
  <c r="F87" i="3"/>
  <c r="G76" i="3"/>
  <c r="F76" i="3"/>
  <c r="G65" i="3"/>
  <c r="F65" i="3"/>
  <c r="G54" i="3"/>
  <c r="F54" i="3"/>
  <c r="G43" i="3"/>
  <c r="F43" i="3"/>
  <c r="G32" i="3"/>
  <c r="F32" i="3"/>
  <c r="G21" i="3"/>
  <c r="F21" i="3"/>
  <c r="G10" i="3"/>
  <c r="F10" i="3"/>
  <c r="B142" i="3"/>
  <c r="B131" i="3"/>
  <c r="B120" i="3"/>
  <c r="B109" i="3"/>
  <c r="B98" i="3"/>
  <c r="B87" i="3"/>
  <c r="B76" i="3"/>
  <c r="B65" i="3"/>
  <c r="B54" i="3"/>
  <c r="B43" i="3"/>
  <c r="B32" i="3"/>
  <c r="B21" i="3"/>
  <c r="B10" i="3"/>
  <c r="N32" i="2"/>
  <c r="M32" i="2"/>
  <c r="L32" i="2"/>
  <c r="K32" i="2"/>
  <c r="J32" i="2"/>
  <c r="I32" i="2"/>
  <c r="I44" i="2" s="1"/>
  <c r="H32" i="2"/>
  <c r="G32" i="2"/>
  <c r="F32" i="2"/>
  <c r="E32" i="2"/>
  <c r="D32" i="2"/>
  <c r="C32" i="2"/>
  <c r="O32" i="2" s="1"/>
  <c r="B32" i="2"/>
  <c r="N11" i="2"/>
  <c r="M11" i="2"/>
  <c r="L11" i="2"/>
  <c r="K11" i="2"/>
  <c r="J11" i="2"/>
  <c r="I11" i="2"/>
  <c r="H11" i="2"/>
  <c r="O11" i="2" s="1"/>
  <c r="G11" i="2"/>
  <c r="F11" i="2"/>
  <c r="E11" i="2"/>
  <c r="D11" i="2"/>
  <c r="D23" i="2" s="1"/>
  <c r="C11" i="2"/>
  <c r="B11" i="2"/>
  <c r="B10" i="2"/>
  <c r="A32" i="2"/>
  <c r="A11" i="2"/>
  <c r="M142" i="1"/>
  <c r="I142" i="1"/>
  <c r="E142" i="1"/>
  <c r="G142" i="1"/>
  <c r="F142" i="1"/>
  <c r="H142" i="1" s="1"/>
  <c r="M131" i="1"/>
  <c r="I131" i="1"/>
  <c r="E131" i="1"/>
  <c r="G131" i="1"/>
  <c r="H131" i="1" s="1"/>
  <c r="M120" i="1"/>
  <c r="J120" i="1"/>
  <c r="I120" i="1"/>
  <c r="H120" i="1"/>
  <c r="E120" i="1"/>
  <c r="G120" i="1"/>
  <c r="F120" i="1"/>
  <c r="M109" i="1"/>
  <c r="I109" i="1"/>
  <c r="E109" i="1"/>
  <c r="G109" i="1"/>
  <c r="F109" i="1"/>
  <c r="J109" i="1" s="1"/>
  <c r="M98" i="1"/>
  <c r="J98" i="1"/>
  <c r="I98" i="1"/>
  <c r="E98" i="1"/>
  <c r="G98" i="1"/>
  <c r="H98" i="1" s="1"/>
  <c r="F98" i="1"/>
  <c r="M87" i="1"/>
  <c r="I87" i="1"/>
  <c r="E87" i="1"/>
  <c r="G87" i="1"/>
  <c r="F87" i="1"/>
  <c r="J87" i="1" s="1"/>
  <c r="M76" i="1"/>
  <c r="J76" i="1"/>
  <c r="I76" i="1"/>
  <c r="H76" i="1"/>
  <c r="E76" i="1"/>
  <c r="G76" i="1"/>
  <c r="F76" i="1"/>
  <c r="M65" i="1"/>
  <c r="I65" i="1"/>
  <c r="E65" i="1"/>
  <c r="G65" i="1"/>
  <c r="F65" i="1"/>
  <c r="J65" i="1" s="1"/>
  <c r="M54" i="1"/>
  <c r="J54" i="1"/>
  <c r="I54" i="1"/>
  <c r="E54" i="1"/>
  <c r="G54" i="1"/>
  <c r="H54" i="1" s="1"/>
  <c r="F54" i="1"/>
  <c r="M43" i="1"/>
  <c r="I43" i="1"/>
  <c r="E43" i="1"/>
  <c r="G43" i="1"/>
  <c r="F43" i="1"/>
  <c r="H43" i="1" s="1"/>
  <c r="M32" i="1"/>
  <c r="J32" i="1"/>
  <c r="I32" i="1"/>
  <c r="E32" i="1"/>
  <c r="G32" i="1"/>
  <c r="H32" i="1" s="1"/>
  <c r="F32" i="1"/>
  <c r="M21" i="1"/>
  <c r="I21" i="1"/>
  <c r="E21" i="1"/>
  <c r="G21" i="1"/>
  <c r="F21" i="1"/>
  <c r="J21" i="1" s="1"/>
  <c r="M10" i="1"/>
  <c r="I10" i="1"/>
  <c r="E10" i="1"/>
  <c r="G10" i="1"/>
  <c r="H10" i="1" s="1"/>
  <c r="B142" i="1"/>
  <c r="B131" i="1"/>
  <c r="B120" i="1"/>
  <c r="B109" i="1"/>
  <c r="B98" i="1"/>
  <c r="B87" i="1"/>
  <c r="B76" i="1"/>
  <c r="B65" i="1"/>
  <c r="B54" i="1"/>
  <c r="B43" i="1"/>
  <c r="B32" i="1"/>
  <c r="B21" i="1"/>
  <c r="B10" i="1"/>
  <c r="A31" i="2"/>
  <c r="A10" i="2"/>
  <c r="B142" i="4"/>
  <c r="B131" i="4"/>
  <c r="B120" i="4"/>
  <c r="B109" i="4"/>
  <c r="B98" i="4"/>
  <c r="B87" i="4"/>
  <c r="B76" i="4"/>
  <c r="B65" i="4"/>
  <c r="B54" i="4"/>
  <c r="B43" i="4"/>
  <c r="B32" i="4"/>
  <c r="B21" i="4"/>
  <c r="B10" i="4"/>
  <c r="B142" i="5"/>
  <c r="B131" i="5"/>
  <c r="B120" i="5"/>
  <c r="B109" i="5"/>
  <c r="B98" i="5"/>
  <c r="B87" i="5"/>
  <c r="B76" i="5"/>
  <c r="B65" i="5"/>
  <c r="B54" i="5"/>
  <c r="B43" i="5"/>
  <c r="B32" i="5"/>
  <c r="B21" i="5"/>
  <c r="B10" i="5"/>
  <c r="B141" i="3"/>
  <c r="B130" i="3"/>
  <c r="B119" i="3"/>
  <c r="B108" i="3"/>
  <c r="B97" i="3"/>
  <c r="B86" i="3"/>
  <c r="B75" i="3"/>
  <c r="B64" i="3"/>
  <c r="B53" i="3"/>
  <c r="B42" i="3"/>
  <c r="B31" i="3"/>
  <c r="B20" i="3"/>
  <c r="B9" i="3"/>
  <c r="G141" i="1"/>
  <c r="G150" i="1" s="1"/>
  <c r="F141" i="1"/>
  <c r="F150" i="1" s="1"/>
  <c r="J141" i="1"/>
  <c r="G130" i="1"/>
  <c r="G139" i="1" s="1"/>
  <c r="F130" i="1"/>
  <c r="J130" i="1" s="1"/>
  <c r="G119" i="1"/>
  <c r="G128" i="1" s="1"/>
  <c r="F119" i="1"/>
  <c r="J119" i="1" s="1"/>
  <c r="G108" i="1"/>
  <c r="G117" i="1" s="1"/>
  <c r="F108" i="1"/>
  <c r="J108" i="1" s="1"/>
  <c r="G97" i="1"/>
  <c r="G106" i="1" s="1"/>
  <c r="F97" i="1"/>
  <c r="H97" i="1" s="1"/>
  <c r="G86" i="1"/>
  <c r="G95" i="1" s="1"/>
  <c r="F86" i="1"/>
  <c r="F95" i="1" s="1"/>
  <c r="G75" i="1"/>
  <c r="G84" i="1" s="1"/>
  <c r="F75" i="1"/>
  <c r="F84" i="1" s="1"/>
  <c r="G64" i="1"/>
  <c r="G73" i="1" s="1"/>
  <c r="F64" i="1"/>
  <c r="G53" i="1"/>
  <c r="H53" i="1" s="1"/>
  <c r="F53" i="1"/>
  <c r="F62" i="1" s="1"/>
  <c r="G42" i="1"/>
  <c r="G51" i="1" s="1"/>
  <c r="F42" i="1"/>
  <c r="F51" i="1" s="1"/>
  <c r="G31" i="1"/>
  <c r="H31" i="1" s="1"/>
  <c r="F31" i="1"/>
  <c r="F40" i="1" s="1"/>
  <c r="G20" i="1"/>
  <c r="G29" i="1" s="1"/>
  <c r="F20" i="1"/>
  <c r="G9" i="1"/>
  <c r="G18" i="1" s="1"/>
  <c r="F9" i="1"/>
  <c r="B141" i="1"/>
  <c r="B130" i="1"/>
  <c r="B119" i="1"/>
  <c r="B108" i="1"/>
  <c r="B97" i="1"/>
  <c r="B86" i="1"/>
  <c r="B75" i="1"/>
  <c r="B64" i="1"/>
  <c r="B53" i="1"/>
  <c r="B42" i="1"/>
  <c r="B31" i="1"/>
  <c r="B20" i="1"/>
  <c r="B9" i="1"/>
  <c r="J86" i="1"/>
  <c r="J31" i="1"/>
  <c r="J20" i="1"/>
  <c r="E151" i="5"/>
  <c r="D151" i="5"/>
  <c r="C151" i="5"/>
  <c r="C153" i="5" s="1"/>
  <c r="E140" i="5"/>
  <c r="D140" i="5"/>
  <c r="C140" i="5"/>
  <c r="G140" i="5"/>
  <c r="H140" i="5" s="1"/>
  <c r="E129" i="5"/>
  <c r="D129" i="5"/>
  <c r="C129" i="5"/>
  <c r="E118" i="5"/>
  <c r="D118" i="5"/>
  <c r="C118" i="5"/>
  <c r="E107" i="5"/>
  <c r="E153" i="5" s="1"/>
  <c r="D107" i="5"/>
  <c r="C107" i="5"/>
  <c r="E96" i="5"/>
  <c r="D96" i="5"/>
  <c r="F96" i="5" s="1"/>
  <c r="C96" i="5"/>
  <c r="E85" i="5"/>
  <c r="D85" i="5"/>
  <c r="C85" i="5"/>
  <c r="E74" i="5"/>
  <c r="D74" i="5"/>
  <c r="C74" i="5"/>
  <c r="E63" i="5"/>
  <c r="D63" i="5"/>
  <c r="C63" i="5"/>
  <c r="E52" i="5"/>
  <c r="D52" i="5"/>
  <c r="D153" i="5" s="1"/>
  <c r="C52" i="5"/>
  <c r="E41" i="5"/>
  <c r="D41" i="5"/>
  <c r="C41" i="5"/>
  <c r="E30" i="5"/>
  <c r="D30" i="5"/>
  <c r="C30" i="5"/>
  <c r="E19" i="5"/>
  <c r="D19" i="5"/>
  <c r="C19" i="5"/>
  <c r="G19" i="5" s="1"/>
  <c r="H19" i="5" s="1"/>
  <c r="L51" i="1"/>
  <c r="F65" i="4"/>
  <c r="F64" i="3"/>
  <c r="M64" i="1"/>
  <c r="E64" i="1"/>
  <c r="F142" i="4"/>
  <c r="F141" i="3"/>
  <c r="G31" i="2"/>
  <c r="G44" i="2" s="1"/>
  <c r="G10" i="2"/>
  <c r="M141" i="1"/>
  <c r="E141" i="1"/>
  <c r="E74" i="4"/>
  <c r="D74" i="4"/>
  <c r="F74" i="4" s="1"/>
  <c r="C74" i="4"/>
  <c r="G74" i="4"/>
  <c r="H74" i="4" s="1"/>
  <c r="G65" i="4"/>
  <c r="H65" i="4" s="1"/>
  <c r="E73" i="3"/>
  <c r="D73" i="3"/>
  <c r="F73" i="3" s="1"/>
  <c r="C73" i="3"/>
  <c r="G64" i="3"/>
  <c r="L73" i="1"/>
  <c r="D73" i="1"/>
  <c r="C73" i="1"/>
  <c r="E73" i="1" s="1"/>
  <c r="I64" i="1"/>
  <c r="G142" i="4"/>
  <c r="H142" i="4" s="1"/>
  <c r="G141" i="3"/>
  <c r="I141" i="1"/>
  <c r="D18" i="1"/>
  <c r="D29" i="1"/>
  <c r="D40" i="1"/>
  <c r="E40" i="1" s="1"/>
  <c r="D51" i="1"/>
  <c r="E51" i="1"/>
  <c r="D62" i="1"/>
  <c r="E62" i="1"/>
  <c r="D84" i="1"/>
  <c r="D95" i="1"/>
  <c r="D106" i="1"/>
  <c r="D117" i="1"/>
  <c r="E117" i="1"/>
  <c r="D128" i="1"/>
  <c r="E128" i="1"/>
  <c r="D139" i="1"/>
  <c r="D150" i="1"/>
  <c r="E150" i="1" s="1"/>
  <c r="C150" i="1"/>
  <c r="C151" i="4"/>
  <c r="G151" i="4" s="1"/>
  <c r="H151" i="4" s="1"/>
  <c r="D151" i="4"/>
  <c r="F151" i="4" s="1"/>
  <c r="C150" i="3"/>
  <c r="D150" i="3"/>
  <c r="E19" i="4"/>
  <c r="E30" i="4"/>
  <c r="E41" i="4"/>
  <c r="E52" i="4"/>
  <c r="E63" i="4"/>
  <c r="F63" i="4"/>
  <c r="E85" i="4"/>
  <c r="E96" i="4"/>
  <c r="F96" i="4" s="1"/>
  <c r="E107" i="4"/>
  <c r="E118" i="4"/>
  <c r="E129" i="4"/>
  <c r="E140" i="4"/>
  <c r="E151" i="4"/>
  <c r="E153" i="4" s="1"/>
  <c r="D19" i="4"/>
  <c r="G19" i="4" s="1"/>
  <c r="H19" i="4" s="1"/>
  <c r="D30" i="4"/>
  <c r="G30" i="4" s="1"/>
  <c r="H30" i="4" s="1"/>
  <c r="D41" i="4"/>
  <c r="F41" i="4" s="1"/>
  <c r="D52" i="4"/>
  <c r="F52" i="4" s="1"/>
  <c r="D63" i="4"/>
  <c r="G63" i="4" s="1"/>
  <c r="H63" i="4" s="1"/>
  <c r="D85" i="4"/>
  <c r="F85" i="4" s="1"/>
  <c r="D96" i="4"/>
  <c r="G96" i="4"/>
  <c r="H96" i="4" s="1"/>
  <c r="D107" i="4"/>
  <c r="G107" i="4" s="1"/>
  <c r="H107" i="4" s="1"/>
  <c r="D118" i="4"/>
  <c r="D129" i="4"/>
  <c r="F129" i="4" s="1"/>
  <c r="D140" i="4"/>
  <c r="C19" i="4"/>
  <c r="C30" i="4"/>
  <c r="C41" i="4"/>
  <c r="G41" i="4"/>
  <c r="H41" i="4" s="1"/>
  <c r="C52" i="4"/>
  <c r="C63" i="4"/>
  <c r="C85" i="4"/>
  <c r="C96" i="4"/>
  <c r="C107" i="4"/>
  <c r="C118" i="4"/>
  <c r="C129" i="4"/>
  <c r="C140" i="4"/>
  <c r="F109" i="4"/>
  <c r="E18" i="3"/>
  <c r="E29" i="3"/>
  <c r="F29" i="3" s="1"/>
  <c r="E40" i="3"/>
  <c r="E51" i="3"/>
  <c r="E62" i="3"/>
  <c r="E84" i="3"/>
  <c r="E95" i="3"/>
  <c r="E106" i="3"/>
  <c r="F106" i="3"/>
  <c r="E117" i="3"/>
  <c r="E128" i="3"/>
  <c r="E139" i="3"/>
  <c r="E150" i="3"/>
  <c r="F150" i="3" s="1"/>
  <c r="D18" i="3"/>
  <c r="D29" i="3"/>
  <c r="D40" i="3"/>
  <c r="G40" i="3" s="1"/>
  <c r="D51" i="3"/>
  <c r="F51" i="3" s="1"/>
  <c r="D62" i="3"/>
  <c r="D84" i="3"/>
  <c r="F84" i="3" s="1"/>
  <c r="D95" i="3"/>
  <c r="G95" i="3" s="1"/>
  <c r="D106" i="3"/>
  <c r="G106" i="3"/>
  <c r="D117" i="3"/>
  <c r="D128" i="3"/>
  <c r="F128" i="3" s="1"/>
  <c r="D139" i="3"/>
  <c r="C18" i="3"/>
  <c r="C29" i="3"/>
  <c r="C40" i="3"/>
  <c r="C51" i="3"/>
  <c r="C62" i="3"/>
  <c r="G62" i="3" s="1"/>
  <c r="C84" i="3"/>
  <c r="C95" i="3"/>
  <c r="C106" i="3"/>
  <c r="C117" i="3"/>
  <c r="G117" i="3"/>
  <c r="C128" i="3"/>
  <c r="C139" i="3"/>
  <c r="C152" i="3" s="1"/>
  <c r="F108" i="3"/>
  <c r="M108" i="1"/>
  <c r="E108" i="1"/>
  <c r="L18" i="1"/>
  <c r="L29" i="1"/>
  <c r="M29" i="1"/>
  <c r="L40" i="1"/>
  <c r="L62" i="1"/>
  <c r="M62" i="1" s="1"/>
  <c r="L84" i="1"/>
  <c r="L95" i="1"/>
  <c r="L106" i="1"/>
  <c r="M106" i="1" s="1"/>
  <c r="L117" i="1"/>
  <c r="L128" i="1"/>
  <c r="L139" i="1"/>
  <c r="K18" i="1"/>
  <c r="M18" i="1"/>
  <c r="K29" i="1"/>
  <c r="C18" i="1"/>
  <c r="E18" i="1" s="1"/>
  <c r="C29" i="1"/>
  <c r="I29" i="1" s="1"/>
  <c r="C40" i="1"/>
  <c r="C51" i="1"/>
  <c r="C62" i="1"/>
  <c r="C84" i="1"/>
  <c r="C152" i="1" s="1"/>
  <c r="C95" i="1"/>
  <c r="I95" i="1"/>
  <c r="C106" i="1"/>
  <c r="E106" i="1"/>
  <c r="C117" i="1"/>
  <c r="C128" i="1"/>
  <c r="C139" i="1"/>
  <c r="E119" i="1"/>
  <c r="I119" i="1"/>
  <c r="M119" i="1"/>
  <c r="K117" i="1"/>
  <c r="M117" i="1"/>
  <c r="F131" i="4"/>
  <c r="K31" i="2"/>
  <c r="K44" i="2" s="1"/>
  <c r="K10" i="2"/>
  <c r="K51" i="1"/>
  <c r="I51" i="1" s="1"/>
  <c r="K62" i="1"/>
  <c r="K84" i="1"/>
  <c r="M84" i="1" s="1"/>
  <c r="K95" i="1"/>
  <c r="M95" i="1" s="1"/>
  <c r="K106" i="1"/>
  <c r="K139" i="1"/>
  <c r="M139" i="1" s="1"/>
  <c r="I108" i="1"/>
  <c r="G109" i="4"/>
  <c r="H109" i="4"/>
  <c r="G108" i="3"/>
  <c r="F87" i="4"/>
  <c r="F86" i="3"/>
  <c r="N31" i="2"/>
  <c r="M31" i="2"/>
  <c r="L31" i="2"/>
  <c r="L44" i="2" s="1"/>
  <c r="J31" i="2"/>
  <c r="I31" i="2"/>
  <c r="H31" i="2"/>
  <c r="H44" i="2"/>
  <c r="F31" i="2"/>
  <c r="E31" i="2"/>
  <c r="E44" i="2" s="1"/>
  <c r="C31" i="2"/>
  <c r="B31" i="2"/>
  <c r="O31" i="2" s="1"/>
  <c r="M86" i="1"/>
  <c r="E86" i="1"/>
  <c r="I10" i="2"/>
  <c r="G87" i="4"/>
  <c r="H87" i="4" s="1"/>
  <c r="G98" i="4"/>
  <c r="H98" i="4" s="1"/>
  <c r="F98" i="4"/>
  <c r="G86" i="3"/>
  <c r="I86" i="1"/>
  <c r="F10" i="4"/>
  <c r="G10" i="4"/>
  <c r="H10" i="4" s="1"/>
  <c r="I9" i="1"/>
  <c r="I20" i="1"/>
  <c r="I42" i="1"/>
  <c r="I53" i="1"/>
  <c r="I75" i="1"/>
  <c r="I97" i="1"/>
  <c r="I130" i="1"/>
  <c r="E9" i="1"/>
  <c r="M9" i="1"/>
  <c r="E20" i="1"/>
  <c r="M20" i="1"/>
  <c r="E31" i="1"/>
  <c r="E42" i="1"/>
  <c r="M42" i="1"/>
  <c r="E53" i="1"/>
  <c r="M53" i="1"/>
  <c r="E75" i="1"/>
  <c r="M75" i="1"/>
  <c r="E97" i="1"/>
  <c r="M97" i="1"/>
  <c r="E130" i="1"/>
  <c r="M130" i="1"/>
  <c r="F21" i="4"/>
  <c r="G21" i="4"/>
  <c r="H21" i="4"/>
  <c r="F32" i="4"/>
  <c r="G32" i="4"/>
  <c r="H32" i="4" s="1"/>
  <c r="F43" i="4"/>
  <c r="G43" i="4"/>
  <c r="H43" i="4"/>
  <c r="F54" i="4"/>
  <c r="G54" i="4"/>
  <c r="H54" i="4" s="1"/>
  <c r="F76" i="4"/>
  <c r="G76" i="4"/>
  <c r="H76" i="4"/>
  <c r="F120" i="4"/>
  <c r="G120" i="4"/>
  <c r="H120" i="4" s="1"/>
  <c r="G131" i="4"/>
  <c r="H131" i="4" s="1"/>
  <c r="F9" i="3"/>
  <c r="F20" i="3"/>
  <c r="G20" i="3"/>
  <c r="F31" i="3"/>
  <c r="G31" i="3"/>
  <c r="F42" i="3"/>
  <c r="G42" i="3"/>
  <c r="F53" i="3"/>
  <c r="G53" i="3"/>
  <c r="F75" i="3"/>
  <c r="G75" i="3"/>
  <c r="F97" i="3"/>
  <c r="G97" i="3"/>
  <c r="F119" i="3"/>
  <c r="G119" i="3"/>
  <c r="F130" i="3"/>
  <c r="G130" i="3"/>
  <c r="G9" i="3"/>
  <c r="C10" i="2"/>
  <c r="O10" i="2" s="1"/>
  <c r="D10" i="2"/>
  <c r="E10" i="2"/>
  <c r="E23" i="2" s="1"/>
  <c r="F10" i="2"/>
  <c r="H10" i="2"/>
  <c r="J10" i="2"/>
  <c r="L10" i="2"/>
  <c r="L23" i="2" s="1"/>
  <c r="M10" i="2"/>
  <c r="N10" i="2"/>
  <c r="N23" i="2" s="1"/>
  <c r="I31" i="1"/>
  <c r="M31" i="1"/>
  <c r="K40" i="1"/>
  <c r="D31" i="2"/>
  <c r="L150" i="1"/>
  <c r="M150" i="1"/>
  <c r="K150" i="1"/>
  <c r="K152" i="1" s="1"/>
  <c r="K73" i="1"/>
  <c r="I73" i="1" s="1"/>
  <c r="K128" i="1"/>
  <c r="M128" i="1" s="1"/>
  <c r="H75" i="1"/>
  <c r="H130" i="1"/>
  <c r="H141" i="1"/>
  <c r="J9" i="1"/>
  <c r="J64" i="1"/>
  <c r="J42" i="1"/>
  <c r="H108" i="1"/>
  <c r="H9" i="1"/>
  <c r="H20" i="1"/>
  <c r="H86" i="1"/>
  <c r="J53" i="1"/>
  <c r="J88" i="1"/>
  <c r="G118" i="4"/>
  <c r="H118" i="4"/>
  <c r="F18" i="3"/>
  <c r="J79" i="1"/>
  <c r="F117" i="3"/>
  <c r="J25" i="1"/>
  <c r="F29" i="1"/>
  <c r="H124" i="1"/>
  <c r="I154" i="1"/>
  <c r="I117" i="1"/>
  <c r="E95" i="1"/>
  <c r="F155" i="4"/>
  <c r="H16" i="1"/>
  <c r="F140" i="4"/>
  <c r="G140" i="4"/>
  <c r="H140" i="4"/>
  <c r="F118" i="4"/>
  <c r="F107" i="4"/>
  <c r="G52" i="4"/>
  <c r="H52" i="4" s="1"/>
  <c r="F30" i="4"/>
  <c r="C153" i="4"/>
  <c r="G150" i="3"/>
  <c r="F139" i="3"/>
  <c r="G128" i="3"/>
  <c r="G84" i="3"/>
  <c r="F62" i="3"/>
  <c r="F40" i="3"/>
  <c r="G29" i="3"/>
  <c r="G18" i="3"/>
  <c r="O17" i="2"/>
  <c r="M40" i="1"/>
  <c r="I150" i="1"/>
  <c r="I139" i="1"/>
  <c r="E139" i="1"/>
  <c r="I106" i="1"/>
  <c r="I84" i="1"/>
  <c r="M73" i="1"/>
  <c r="I62" i="1"/>
  <c r="I40" i="1"/>
  <c r="L152" i="1"/>
  <c r="J29" i="1"/>
  <c r="F23" i="2"/>
  <c r="J23" i="2"/>
  <c r="B44" i="2"/>
  <c r="O37" i="2"/>
  <c r="M44" i="2"/>
  <c r="D44" i="2"/>
  <c r="O14" i="2"/>
  <c r="I23" i="2"/>
  <c r="J62" i="1" l="1"/>
  <c r="O44" i="2"/>
  <c r="H84" i="1"/>
  <c r="H150" i="1"/>
  <c r="J150" i="1"/>
  <c r="I152" i="1"/>
  <c r="M152" i="1"/>
  <c r="J95" i="1"/>
  <c r="H95" i="1"/>
  <c r="F153" i="5"/>
  <c r="G153" i="5"/>
  <c r="H153" i="5" s="1"/>
  <c r="H40" i="1"/>
  <c r="J40" i="1"/>
  <c r="H29" i="1"/>
  <c r="O23" i="2"/>
  <c r="H51" i="1"/>
  <c r="C44" i="2"/>
  <c r="D153" i="4"/>
  <c r="G129" i="4"/>
  <c r="H129" i="4" s="1"/>
  <c r="F95" i="3"/>
  <c r="H64" i="1"/>
  <c r="G73" i="3"/>
  <c r="J97" i="1"/>
  <c r="J43" i="1"/>
  <c r="H65" i="1"/>
  <c r="J142" i="1"/>
  <c r="H143" i="1"/>
  <c r="H110" i="1"/>
  <c r="H47" i="1"/>
  <c r="H102" i="1"/>
  <c r="G40" i="1"/>
  <c r="F106" i="1"/>
  <c r="J46" i="1"/>
  <c r="F73" i="1"/>
  <c r="J123" i="1"/>
  <c r="J125" i="1"/>
  <c r="F154" i="1"/>
  <c r="J49" i="1"/>
  <c r="D152" i="1"/>
  <c r="E152" i="1" s="1"/>
  <c r="J67" i="1"/>
  <c r="J84" i="1"/>
  <c r="D152" i="3"/>
  <c r="I128" i="1"/>
  <c r="G85" i="4"/>
  <c r="H85" i="4" s="1"/>
  <c r="F19" i="4"/>
  <c r="J75" i="1"/>
  <c r="H87" i="1"/>
  <c r="J77" i="1"/>
  <c r="H121" i="1"/>
  <c r="J37" i="1"/>
  <c r="M51" i="1"/>
  <c r="J89" i="1"/>
  <c r="J145" i="1"/>
  <c r="J14" i="1"/>
  <c r="F117" i="1"/>
  <c r="J71" i="1"/>
  <c r="J104" i="1"/>
  <c r="O12" i="2"/>
  <c r="J51" i="1"/>
  <c r="H80" i="1"/>
  <c r="H42" i="1"/>
  <c r="H109" i="1"/>
  <c r="J147" i="1"/>
  <c r="H23" i="2"/>
  <c r="F128" i="1"/>
  <c r="H128" i="1" s="1"/>
  <c r="J34" i="1"/>
  <c r="E29" i="1"/>
  <c r="E152" i="3"/>
  <c r="G51" i="3"/>
  <c r="E84" i="1"/>
  <c r="J111" i="1"/>
  <c r="G62" i="1"/>
  <c r="G152" i="1" s="1"/>
  <c r="J59" i="1"/>
  <c r="F139" i="1"/>
  <c r="J11" i="1"/>
  <c r="J58" i="1"/>
  <c r="O13" i="2"/>
  <c r="I18" i="1"/>
  <c r="H99" i="1"/>
  <c r="H119" i="1"/>
  <c r="H21" i="1"/>
  <c r="G139" i="3"/>
  <c r="F18" i="1"/>
  <c r="J139" i="1" l="1"/>
  <c r="H139" i="1"/>
  <c r="F152" i="1"/>
  <c r="H62" i="1"/>
  <c r="H106" i="1"/>
  <c r="J106" i="1"/>
  <c r="J128" i="1"/>
  <c r="J154" i="1"/>
  <c r="H154" i="1"/>
  <c r="J18" i="1"/>
  <c r="H18" i="1"/>
  <c r="H73" i="1"/>
  <c r="J73" i="1"/>
  <c r="J117" i="1"/>
  <c r="H117" i="1"/>
  <c r="G152" i="3"/>
  <c r="F152" i="3"/>
  <c r="G153" i="4"/>
  <c r="H153" i="4" s="1"/>
  <c r="F153" i="4"/>
  <c r="H152" i="1" l="1"/>
  <c r="J152" i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<sst xmlns="http://schemas.openxmlformats.org/spreadsheetml/2006/main" count="241" uniqueCount="79">
  <si>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</si>
  <si>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</si>
  <si>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</si>
  <si>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</si>
  <si>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</si>
  <si>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</si>
  <si>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</si>
  <si>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</si>
  <si>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</si>
  <si>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</si>
  <si>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</si>
  <si>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</si>
  <si>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</si>
  <si>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</si>
  <si>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</si>
  <si>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</si>
  <si>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</si>
  <si>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</si>
  <si>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</si>
  <si>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</si>
  <si>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</si>
  <si>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</si>
  <si>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</si>
  <si>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</si>
  <si>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</si>
  <si>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</si>
  <si>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</si>
  <si>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</si>
  <si>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</si>
  <si>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</si>
  <si>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</si>
  <si>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</si>
  <si>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</si>
  <si>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</si>
  <si>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</si>
  <si>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</si>
  <si>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</si>
  <si>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</si>
  <si>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</si>
  <si>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</si>
  <si>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</si>
  <si>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</si>
  <si>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</si>
  <si>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</si>
  <si>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</si>
  <si>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</si>
  <si>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</si>
  <si>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</si>
  <si>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</si>
  <si>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</si>
  <si>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</si>
  <si>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</si>
  <si>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</si>
  <si>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</si>
  <si>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</si>
  <si>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</si>
  <si>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</si>
  <si>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</si>
  <si>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</si>
  <si>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</si>
  <si>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</si>
  <si>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</si>
  <si>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</si>
  <si>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</si>
  <si>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</si>
  <si>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</si>
  <si>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</si>
  <si>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</si>
  <si>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</si>
  <si>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</si>
  <si>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</si>
  <si>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</si>
  <si>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FEBRUARY 28, 2022</t>
  </si>
  <si>
    <t>(as reported on the tax remittal database dtd 3/9/22)</t>
  </si>
  <si>
    <t>FOR THE MONTH ENDED:   FEBRUARY 28, 2022</t>
  </si>
  <si>
    <t>THRU MONTH ENDED:   FEBRUARY 28, 2022</t>
  </si>
  <si>
    <t>(as reported on the tax remittal database as of 3/9/22)</t>
  </si>
  <si>
    <t>THRU MONTH ENDED:    FEBRUARY 28, 2022</t>
  </si>
  <si>
    <t>THRU MONTH ENDED:     FEBRUARY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</si>
</sst>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26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t="shared" ref="E9:E16" si="0">(+C9-D9)/D9</f>
        <v>0.23612431172444553</v>
      </c>
      <c r="F9" s="21">
        <f>+C9-107437</f>
        <v>125366</v>
      </c>
      <c r="G9" s="21">
        <f>+D9-87391</f>
        <v>100942</v>
      </c>
      <c r="H9" s="23">
        <f t="shared" ref="H9:H16" si="1">(+F9-G9)/G9</f>
        <v>0.24196072992411483</v>
      </c>
      <c r="I9" s="24">
        <f t="shared" ref="I9:I16" si="2">K9/C9</f>
        <v>68.467668414925924</v>
      </c>
      <c r="J9" s="24">
        <f t="shared" ref="J9:J16" si="3">K9/F9</f>
        <v>127.14355255810985</v>
      </c>
      <c r="K9" s="21">
        <v>15939478.609999999</v>
      </c>
      <c r="L9" s="21">
        <v>13615214.890000001</v>
      </c>
      <c r="M9" s="25">
        <f t="shared" ref="M9:M16" si="4"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224849</v>
      </c>
      <c r="D10" s="22">
        <v>193126</v>
      </c>
      <c r="E10" s="23">
        <f t="shared" si="0"/>
        <v>0.16426063813261807</v>
      </c>
      <c r="F10" s="21">
        <f>+C10-102898</f>
        <v>121951</v>
      </c>
      <c r="G10" s="21">
        <f>+D10-88951</f>
        <v>104175</v>
      </c>
      <c r="H10" s="23">
        <f t="shared" si="1"/>
        <v>0.17063594912407007</v>
      </c>
      <c r="I10" s="24">
        <f t="shared" si="2"/>
        <v>67.052097718913572</v>
      </c>
      <c r="J10" s="24">
        <f t="shared" si="3"/>
        <v>123.62831891497405</v>
      </c>
      <c r="K10" s="21">
        <v>15076597.119999999</v>
      </c>
      <c r="L10" s="21">
        <v>12620487.539999999</v>
      </c>
      <c r="M10" s="25">
        <f t="shared" si="4"/>
        <v>0.19461289211018865</v>
      </c>
      <c r="N10" s="10"/>
      <c r="R10" s="2"/>
    </row>
    <row r="11" spans="1:18" ht="15.75" x14ac:dyDescent="0.2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4.7246815820771115E-2</v>
      </c>
      <c r="F11" s="21">
        <f>+C11-93968</f>
        <v>112082</v>
      </c>
      <c r="G11" s="21">
        <f>+D11-92272</f>
        <v>104482</v>
      </c>
      <c r="H11" s="23">
        <f t="shared" si="1"/>
        <v>7.2739802071170159E-2</v>
      </c>
      <c r="I11" s="24">
        <f t="shared" si="2"/>
        <v>67.344978015044902</v>
      </c>
      <c r="J11" s="24">
        <f t="shared" si="3"/>
        <v>123.8060769793544</v>
      </c>
      <c r="K11" s="21">
        <v>13876432.720000001</v>
      </c>
      <c r="L11" s="21">
        <v>12429246.59</v>
      </c>
      <c r="M11" s="25">
        <f t="shared" si="4"/>
        <v>0.11643393825369433</v>
      </c>
      <c r="N11" s="10"/>
      <c r="R11" s="2"/>
    </row>
    <row r="12" spans="1:18" ht="15.75" x14ac:dyDescent="0.2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7.7080072806841093E-2</v>
      </c>
      <c r="F12" s="21">
        <f>+C12-100658</f>
        <v>118880</v>
      </c>
      <c r="G12" s="21">
        <f>+D12-94349</f>
        <v>109478</v>
      </c>
      <c r="H12" s="23">
        <f t="shared" si="1"/>
        <v>8.5880268181735137E-2</v>
      </c>
      <c r="I12" s="24">
        <f t="shared" si="2"/>
        <v>69.459368810866451</v>
      </c>
      <c r="J12" s="24">
        <f t="shared" si="3"/>
        <v>128.27196256729476</v>
      </c>
      <c r="K12" s="21">
        <v>15248970.91</v>
      </c>
      <c r="L12" s="21">
        <v>12927551.640000001</v>
      </c>
      <c r="M12" s="25">
        <f t="shared" si="4"/>
        <v>0.17957145596055027</v>
      </c>
      <c r="N12" s="10"/>
      <c r="R12" s="2"/>
    </row>
    <row r="13" spans="1:18" ht="15.75" x14ac:dyDescent="0.2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6.4409880093894728E-2</v>
      </c>
      <c r="F13" s="21">
        <f>+C13-92874</f>
        <v>108457</v>
      </c>
      <c r="G13" s="21">
        <f>+D13-86903</f>
        <v>102245</v>
      </c>
      <c r="H13" s="23">
        <f t="shared" si="1"/>
        <v>6.0756027189593623E-2</v>
      </c>
      <c r="I13" s="24">
        <f t="shared" si="2"/>
        <v>67.221432069576963</v>
      </c>
      <c r="J13" s="24">
        <f t="shared" si="3"/>
        <v>124.78455185004196</v>
      </c>
      <c r="K13" s="21">
        <v>13533758.140000001</v>
      </c>
      <c r="L13" s="21">
        <v>11277470.82</v>
      </c>
      <c r="M13" s="25">
        <f t="shared" si="4"/>
        <v>0.2000703310177131</v>
      </c>
      <c r="N13" s="10"/>
      <c r="R13" s="2"/>
    </row>
    <row r="14" spans="1:18" ht="15.75" x14ac:dyDescent="0.2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8.4686550113221404E-2</v>
      </c>
      <c r="F14" s="21">
        <f>+C14-99427</f>
        <v>113254</v>
      </c>
      <c r="G14" s="21">
        <f>+D14-87128</f>
        <v>108948</v>
      </c>
      <c r="H14" s="23">
        <f t="shared" si="1"/>
        <v>3.9523442376179461E-2</v>
      </c>
      <c r="I14" s="24">
        <f t="shared" si="2"/>
        <v>68.696572331331893</v>
      </c>
      <c r="J14" s="24">
        <f t="shared" si="3"/>
        <v>129.00608985113107</v>
      </c>
      <c r="K14" s="21">
        <v>14610455.699999999</v>
      </c>
      <c r="L14" s="21">
        <v>12509643.109999999</v>
      </c>
      <c r="M14" s="25">
        <f t="shared" si="4"/>
        <v>0.16793545359584602</v>
      </c>
      <c r="N14" s="10"/>
      <c r="R14" s="2"/>
    </row>
    <row r="15" spans="1:18" ht="15.75" x14ac:dyDescent="0.25">
      <c r="A15" s="19"/>
      <c r="B15" s="20">
        <f>DATE(2022,1,1)</f>
        <v>44562</v>
      </c>
      <c r="C15" s="21">
        <v>183563</v>
      </c>
      <c r="D15" s="22">
        <v>210729</v>
      </c>
      <c r="E15" s="23">
        <f t="shared" si="0"/>
        <v>-0.12891438767326757</v>
      </c>
      <c r="F15" s="21">
        <f>+C15-87679</f>
        <v>95884</v>
      </c>
      <c r="G15" s="21">
        <f>+D15-99046</f>
        <v>111683</v>
      </c>
      <c r="H15" s="23">
        <f t="shared" si="1"/>
        <v>-0.14146289050258321</v>
      </c>
      <c r="I15" s="24">
        <f t="shared" si="2"/>
        <v>69.318893458921451</v>
      </c>
      <c r="J15" s="24">
        <f t="shared" si="3"/>
        <v>132.7060201910642</v>
      </c>
      <c r="K15" s="21">
        <v>12724384.039999999</v>
      </c>
      <c r="L15" s="21">
        <v>12803823.939999999</v>
      </c>
      <c r="M15" s="25">
        <f t="shared" si="4"/>
        <v>-6.2043886554722788E-3</v>
      </c>
      <c r="N15" s="10"/>
      <c r="R15" s="2"/>
    </row>
    <row r="16" spans="1:18" ht="15.75" x14ac:dyDescent="0.25">
      <c r="A16" s="19"/>
      <c r="B16" s="20">
        <f>DATE(2022,2,1)</f>
        <v>44593</v>
      </c>
      <c r="C16" s="21">
        <v>198133</v>
      </c>
      <c r="D16" s="22">
        <v>178806</v>
      </c>
      <c r="E16" s="23">
        <f t="shared" si="0"/>
        <v>0.10808921400847846</v>
      </c>
      <c r="F16" s="21">
        <f>+C16-96112</f>
        <v>102021</v>
      </c>
      <c r="G16" s="21">
        <f>+D16-83686</f>
        <v>95120</v>
      </c>
      <c r="H16" s="23">
        <f t="shared" si="1"/>
        <v>7.2550462573591254E-2</v>
      </c>
      <c r="I16" s="24">
        <f t="shared" si="2"/>
        <v>70.471993913179531</v>
      </c>
      <c r="J16" s="24">
        <f t="shared" si="3"/>
        <v>136.86228884249323</v>
      </c>
      <c r="K16" s="21">
        <v>13962827.57</v>
      </c>
      <c r="L16" s="21">
        <v>11350808.92</v>
      </c>
      <c r="M16" s="25">
        <f t="shared" si="4"/>
        <v>0.23011740118342158</v>
      </c>
      <c r="N16" s="10"/>
      <c r="R16" s="2"/>
    </row>
    <row r="17" spans="1:18" ht="15.75" customHeight="1" thickBot="1" x14ac:dyDescent="0.3">
      <c r="A17" s="19"/>
      <c r="B17" s="20"/>
      <c r="C17" s="21"/>
      <c r="D17" s="21"/>
      <c r="E17" s="23"/>
      <c r="F17" s="21"/>
      <c r="G17" s="21"/>
      <c r="H17" s="23"/>
      <c r="I17" s="24"/>
      <c r="J17" s="24"/>
      <c r="K17" s="21"/>
      <c r="L17" s="21"/>
      <c r="M17" s="25"/>
      <c r="N17" s="10"/>
      <c r="R17" s="2"/>
    </row>
    <row r="18" spans="1:18" ht="17.25" thickTop="1" thickBot="1" x14ac:dyDescent="0.3">
      <c r="A18" s="26" t="s">
        <v>14</v>
      </c>
      <c r="B18" s="27"/>
      <c r="C18" s="28">
        <f>SUM(C9:C17)</f>
        <v>1678948</v>
      </c>
      <c r="D18" s="28">
        <f>SUM(D9:D17)</f>
        <v>1556799</v>
      </c>
      <c r="E18" s="279">
        <f>(+C18-D18)/D18</f>
        <v>7.8461638271864254E-2</v>
      </c>
      <c r="F18" s="28">
        <f>SUM(F9:F17)</f>
        <v>897895</v>
      </c>
      <c r="G18" s="28">
        <f>SUM(G9:G17)</f>
        <v>837073</v>
      </c>
      <c r="H18" s="30">
        <f>(+F18-G18)/G18</f>
        <v>7.2660329505311969E-2</v>
      </c>
      <c r="I18" s="31">
        <f>K18/C18</f>
        <v>68.479133844526459</v>
      </c>
      <c r="J18" s="31">
        <f>K18/F18</f>
        <v>128.04716009110197</v>
      </c>
      <c r="K18" s="28">
        <f>SUM(K9:K17)</f>
        <v>114972904.81</v>
      </c>
      <c r="L18" s="28">
        <f>SUM(L9:L17)</f>
        <v>99534247.450000003</v>
      </c>
      <c r="M18" s="32">
        <f>(+K18-L18)/L18</f>
        <v>0.15510899771212364</v>
      </c>
      <c r="N18" s="10"/>
      <c r="R18" s="2"/>
    </row>
    <row r="19" spans="1:18" ht="15.75" customHeight="1" thickTop="1" x14ac:dyDescent="0.25">
      <c r="A19" s="15"/>
      <c r="B19" s="16"/>
      <c r="C19" s="16"/>
      <c r="D19" s="16"/>
      <c r="E19" s="17"/>
      <c r="F19" s="16"/>
      <c r="G19" s="16"/>
      <c r="H19" s="17"/>
      <c r="I19" s="16"/>
      <c r="J19" s="16"/>
      <c r="K19" s="195"/>
      <c r="L19" s="195"/>
      <c r="M19" s="18"/>
      <c r="N19" s="10"/>
      <c r="R19" s="2"/>
    </row>
    <row r="20" spans="1:18" ht="15.75" x14ac:dyDescent="0.25">
      <c r="A20" s="19" t="s">
        <v>15</v>
      </c>
      <c r="B20" s="20">
        <f>DATE(2021,7,1)</f>
        <v>44378</v>
      </c>
      <c r="C20" s="21">
        <v>116107</v>
      </c>
      <c r="D20" s="21">
        <v>79471</v>
      </c>
      <c r="E20" s="23">
        <f t="shared" ref="E20:E27" si="5">(+C20-D20)/D20</f>
        <v>0.46099835159995473</v>
      </c>
      <c r="F20" s="21">
        <f>+C20-56210</f>
        <v>59897</v>
      </c>
      <c r="G20" s="21">
        <f>+D20-38596</f>
        <v>40875</v>
      </c>
      <c r="H20" s="23">
        <f t="shared" ref="H20:H27" si="6">(+F20-G20)/G20</f>
        <v>0.46537003058103976</v>
      </c>
      <c r="I20" s="24">
        <f t="shared" ref="I20:I27" si="7">K20/C20</f>
        <v>69.409558855193922</v>
      </c>
      <c r="J20" s="24">
        <f t="shared" ref="J20:J27" si="8">K20/F20</f>
        <v>134.54656577124064</v>
      </c>
      <c r="K20" s="21">
        <v>8058935.6500000004</v>
      </c>
      <c r="L20" s="21">
        <v>5613318.0300000003</v>
      </c>
      <c r="M20" s="25">
        <f t="shared" ref="M20:M27" si="9">(+K20-L20)/L20</f>
        <v>0.43568128634963516</v>
      </c>
      <c r="N20" s="10"/>
      <c r="R20" s="2"/>
    </row>
    <row r="21" spans="1:18" ht="15.75" x14ac:dyDescent="0.25">
      <c r="A21" s="19"/>
      <c r="B21" s="20">
        <f>DATE(2021,8,1)</f>
        <v>44409</v>
      </c>
      <c r="C21" s="21">
        <v>103353</v>
      </c>
      <c r="D21" s="21">
        <v>88234</v>
      </c>
      <c r="E21" s="23">
        <f t="shared" si="5"/>
        <v>0.17135117981730399</v>
      </c>
      <c r="F21" s="21">
        <f>+C21-50446</f>
        <v>52907</v>
      </c>
      <c r="G21" s="21">
        <f>+D21-41802</f>
        <v>46432</v>
      </c>
      <c r="H21" s="23">
        <f t="shared" si="6"/>
        <v>0.13945124052377669</v>
      </c>
      <c r="I21" s="24">
        <f t="shared" si="7"/>
        <v>69.568823449730544</v>
      </c>
      <c r="J21" s="24">
        <f t="shared" si="8"/>
        <v>135.90161245203848</v>
      </c>
      <c r="K21" s="21">
        <v>7190146.6100000003</v>
      </c>
      <c r="L21" s="21">
        <v>5994552.2300000004</v>
      </c>
      <c r="M21" s="25">
        <f t="shared" si="9"/>
        <v>0.19944682006715952</v>
      </c>
      <c r="N21" s="10"/>
      <c r="R21" s="2"/>
    </row>
    <row r="22" spans="1:18" ht="15.75" x14ac:dyDescent="0.25">
      <c r="A22" s="19"/>
      <c r="B22" s="20">
        <f>DATE(2021,9,1)</f>
        <v>44440</v>
      </c>
      <c r="C22" s="21">
        <v>103596</v>
      </c>
      <c r="D22" s="21">
        <v>90948</v>
      </c>
      <c r="E22" s="23">
        <f t="shared" si="5"/>
        <v>0.13906847869112021</v>
      </c>
      <c r="F22" s="21">
        <f>+C22-49808</f>
        <v>53788</v>
      </c>
      <c r="G22" s="21">
        <f>+D22-42310</f>
        <v>48638</v>
      </c>
      <c r="H22" s="23">
        <f t="shared" si="6"/>
        <v>0.10588428800526338</v>
      </c>
      <c r="I22" s="24">
        <f t="shared" si="7"/>
        <v>73.648616838487982</v>
      </c>
      <c r="J22" s="24">
        <f t="shared" si="8"/>
        <v>141.84766323343499</v>
      </c>
      <c r="K22" s="21">
        <v>7629702.1100000003</v>
      </c>
      <c r="L22" s="21">
        <v>5908744.6600000001</v>
      </c>
      <c r="M22" s="25">
        <f t="shared" si="9"/>
        <v>0.29125601951464258</v>
      </c>
      <c r="N22" s="10"/>
      <c r="R22" s="2"/>
    </row>
    <row r="23" spans="1:18" ht="15.75" x14ac:dyDescent="0.25">
      <c r="A23" s="19"/>
      <c r="B23" s="20">
        <f>DATE(2021,10,1)</f>
        <v>44470</v>
      </c>
      <c r="C23" s="21">
        <v>110079</v>
      </c>
      <c r="D23" s="21">
        <v>87099</v>
      </c>
      <c r="E23" s="23">
        <f t="shared" si="5"/>
        <v>0.26383770192539524</v>
      </c>
      <c r="F23" s="21">
        <f>+C23-53226</f>
        <v>56853</v>
      </c>
      <c r="G23" s="21">
        <f>+D23-41806</f>
        <v>45293</v>
      </c>
      <c r="H23" s="23">
        <f t="shared" si="6"/>
        <v>0.25522707703177089</v>
      </c>
      <c r="I23" s="24">
        <f t="shared" si="7"/>
        <v>71.212890378728005</v>
      </c>
      <c r="J23" s="24">
        <f t="shared" si="8"/>
        <v>137.88267567234797</v>
      </c>
      <c r="K23" s="21">
        <v>7839043.7599999998</v>
      </c>
      <c r="L23" s="21">
        <v>5716409.8899999997</v>
      </c>
      <c r="M23" s="25">
        <f t="shared" si="9"/>
        <v>0.37132289511170802</v>
      </c>
      <c r="N23" s="10"/>
      <c r="R23" s="2"/>
    </row>
    <row r="24" spans="1:18" ht="15.75" x14ac:dyDescent="0.25">
      <c r="A24" s="19"/>
      <c r="B24" s="20">
        <f>DATE(2021,11,1)</f>
        <v>44501</v>
      </c>
      <c r="C24" s="21">
        <v>95314</v>
      </c>
      <c r="D24" s="21">
        <v>77783</v>
      </c>
      <c r="E24" s="23">
        <f t="shared" si="5"/>
        <v>0.22538343854055515</v>
      </c>
      <c r="F24" s="21">
        <f>+C24-46228</f>
        <v>49086</v>
      </c>
      <c r="G24" s="21">
        <f>+D24-37695</f>
        <v>40088</v>
      </c>
      <c r="H24" s="23">
        <f t="shared" si="6"/>
        <v>0.22445619636799041</v>
      </c>
      <c r="I24" s="24">
        <f t="shared" si="7"/>
        <v>71.301824915542312</v>
      </c>
      <c r="J24" s="24">
        <f t="shared" si="8"/>
        <v>138.45214806665851</v>
      </c>
      <c r="K24" s="21">
        <v>6796062.1399999997</v>
      </c>
      <c r="L24" s="21">
        <v>5349459.87</v>
      </c>
      <c r="M24" s="25">
        <f t="shared" si="9"/>
        <v>0.27042024898861416</v>
      </c>
      <c r="N24" s="10"/>
      <c r="R24" s="2"/>
    </row>
    <row r="25" spans="1:18" ht="15.75" x14ac:dyDescent="0.25">
      <c r="A25" s="19"/>
      <c r="B25" s="20">
        <f>DATE(2021,12,1)</f>
        <v>44531</v>
      </c>
      <c r="C25" s="21">
        <v>104553</v>
      </c>
      <c r="D25" s="21">
        <v>82440</v>
      </c>
      <c r="E25" s="23">
        <f t="shared" si="5"/>
        <v>0.26823144104803492</v>
      </c>
      <c r="F25" s="21">
        <f>+C25-51073</f>
        <v>53480</v>
      </c>
      <c r="G25" s="21">
        <f>+D25-39978</f>
        <v>42462</v>
      </c>
      <c r="H25" s="23">
        <f t="shared" si="6"/>
        <v>0.25947906363336631</v>
      </c>
      <c r="I25" s="24">
        <f t="shared" si="7"/>
        <v>70.66472411121633</v>
      </c>
      <c r="J25" s="24">
        <f t="shared" si="8"/>
        <v>138.14900710545999</v>
      </c>
      <c r="K25" s="21">
        <v>7388208.9000000004</v>
      </c>
      <c r="L25" s="21">
        <v>5764475.4900000002</v>
      </c>
      <c r="M25" s="25">
        <f t="shared" si="9"/>
        <v>0.28167929811078096</v>
      </c>
      <c r="N25" s="10"/>
      <c r="R25" s="2"/>
    </row>
    <row r="26" spans="1:18" ht="15.75" x14ac:dyDescent="0.25">
      <c r="A26" s="19"/>
      <c r="B26" s="20">
        <f>DATE(2022,1,1)</f>
        <v>44562</v>
      </c>
      <c r="C26" s="21">
        <v>85873</v>
      </c>
      <c r="D26" s="21">
        <v>104157</v>
      </c>
      <c r="E26" s="23">
        <f t="shared" si="5"/>
        <v>-0.17554269036166556</v>
      </c>
      <c r="F26" s="21">
        <f>+C26-42515</f>
        <v>43358</v>
      </c>
      <c r="G26" s="21">
        <f>+D26-51234</f>
        <v>52923</v>
      </c>
      <c r="H26" s="23">
        <f t="shared" si="6"/>
        <v>-0.18073427432307315</v>
      </c>
      <c r="I26" s="24">
        <f t="shared" si="7"/>
        <v>77.585395991755263</v>
      </c>
      <c r="J26" s="24">
        <f t="shared" si="8"/>
        <v>153.66231629687715</v>
      </c>
      <c r="K26" s="21">
        <v>6662490.71</v>
      </c>
      <c r="L26" s="21">
        <v>7090798.7999999998</v>
      </c>
      <c r="M26" s="25">
        <f t="shared" si="9"/>
        <v>-6.0403362453324706E-2</v>
      </c>
      <c r="N26" s="10"/>
      <c r="R26" s="2"/>
    </row>
    <row r="27" spans="1:18" ht="15.75" x14ac:dyDescent="0.25">
      <c r="A27" s="19"/>
      <c r="B27" s="20">
        <f>DATE(2022,2,1)</f>
        <v>44593</v>
      </c>
      <c r="C27" s="21">
        <v>95434</v>
      </c>
      <c r="D27" s="21">
        <v>88005</v>
      </c>
      <c r="E27" s="23">
        <f t="shared" si="5"/>
        <v>8.4415658201238572E-2</v>
      </c>
      <c r="F27" s="21">
        <f>+C27-47101</f>
        <v>48333</v>
      </c>
      <c r="G27" s="21">
        <f>+D27-42481</f>
        <v>45524</v>
      </c>
      <c r="H27" s="23">
        <f t="shared" si="6"/>
        <v>6.1703716720850538E-2</v>
      </c>
      <c r="I27" s="24">
        <f t="shared" si="7"/>
        <v>69.159599409015655</v>
      </c>
      <c r="J27" s="24">
        <f t="shared" si="8"/>
        <v>136.55633231953323</v>
      </c>
      <c r="K27" s="21">
        <v>6600177.21</v>
      </c>
      <c r="L27" s="21">
        <v>5981667.3499999996</v>
      </c>
      <c r="M27" s="25">
        <f t="shared" si="9"/>
        <v>0.10340091212193543</v>
      </c>
      <c r="N27" s="10"/>
      <c r="R27" s="2"/>
    </row>
    <row r="28" spans="1:18" ht="15.75" customHeight="1" thickBot="1" x14ac:dyDescent="0.3">
      <c r="A28" s="19"/>
      <c r="B28" s="20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7.25" customHeight="1" thickTop="1" thickBot="1" x14ac:dyDescent="0.3">
      <c r="A29" s="26" t="s">
        <v>14</v>
      </c>
      <c r="B29" s="27"/>
      <c r="C29" s="28">
        <f>SUM(C20:C28)</f>
        <v>814309</v>
      </c>
      <c r="D29" s="28">
        <f>SUM(D20:D28)</f>
        <v>698137</v>
      </c>
      <c r="E29" s="279">
        <f>(+C29-D29)/D29</f>
        <v>0.16640286935085807</v>
      </c>
      <c r="F29" s="28">
        <f>SUM(F20:F28)</f>
        <v>417702</v>
      </c>
      <c r="G29" s="28">
        <f>SUM(G20:G28)</f>
        <v>362235</v>
      </c>
      <c r="H29" s="30">
        <f>(+F29-G29)/G29</f>
        <v>0.15312435297527849</v>
      </c>
      <c r="I29" s="31">
        <f>K29/C29</f>
        <v>71.428373123715943</v>
      </c>
      <c r="J29" s="31">
        <f>K29/F29</f>
        <v>139.24943402234129</v>
      </c>
      <c r="K29" s="28">
        <f>SUM(K20:K28)</f>
        <v>58164767.090000004</v>
      </c>
      <c r="L29" s="28">
        <f>SUM(L20:L28)</f>
        <v>47419426.32</v>
      </c>
      <c r="M29" s="32">
        <f>(+K29-L29)/L29</f>
        <v>0.22660208281490662</v>
      </c>
      <c r="N29" s="10"/>
      <c r="R29" s="2"/>
    </row>
    <row r="30" spans="1:18" ht="15.75" customHeight="1" thickTop="1" x14ac:dyDescent="0.25">
      <c r="A30" s="33"/>
      <c r="B30" s="34"/>
      <c r="C30" s="35"/>
      <c r="D30" s="35"/>
      <c r="E30" s="29"/>
      <c r="F30" s="35"/>
      <c r="G30" s="35"/>
      <c r="H30" s="29"/>
      <c r="I30" s="36"/>
      <c r="J30" s="36"/>
      <c r="K30" s="35"/>
      <c r="L30" s="35"/>
      <c r="M30" s="37"/>
      <c r="N30" s="10"/>
      <c r="R30" s="2"/>
    </row>
    <row r="31" spans="1:18" ht="15.75" customHeight="1" x14ac:dyDescent="0.25">
      <c r="A31" s="19" t="s">
        <v>64</v>
      </c>
      <c r="B31" s="20">
        <f>DATE(2021,7,1)</f>
        <v>44378</v>
      </c>
      <c r="C31" s="21">
        <v>66837</v>
      </c>
      <c r="D31" s="21">
        <v>53105</v>
      </c>
      <c r="E31" s="23">
        <f t="shared" ref="E31:E38" si="10">(+C31-D31)/D31</f>
        <v>0.25858205442048771</v>
      </c>
      <c r="F31" s="21">
        <f>+C31-37212</f>
        <v>29625</v>
      </c>
      <c r="G31" s="21">
        <f>+D31-28880</f>
        <v>24225</v>
      </c>
      <c r="H31" s="23">
        <f t="shared" ref="H31:H38" si="11">(+F31-G31)/G31</f>
        <v>0.22291021671826625</v>
      </c>
      <c r="I31" s="24">
        <f t="shared" ref="I31:I38" si="12">K31/C31</f>
        <v>68.824348040755865</v>
      </c>
      <c r="J31" s="24">
        <f t="shared" ref="J31:J38" si="13">K31/F31</f>
        <v>155.27469873417724</v>
      </c>
      <c r="K31" s="21">
        <v>4600012.95</v>
      </c>
      <c r="L31" s="21">
        <v>3467756.6</v>
      </c>
      <c r="M31" s="25">
        <f t="shared" ref="M31:M38" si="14">(+K31-L31)/L31</f>
        <v>0.32650975273178057</v>
      </c>
      <c r="N31" s="10"/>
      <c r="R31" s="2"/>
    </row>
    <row r="32" spans="1:18" ht="15.75" customHeight="1" x14ac:dyDescent="0.25">
      <c r="A32" s="19"/>
      <c r="B32" s="20">
        <f>DATE(2021,8,1)</f>
        <v>44409</v>
      </c>
      <c r="C32" s="21">
        <v>56112</v>
      </c>
      <c r="D32" s="21">
        <v>52610</v>
      </c>
      <c r="E32" s="23">
        <f t="shared" si="10"/>
        <v>6.6565291769625543E-2</v>
      </c>
      <c r="F32" s="21">
        <f>+C32-31048</f>
        <v>25064</v>
      </c>
      <c r="G32" s="21">
        <f>+D32-28661</f>
        <v>23949</v>
      </c>
      <c r="H32" s="23">
        <f t="shared" si="11"/>
        <v>4.6557267526827845E-2</v>
      </c>
      <c r="I32" s="24">
        <f t="shared" si="12"/>
        <v>68.400653870829771</v>
      </c>
      <c r="J32" s="24">
        <f t="shared" si="13"/>
        <v>153.13188198212578</v>
      </c>
      <c r="K32" s="21">
        <v>3838097.49</v>
      </c>
      <c r="L32" s="21">
        <v>3296321</v>
      </c>
      <c r="M32" s="25">
        <f t="shared" si="14"/>
        <v>0.16435792812653871</v>
      </c>
      <c r="N32" s="10"/>
      <c r="R32" s="2"/>
    </row>
    <row r="33" spans="1:18" ht="15.75" customHeight="1" x14ac:dyDescent="0.25">
      <c r="A33" s="19"/>
      <c r="B33" s="20">
        <f>DATE(2021,9,1)</f>
        <v>44440</v>
      </c>
      <c r="C33" s="21">
        <v>58084</v>
      </c>
      <c r="D33" s="21">
        <v>50852</v>
      </c>
      <c r="E33" s="23">
        <f t="shared" si="10"/>
        <v>0.14221662864784079</v>
      </c>
      <c r="F33" s="21">
        <f>+C33-32339</f>
        <v>25745</v>
      </c>
      <c r="G33" s="21">
        <f>+D33-27986</f>
        <v>22866</v>
      </c>
      <c r="H33" s="23">
        <f t="shared" si="11"/>
        <v>0.12590746085891716</v>
      </c>
      <c r="I33" s="24">
        <f t="shared" si="12"/>
        <v>70.357005199366441</v>
      </c>
      <c r="J33" s="24">
        <f t="shared" si="13"/>
        <v>158.73436744999029</v>
      </c>
      <c r="K33" s="21">
        <v>4086616.29</v>
      </c>
      <c r="L33" s="21">
        <v>3100357.68</v>
      </c>
      <c r="M33" s="25">
        <f t="shared" si="14"/>
        <v>0.31811123483016962</v>
      </c>
      <c r="N33" s="10"/>
      <c r="R33" s="2"/>
    </row>
    <row r="34" spans="1:18" ht="15.75" customHeight="1" x14ac:dyDescent="0.25">
      <c r="A34" s="19"/>
      <c r="B34" s="20">
        <f>DATE(2021,10,1)</f>
        <v>44470</v>
      </c>
      <c r="C34" s="21">
        <v>57860</v>
      </c>
      <c r="D34" s="21">
        <v>51263</v>
      </c>
      <c r="E34" s="23">
        <f t="shared" si="10"/>
        <v>0.12868930807795095</v>
      </c>
      <c r="F34" s="21">
        <f>+C34-32287</f>
        <v>25573</v>
      </c>
      <c r="G34" s="21">
        <f>+D34-28269</f>
        <v>22994</v>
      </c>
      <c r="H34" s="23">
        <f t="shared" si="11"/>
        <v>0.11215969383317387</v>
      </c>
      <c r="I34" s="24">
        <f t="shared" si="12"/>
        <v>70.911935879709645</v>
      </c>
      <c r="J34" s="24">
        <f t="shared" si="13"/>
        <v>160.44127048058499</v>
      </c>
      <c r="K34" s="21">
        <v>4102964.61</v>
      </c>
      <c r="L34" s="21">
        <v>3378391.93</v>
      </c>
      <c r="M34" s="25">
        <f t="shared" si="14"/>
        <v>0.21447265297013648</v>
      </c>
      <c r="N34" s="10"/>
      <c r="R34" s="2"/>
    </row>
    <row r="35" spans="1:18" ht="15.75" customHeight="1" x14ac:dyDescent="0.25">
      <c r="A35" s="19"/>
      <c r="B35" s="20">
        <f>DATE(2021,11,1)</f>
        <v>44501</v>
      </c>
      <c r="C35" s="21">
        <v>51753</v>
      </c>
      <c r="D35" s="21">
        <v>45747</v>
      </c>
      <c r="E35" s="23">
        <f t="shared" si="10"/>
        <v>0.13128729752770674</v>
      </c>
      <c r="F35" s="21">
        <f>+C35-28958</f>
        <v>22795</v>
      </c>
      <c r="G35" s="21">
        <f>+D35-25343</f>
        <v>20404</v>
      </c>
      <c r="H35" s="23">
        <f t="shared" si="11"/>
        <v>0.11718290531268379</v>
      </c>
      <c r="I35" s="24">
        <f t="shared" si="12"/>
        <v>71.423434003825861</v>
      </c>
      <c r="J35" s="24">
        <f t="shared" si="13"/>
        <v>162.15735819258609</v>
      </c>
      <c r="K35" s="21">
        <v>3696376.98</v>
      </c>
      <c r="L35" s="21">
        <v>3048022.62</v>
      </c>
      <c r="M35" s="25">
        <f t="shared" si="14"/>
        <v>0.21271310644013522</v>
      </c>
      <c r="N35" s="10"/>
      <c r="R35" s="2"/>
    </row>
    <row r="36" spans="1:18" ht="15.75" customHeight="1" x14ac:dyDescent="0.25">
      <c r="A36" s="19"/>
      <c r="B36" s="20">
        <f>DATE(2021,12,1)</f>
        <v>44531</v>
      </c>
      <c r="C36" s="21">
        <v>57109</v>
      </c>
      <c r="D36" s="21">
        <v>50018</v>
      </c>
      <c r="E36" s="23">
        <f t="shared" si="10"/>
        <v>0.14176896317325763</v>
      </c>
      <c r="F36" s="21">
        <f>+C36-32118</f>
        <v>24991</v>
      </c>
      <c r="G36" s="21">
        <f>+D36-28141</f>
        <v>21877</v>
      </c>
      <c r="H36" s="23">
        <f t="shared" si="11"/>
        <v>0.14234127165516294</v>
      </c>
      <c r="I36" s="24">
        <f t="shared" si="12"/>
        <v>68.902578577807347</v>
      </c>
      <c r="J36" s="24">
        <f t="shared" si="13"/>
        <v>157.45497819214916</v>
      </c>
      <c r="K36" s="21">
        <v>3934957.36</v>
      </c>
      <c r="L36" s="21">
        <v>3361201.53</v>
      </c>
      <c r="M36" s="25">
        <f t="shared" si="14"/>
        <v>0.17069962181053752</v>
      </c>
      <c r="N36" s="10"/>
      <c r="R36" s="2"/>
    </row>
    <row r="37" spans="1:18" ht="15.75" customHeight="1" x14ac:dyDescent="0.25">
      <c r="A37" s="19"/>
      <c r="B37" s="20">
        <f>DATE(2022,1,1)</f>
        <v>44562</v>
      </c>
      <c r="C37" s="21">
        <v>47271</v>
      </c>
      <c r="D37" s="21">
        <v>63172</v>
      </c>
      <c r="E37" s="23">
        <f t="shared" si="10"/>
        <v>-0.25170961818527193</v>
      </c>
      <c r="F37" s="21">
        <f>+C37-26698</f>
        <v>20573</v>
      </c>
      <c r="G37" s="21">
        <f>+D37-35403</f>
        <v>27769</v>
      </c>
      <c r="H37" s="23">
        <f t="shared" si="11"/>
        <v>-0.25913788757247291</v>
      </c>
      <c r="I37" s="24">
        <f t="shared" si="12"/>
        <v>72.671013094709224</v>
      </c>
      <c r="J37" s="24">
        <f t="shared" si="13"/>
        <v>166.97766295630194</v>
      </c>
      <c r="K37" s="21">
        <v>3435231.46</v>
      </c>
      <c r="L37" s="21">
        <v>4085224.99</v>
      </c>
      <c r="M37" s="25">
        <f t="shared" si="14"/>
        <v>-0.15910837997688843</v>
      </c>
      <c r="N37" s="10"/>
      <c r="R37" s="2"/>
    </row>
    <row r="38" spans="1:18" ht="15.75" customHeight="1" x14ac:dyDescent="0.25">
      <c r="A38" s="19"/>
      <c r="B38" s="20">
        <f>DATE(2022,2,1)</f>
        <v>44593</v>
      </c>
      <c r="C38" s="21">
        <v>51279</v>
      </c>
      <c r="D38" s="21">
        <v>41909</v>
      </c>
      <c r="E38" s="23">
        <f t="shared" si="10"/>
        <v>0.22357966069340715</v>
      </c>
      <c r="F38" s="21">
        <f>+C38-29313</f>
        <v>21966</v>
      </c>
      <c r="G38" s="21">
        <f>+D38-23822</f>
        <v>18087</v>
      </c>
      <c r="H38" s="23">
        <f t="shared" si="11"/>
        <v>0.21446342677060873</v>
      </c>
      <c r="I38" s="24">
        <f t="shared" si="12"/>
        <v>73.898556914136392</v>
      </c>
      <c r="J38" s="24">
        <f t="shared" si="13"/>
        <v>172.51407174724574</v>
      </c>
      <c r="K38" s="21">
        <v>3789444.1</v>
      </c>
      <c r="L38" s="21">
        <v>3031713.02</v>
      </c>
      <c r="M38" s="25">
        <f t="shared" si="14"/>
        <v>0.2499349625117222</v>
      </c>
      <c r="N38" s="10"/>
      <c r="R38" s="2"/>
    </row>
    <row r="39" spans="1:18" ht="15.75" customHeight="1" thickBot="1" x14ac:dyDescent="0.25">
      <c r="A39" s="38"/>
      <c r="B39" s="20"/>
      <c r="C39" s="21"/>
      <c r="D39" s="21"/>
      <c r="E39" s="23"/>
      <c r="F39" s="21"/>
      <c r="G39" s="21"/>
      <c r="H39" s="23"/>
      <c r="I39" s="24"/>
      <c r="J39" s="24"/>
      <c r="K39" s="21"/>
      <c r="L39" s="21"/>
      <c r="M39" s="25"/>
      <c r="N39" s="10"/>
      <c r="R39" s="2"/>
    </row>
    <row r="40" spans="1:18" ht="17.25" customHeight="1" thickTop="1" thickBot="1" x14ac:dyDescent="0.3">
      <c r="A40" s="39" t="s">
        <v>14</v>
      </c>
      <c r="B40" s="40"/>
      <c r="C40" s="41">
        <f>SUM(C31:C39)</f>
        <v>446305</v>
      </c>
      <c r="D40" s="41">
        <f>SUM(D31:D39)</f>
        <v>408676</v>
      </c>
      <c r="E40" s="280">
        <f>(+C40-D40)/D40</f>
        <v>9.2075384901486756E-2</v>
      </c>
      <c r="F40" s="41">
        <f>SUM(F31:F39)</f>
        <v>196332</v>
      </c>
      <c r="G40" s="41">
        <f>SUM(G31:G39)</f>
        <v>182171</v>
      </c>
      <c r="H40" s="42">
        <f>(+F40-G40)/G40</f>
        <v>7.7734655900225616E-2</v>
      </c>
      <c r="I40" s="43">
        <f>K40/C40</f>
        <v>70.543017084729058</v>
      </c>
      <c r="J40" s="43">
        <f>K40/F40</f>
        <v>160.3594994193509</v>
      </c>
      <c r="K40" s="41">
        <f>SUM(K31:K39)</f>
        <v>31483701.240000002</v>
      </c>
      <c r="L40" s="41">
        <f>SUM(L31:L39)</f>
        <v>26768989.370000001</v>
      </c>
      <c r="M40" s="44">
        <f>(+K40-L40)/L40</f>
        <v>0.17612588226000708</v>
      </c>
      <c r="N40" s="10"/>
      <c r="R40" s="2"/>
    </row>
    <row r="41" spans="1:18" ht="15.75" customHeight="1" thickTop="1" x14ac:dyDescent="0.2">
      <c r="A41" s="38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5.75" customHeight="1" x14ac:dyDescent="0.25">
      <c r="A42" s="177" t="s">
        <v>59</v>
      </c>
      <c r="B42" s="20">
        <f>DATE(2021,7,1)</f>
        <v>44378</v>
      </c>
      <c r="C42" s="21">
        <v>337225</v>
      </c>
      <c r="D42" s="21">
        <v>226236</v>
      </c>
      <c r="E42" s="23">
        <f t="shared" ref="E42:E49" si="15">(+C42-D42)/D42</f>
        <v>0.49058947293976202</v>
      </c>
      <c r="F42" s="21">
        <f>+C42-176904</f>
        <v>160321</v>
      </c>
      <c r="G42" s="21">
        <f>+D42-121061</f>
        <v>105175</v>
      </c>
      <c r="H42" s="23">
        <f t="shared" ref="H42:H49" si="16">(+F42-G42)/G42</f>
        <v>0.52432612312811977</v>
      </c>
      <c r="I42" s="24">
        <f t="shared" ref="I42:I49" si="17">K42/C42</f>
        <v>57.210146252502042</v>
      </c>
      <c r="J42" s="24">
        <f t="shared" ref="J42:J49" si="18">K42/F42</f>
        <v>120.33789441183626</v>
      </c>
      <c r="K42" s="21">
        <v>19292691.57</v>
      </c>
      <c r="L42" s="21">
        <v>14578930.949999999</v>
      </c>
      <c r="M42" s="25">
        <f t="shared" ref="M42:M49" si="19">(+K42-L42)/L42</f>
        <v>0.32332690484414439</v>
      </c>
      <c r="N42" s="10"/>
      <c r="R42" s="2"/>
    </row>
    <row r="43" spans="1:18" ht="15.75" customHeight="1" x14ac:dyDescent="0.25">
      <c r="A43" s="177"/>
      <c r="B43" s="20">
        <f>DATE(2021,8,1)</f>
        <v>44409</v>
      </c>
      <c r="C43" s="21">
        <v>302300</v>
      </c>
      <c r="D43" s="21">
        <v>248866</v>
      </c>
      <c r="E43" s="23">
        <f t="shared" si="15"/>
        <v>0.21470992421624488</v>
      </c>
      <c r="F43" s="21">
        <f>+C43-157033</f>
        <v>145267</v>
      </c>
      <c r="G43" s="21">
        <f>+D43-132898</f>
        <v>115968</v>
      </c>
      <c r="H43" s="23">
        <f t="shared" si="16"/>
        <v>0.25264728200883002</v>
      </c>
      <c r="I43" s="24">
        <f t="shared" si="17"/>
        <v>58.274154581541517</v>
      </c>
      <c r="J43" s="24">
        <f t="shared" si="18"/>
        <v>121.26826416185369</v>
      </c>
      <c r="K43" s="21">
        <v>17616276.93</v>
      </c>
      <c r="L43" s="21">
        <v>15099078.17</v>
      </c>
      <c r="M43" s="25">
        <f t="shared" si="19"/>
        <v>0.16671208213236238</v>
      </c>
      <c r="N43" s="10"/>
      <c r="R43" s="2"/>
    </row>
    <row r="44" spans="1:18" ht="15.75" customHeight="1" x14ac:dyDescent="0.25">
      <c r="A44" s="177"/>
      <c r="B44" s="20">
        <f>DATE(2021,9,1)</f>
        <v>44440</v>
      </c>
      <c r="C44" s="21">
        <v>336142</v>
      </c>
      <c r="D44" s="21">
        <v>249571</v>
      </c>
      <c r="E44" s="23">
        <f t="shared" si="15"/>
        <v>0.34687924478404941</v>
      </c>
      <c r="F44" s="21">
        <f>+C44-171648</f>
        <v>164494</v>
      </c>
      <c r="G44" s="21">
        <f>+D44-130815</f>
        <v>118756</v>
      </c>
      <c r="H44" s="23">
        <f t="shared" si="16"/>
        <v>0.38514264542423121</v>
      </c>
      <c r="I44" s="24">
        <f t="shared" si="17"/>
        <v>57.682278977336964</v>
      </c>
      <c r="J44" s="24">
        <f t="shared" si="18"/>
        <v>117.87321495008938</v>
      </c>
      <c r="K44" s="21">
        <v>19389436.620000001</v>
      </c>
      <c r="L44" s="21">
        <v>14932529.18</v>
      </c>
      <c r="M44" s="25">
        <f t="shared" si="19"/>
        <v>0.29846969567415249</v>
      </c>
      <c r="N44" s="10"/>
      <c r="R44" s="2"/>
    </row>
    <row r="45" spans="1:18" ht="15.75" customHeight="1" x14ac:dyDescent="0.25">
      <c r="A45" s="177"/>
      <c r="B45" s="20">
        <f>DATE(2021,10,1)</f>
        <v>44470</v>
      </c>
      <c r="C45" s="21">
        <v>333807</v>
      </c>
      <c r="D45" s="21">
        <v>272084</v>
      </c>
      <c r="E45" s="23">
        <f t="shared" si="15"/>
        <v>0.22685273665485658</v>
      </c>
      <c r="F45" s="21">
        <f>+C45-175822</f>
        <v>157985</v>
      </c>
      <c r="G45" s="21">
        <f>+D45-143559</f>
        <v>128525</v>
      </c>
      <c r="H45" s="23">
        <f t="shared" si="16"/>
        <v>0.22921610581598911</v>
      </c>
      <c r="I45" s="24">
        <f t="shared" si="17"/>
        <v>57.441650354845763</v>
      </c>
      <c r="J45" s="24">
        <f t="shared" si="18"/>
        <v>121.36864246605691</v>
      </c>
      <c r="K45" s="21">
        <v>19174424.98</v>
      </c>
      <c r="L45" s="21">
        <v>15864682.439999999</v>
      </c>
      <c r="M45" s="25">
        <f t="shared" si="19"/>
        <v>0.20862330856715219</v>
      </c>
      <c r="N45" s="10"/>
      <c r="R45" s="2"/>
    </row>
    <row r="46" spans="1:18" ht="15.75" customHeight="1" x14ac:dyDescent="0.25">
      <c r="A46" s="177"/>
      <c r="B46" s="20">
        <f>DATE(2021,11,1)</f>
        <v>44501</v>
      </c>
      <c r="C46" s="21">
        <v>303436</v>
      </c>
      <c r="D46" s="21">
        <v>232899</v>
      </c>
      <c r="E46" s="23">
        <f t="shared" si="15"/>
        <v>0.30286519049029836</v>
      </c>
      <c r="F46" s="21">
        <f>+C46-164494</f>
        <v>138942</v>
      </c>
      <c r="G46" s="21">
        <f>+D46-123557</f>
        <v>109342</v>
      </c>
      <c r="H46" s="23">
        <f t="shared" si="16"/>
        <v>0.27071024857785664</v>
      </c>
      <c r="I46" s="24">
        <f t="shared" si="17"/>
        <v>62.070287111614974</v>
      </c>
      <c r="J46" s="24">
        <f t="shared" si="18"/>
        <v>135.55555296454637</v>
      </c>
      <c r="K46" s="21">
        <v>18834359.640000001</v>
      </c>
      <c r="L46" s="21">
        <v>13569514.189999999</v>
      </c>
      <c r="M46" s="25">
        <f t="shared" si="19"/>
        <v>0.38799071037339777</v>
      </c>
      <c r="N46" s="10"/>
      <c r="R46" s="2"/>
    </row>
    <row r="47" spans="1:18" ht="15.75" customHeight="1" x14ac:dyDescent="0.25">
      <c r="A47" s="177"/>
      <c r="B47" s="20">
        <f>DATE(2021,12,1)</f>
        <v>44531</v>
      </c>
      <c r="C47" s="21">
        <v>313897</v>
      </c>
      <c r="D47" s="21">
        <v>226657</v>
      </c>
      <c r="E47" s="23">
        <f t="shared" si="15"/>
        <v>0.38489876774156545</v>
      </c>
      <c r="F47" s="21">
        <f>+C47-163677</f>
        <v>150220</v>
      </c>
      <c r="G47" s="21">
        <f>+D47-116839</f>
        <v>109818</v>
      </c>
      <c r="H47" s="23">
        <f t="shared" si="16"/>
        <v>0.36789961572784063</v>
      </c>
      <c r="I47" s="24">
        <f t="shared" si="17"/>
        <v>64.836987037149129</v>
      </c>
      <c r="J47" s="24">
        <f t="shared" si="18"/>
        <v>135.48219757688722</v>
      </c>
      <c r="K47" s="21">
        <v>20352135.719999999</v>
      </c>
      <c r="L47" s="21">
        <v>14713281.02</v>
      </c>
      <c r="M47" s="25">
        <f t="shared" si="19"/>
        <v>0.38324930328830215</v>
      </c>
      <c r="N47" s="10"/>
      <c r="R47" s="2"/>
    </row>
    <row r="48" spans="1:18" ht="15.75" customHeight="1" x14ac:dyDescent="0.25">
      <c r="A48" s="177"/>
      <c r="B48" s="20">
        <f>DATE(2022,1,1)</f>
        <v>44562</v>
      </c>
      <c r="C48" s="21">
        <v>284315</v>
      </c>
      <c r="D48" s="21">
        <v>237906</v>
      </c>
      <c r="E48" s="23">
        <f t="shared" si="15"/>
        <v>0.19507284389632881</v>
      </c>
      <c r="F48" s="21">
        <f>+C48-147505</f>
        <v>136810</v>
      </c>
      <c r="G48" s="21">
        <f>+D48-125011</f>
        <v>112895</v>
      </c>
      <c r="H48" s="23">
        <f t="shared" si="16"/>
        <v>0.21183400504893929</v>
      </c>
      <c r="I48" s="24">
        <f t="shared" si="17"/>
        <v>66.662156903434578</v>
      </c>
      <c r="J48" s="24">
        <f t="shared" si="18"/>
        <v>138.53556859878665</v>
      </c>
      <c r="K48" s="21">
        <v>18953051.140000001</v>
      </c>
      <c r="L48" s="21">
        <v>14525016.02</v>
      </c>
      <c r="M48" s="25">
        <f t="shared" si="19"/>
        <v>0.30485578218315806</v>
      </c>
      <c r="N48" s="10"/>
      <c r="R48" s="2"/>
    </row>
    <row r="49" spans="1:18" ht="15.75" customHeight="1" x14ac:dyDescent="0.25">
      <c r="A49" s="177"/>
      <c r="B49" s="20">
        <f>DATE(2022,2,1)</f>
        <v>44593</v>
      </c>
      <c r="C49" s="21">
        <v>279152</v>
      </c>
      <c r="D49" s="21">
        <v>199774</v>
      </c>
      <c r="E49" s="23">
        <f t="shared" si="15"/>
        <v>0.39733899306216025</v>
      </c>
      <c r="F49" s="21">
        <f>+C49-149732</f>
        <v>129420</v>
      </c>
      <c r="G49" s="21">
        <f>+D49-106979</f>
        <v>92795</v>
      </c>
      <c r="H49" s="23">
        <f t="shared" si="16"/>
        <v>0.3946872137507409</v>
      </c>
      <c r="I49" s="24">
        <f t="shared" si="17"/>
        <v>62.997042435662294</v>
      </c>
      <c r="J49" s="24">
        <f t="shared" si="18"/>
        <v>135.8812423891207</v>
      </c>
      <c r="K49" s="21">
        <v>17585750.390000001</v>
      </c>
      <c r="L49" s="21">
        <v>11941559.6</v>
      </c>
      <c r="M49" s="25">
        <f t="shared" si="19"/>
        <v>0.47265105891193654</v>
      </c>
      <c r="N49" s="10"/>
      <c r="R49" s="2"/>
    </row>
    <row r="50" spans="1:18" ht="15.75" thickBot="1" x14ac:dyDescent="0.25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39" t="s">
        <v>14</v>
      </c>
      <c r="B51" s="40"/>
      <c r="C51" s="41">
        <f>SUM(C42:C50)</f>
        <v>2490274</v>
      </c>
      <c r="D51" s="41">
        <f>SUM(D42:D50)</f>
        <v>1893993</v>
      </c>
      <c r="E51" s="280">
        <f>(+C51-D51)/D51</f>
        <v>0.31482745712365356</v>
      </c>
      <c r="F51" s="41">
        <f>SUM(F42:F50)</f>
        <v>1183459</v>
      </c>
      <c r="G51" s="41">
        <f>SUM(G42:G50)</f>
        <v>893274</v>
      </c>
      <c r="H51" s="42">
        <f>(+F51-G51)/G51</f>
        <v>0.32485553144947688</v>
      </c>
      <c r="I51" s="43">
        <f>K51/C51</f>
        <v>60.715458214638232</v>
      </c>
      <c r="J51" s="43">
        <f>K51/F51</f>
        <v>127.75949736323777</v>
      </c>
      <c r="K51" s="41">
        <f>SUM(K42:K50)</f>
        <v>151198126.99000001</v>
      </c>
      <c r="L51" s="41">
        <f>SUM(L42:L50)</f>
        <v>115224591.56999998</v>
      </c>
      <c r="M51" s="44">
        <f>(+K51-L51)/L51</f>
        <v>0.31220362710633504</v>
      </c>
      <c r="N51" s="10"/>
      <c r="R51" s="2"/>
    </row>
    <row r="52" spans="1:18" ht="15.75" thickTop="1" x14ac:dyDescent="0.2">
      <c r="A52" s="38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62</v>
      </c>
      <c r="B53" s="20">
        <f>DATE(2021,7,1)</f>
        <v>44378</v>
      </c>
      <c r="C53" s="21">
        <v>256229</v>
      </c>
      <c r="D53" s="21">
        <v>260785</v>
      </c>
      <c r="E53" s="23">
        <f t="shared" ref="E53:E60" si="20">(+C53-D53)/D53</f>
        <v>-1.7470329965297085E-2</v>
      </c>
      <c r="F53" s="21">
        <f>+C53-120621</f>
        <v>135608</v>
      </c>
      <c r="G53" s="21">
        <f>+D53-121006</f>
        <v>139779</v>
      </c>
      <c r="H53" s="23">
        <f t="shared" ref="H53:H60" si="21">(+F53-G53)/G53</f>
        <v>-2.9839961653753425E-2</v>
      </c>
      <c r="I53" s="24">
        <f t="shared" ref="I53:I60" si="22">K53/C53</f>
        <v>63.268857818591961</v>
      </c>
      <c r="J53" s="24">
        <f t="shared" ref="J53:J60" si="23">K53/F53</f>
        <v>119.54542630228305</v>
      </c>
      <c r="K53" s="21">
        <v>16211316.17</v>
      </c>
      <c r="L53" s="21">
        <v>15798872.49</v>
      </c>
      <c r="M53" s="25">
        <f t="shared" ref="M53:M60" si="24">(+K53-L53)/L53</f>
        <v>2.610589333264501E-2</v>
      </c>
      <c r="N53" s="10"/>
      <c r="R53" s="2"/>
    </row>
    <row r="54" spans="1:18" ht="15.75" x14ac:dyDescent="0.25">
      <c r="A54" s="19"/>
      <c r="B54" s="20">
        <f>DATE(2021,8,1)</f>
        <v>44409</v>
      </c>
      <c r="C54" s="21">
        <v>232853</v>
      </c>
      <c r="D54" s="21">
        <v>267898</v>
      </c>
      <c r="E54" s="23">
        <f t="shared" si="20"/>
        <v>-0.13081471306243422</v>
      </c>
      <c r="F54" s="21">
        <f>+C54-112411</f>
        <v>120442</v>
      </c>
      <c r="G54" s="21">
        <f>+D54-127416</f>
        <v>140482</v>
      </c>
      <c r="H54" s="23">
        <f t="shared" si="21"/>
        <v>-0.14265172762346778</v>
      </c>
      <c r="I54" s="24">
        <f t="shared" si="22"/>
        <v>57.49918424929033</v>
      </c>
      <c r="J54" s="24">
        <f t="shared" si="23"/>
        <v>111.16435753308647</v>
      </c>
      <c r="K54" s="21">
        <v>13388857.550000001</v>
      </c>
      <c r="L54" s="21">
        <v>15592345.880000001</v>
      </c>
      <c r="M54" s="25">
        <f t="shared" si="24"/>
        <v>-0.14131858970793945</v>
      </c>
      <c r="N54" s="10"/>
      <c r="R54" s="2"/>
    </row>
    <row r="55" spans="1:18" ht="15.75" x14ac:dyDescent="0.25">
      <c r="A55" s="19"/>
      <c r="B55" s="20">
        <f>DATE(2021,9,1)</f>
        <v>44440</v>
      </c>
      <c r="C55" s="21">
        <v>224419</v>
      </c>
      <c r="D55" s="21">
        <v>245708</v>
      </c>
      <c r="E55" s="23">
        <f t="shared" si="20"/>
        <v>-8.6643495531281034E-2</v>
      </c>
      <c r="F55" s="21">
        <f>+C55-105923</f>
        <v>118496</v>
      </c>
      <c r="G55" s="21">
        <f>+D55-116526</f>
        <v>129182</v>
      </c>
      <c r="H55" s="23">
        <f t="shared" si="21"/>
        <v>-8.2720502856435105E-2</v>
      </c>
      <c r="I55" s="24">
        <f t="shared" si="22"/>
        <v>64.566015711682169</v>
      </c>
      <c r="J55" s="24">
        <f t="shared" si="23"/>
        <v>122.28126417769376</v>
      </c>
      <c r="K55" s="21">
        <v>14489840.68</v>
      </c>
      <c r="L55" s="21">
        <v>14701173.800000001</v>
      </c>
      <c r="M55" s="25">
        <f t="shared" si="24"/>
        <v>-1.4375254852099024E-2</v>
      </c>
      <c r="N55" s="10"/>
      <c r="R55" s="2"/>
    </row>
    <row r="56" spans="1:18" ht="15.75" x14ac:dyDescent="0.25">
      <c r="A56" s="19"/>
      <c r="B56" s="20">
        <f>DATE(2021,10,1)</f>
        <v>44470</v>
      </c>
      <c r="C56" s="21">
        <v>231892</v>
      </c>
      <c r="D56" s="21">
        <v>252286</v>
      </c>
      <c r="E56" s="23">
        <f t="shared" si="20"/>
        <v>-8.0836828044362347E-2</v>
      </c>
      <c r="F56" s="21">
        <f>+C56-109202</f>
        <v>122690</v>
      </c>
      <c r="G56" s="21">
        <f>+D56-116651</f>
        <v>135635</v>
      </c>
      <c r="H56" s="23">
        <f t="shared" si="21"/>
        <v>-9.5439967559995578E-2</v>
      </c>
      <c r="I56" s="24">
        <f t="shared" si="22"/>
        <v>64.297012272954646</v>
      </c>
      <c r="J56" s="24">
        <f t="shared" si="23"/>
        <v>121.52549327573558</v>
      </c>
      <c r="K56" s="21">
        <v>14909962.77</v>
      </c>
      <c r="L56" s="21">
        <v>14952748.380000001</v>
      </c>
      <c r="M56" s="25">
        <f t="shared" si="24"/>
        <v>-2.8613876802226551E-3</v>
      </c>
      <c r="N56" s="10"/>
      <c r="R56" s="2"/>
    </row>
    <row r="57" spans="1:18" ht="15.75" x14ac:dyDescent="0.25">
      <c r="A57" s="19"/>
      <c r="B57" s="20">
        <f>DATE(2021,11,1)</f>
        <v>44501</v>
      </c>
      <c r="C57" s="21">
        <v>219677</v>
      </c>
      <c r="D57" s="21">
        <v>229647</v>
      </c>
      <c r="E57" s="23">
        <f t="shared" si="20"/>
        <v>-4.3414457841818098E-2</v>
      </c>
      <c r="F57" s="21">
        <f>+C57-102367</f>
        <v>117310</v>
      </c>
      <c r="G57" s="21">
        <f>+D57-106423</f>
        <v>123224</v>
      </c>
      <c r="H57" s="23">
        <f t="shared" si="21"/>
        <v>-4.7993897292735184E-2</v>
      </c>
      <c r="I57" s="24">
        <f t="shared" si="22"/>
        <v>68.640731255434119</v>
      </c>
      <c r="J57" s="24">
        <f t="shared" si="23"/>
        <v>128.53797562015174</v>
      </c>
      <c r="K57" s="21">
        <v>15078789.92</v>
      </c>
      <c r="L57" s="21">
        <v>12504979.640000001</v>
      </c>
      <c r="M57" s="25">
        <f t="shared" si="24"/>
        <v>0.20582282851281788</v>
      </c>
      <c r="N57" s="10"/>
      <c r="R57" s="2"/>
    </row>
    <row r="58" spans="1:18" ht="15.75" x14ac:dyDescent="0.25">
      <c r="A58" s="19"/>
      <c r="B58" s="20">
        <f>DATE(2021,12,1)</f>
        <v>44531</v>
      </c>
      <c r="C58" s="21">
        <v>233380</v>
      </c>
      <c r="D58" s="21">
        <v>237315</v>
      </c>
      <c r="E58" s="23">
        <f t="shared" si="20"/>
        <v>-1.6581337041484945E-2</v>
      </c>
      <c r="F58" s="21">
        <f>+C58-110272</f>
        <v>123108</v>
      </c>
      <c r="G58" s="21">
        <f>+D58-109898</f>
        <v>127417</v>
      </c>
      <c r="H58" s="23">
        <f t="shared" si="21"/>
        <v>-3.3818093347041604E-2</v>
      </c>
      <c r="I58" s="24">
        <f t="shared" si="22"/>
        <v>63.506046790641868</v>
      </c>
      <c r="J58" s="24">
        <f t="shared" si="23"/>
        <v>120.39056113331384</v>
      </c>
      <c r="K58" s="21">
        <v>14821041.199999999</v>
      </c>
      <c r="L58" s="21">
        <v>13196453.23</v>
      </c>
      <c r="M58" s="25">
        <f t="shared" si="24"/>
        <v>0.12310792465863184</v>
      </c>
      <c r="N58" s="10"/>
      <c r="R58" s="2"/>
    </row>
    <row r="59" spans="1:18" ht="15.75" x14ac:dyDescent="0.25">
      <c r="A59" s="19"/>
      <c r="B59" s="20">
        <f>DATE(2022,1,1)</f>
        <v>44562</v>
      </c>
      <c r="C59" s="21">
        <v>196225</v>
      </c>
      <c r="D59" s="21">
        <v>253729</v>
      </c>
      <c r="E59" s="23">
        <f t="shared" si="20"/>
        <v>-0.2266355048102503</v>
      </c>
      <c r="F59" s="21">
        <f>+C59-96553</f>
        <v>99672</v>
      </c>
      <c r="G59" s="21">
        <f>+D59-120009</f>
        <v>133720</v>
      </c>
      <c r="H59" s="23">
        <f t="shared" si="21"/>
        <v>-0.25462159736763385</v>
      </c>
      <c r="I59" s="24">
        <f t="shared" si="22"/>
        <v>71.241366441584915</v>
      </c>
      <c r="J59" s="24">
        <f t="shared" si="23"/>
        <v>140.25340246006903</v>
      </c>
      <c r="K59" s="21">
        <v>13979337.130000001</v>
      </c>
      <c r="L59" s="21">
        <v>15066308.08</v>
      </c>
      <c r="M59" s="25">
        <f t="shared" si="24"/>
        <v>-7.2145806671968654E-2</v>
      </c>
      <c r="N59" s="10"/>
      <c r="R59" s="2"/>
    </row>
    <row r="60" spans="1:18" ht="15.75" x14ac:dyDescent="0.25">
      <c r="A60" s="19"/>
      <c r="B60" s="20">
        <f>DATE(2022,2,1)</f>
        <v>44593</v>
      </c>
      <c r="C60" s="21">
        <v>198005</v>
      </c>
      <c r="D60" s="21">
        <v>221549</v>
      </c>
      <c r="E60" s="23">
        <f t="shared" si="20"/>
        <v>-0.10626994479776483</v>
      </c>
      <c r="F60" s="21">
        <f>+C60-96853</f>
        <v>101152</v>
      </c>
      <c r="G60" s="21">
        <f>+D60-106025</f>
        <v>115524</v>
      </c>
      <c r="H60" s="23">
        <f t="shared" si="21"/>
        <v>-0.12440704961739552</v>
      </c>
      <c r="I60" s="24">
        <f t="shared" si="22"/>
        <v>61.17057660160097</v>
      </c>
      <c r="J60" s="24">
        <f t="shared" si="23"/>
        <v>119.74137950806707</v>
      </c>
      <c r="K60" s="21">
        <v>12112080.02</v>
      </c>
      <c r="L60" s="21">
        <v>13215921.17</v>
      </c>
      <c r="M60" s="25">
        <f t="shared" si="24"/>
        <v>-8.3523587633505869E-2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39" t="s">
        <v>14</v>
      </c>
      <c r="B62" s="40"/>
      <c r="C62" s="41">
        <f>SUM(C53:C61)</f>
        <v>1792680</v>
      </c>
      <c r="D62" s="41">
        <f>SUM(D53:D61)</f>
        <v>1968917</v>
      </c>
      <c r="E62" s="281">
        <f>(+C62-D62)/D62</f>
        <v>-8.9509613660707893E-2</v>
      </c>
      <c r="F62" s="47">
        <f>SUM(F53:F61)</f>
        <v>938478</v>
      </c>
      <c r="G62" s="48">
        <f>SUM(G53:G61)</f>
        <v>1044963</v>
      </c>
      <c r="H62" s="49">
        <f>(+F62-G62)/G62</f>
        <v>-0.10190312958449246</v>
      </c>
      <c r="I62" s="50">
        <f>K62/C62</f>
        <v>64.144869937746833</v>
      </c>
      <c r="J62" s="51">
        <f>K62/F62</f>
        <v>122.52948437789698</v>
      </c>
      <c r="K62" s="48">
        <f>SUM(K53:K61)</f>
        <v>114991225.44</v>
      </c>
      <c r="L62" s="47">
        <f>SUM(L53:L61)</f>
        <v>115028802.67</v>
      </c>
      <c r="M62" s="44">
        <f>(+K62-L62)/L62</f>
        <v>-3.2667670294550039E-4</v>
      </c>
      <c r="N62" s="10"/>
      <c r="R62" s="2"/>
    </row>
    <row r="63" spans="1:18" ht="15.75" customHeight="1" thickTop="1" x14ac:dyDescent="0.25">
      <c r="A63" s="273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274" t="s">
        <v>63</v>
      </c>
      <c r="B64" s="20">
        <f>DATE(2021,7,1)</f>
        <v>44378</v>
      </c>
      <c r="C64" s="21">
        <v>104293</v>
      </c>
      <c r="D64" s="21">
        <v>75978</v>
      </c>
      <c r="E64" s="23">
        <f t="shared" ref="E64:E71" si="25">(+C64-D64)/D64</f>
        <v>0.37267366869356922</v>
      </c>
      <c r="F64" s="21">
        <f>+C64-51816</f>
        <v>52477</v>
      </c>
      <c r="G64" s="21">
        <f>+D64-36462</f>
        <v>39516</v>
      </c>
      <c r="H64" s="23">
        <f t="shared" ref="H64:H71" si="26">(+F64-G64)/G64</f>
        <v>0.3279937240611398</v>
      </c>
      <c r="I64" s="24">
        <f t="shared" ref="I64:I71" si="27">K64/C64</f>
        <v>62.066719147018496</v>
      </c>
      <c r="J64" s="24">
        <f t="shared" ref="J64:J71" si="28">K64/F64</f>
        <v>123.35164624502163</v>
      </c>
      <c r="K64" s="21">
        <v>6473124.3399999999</v>
      </c>
      <c r="L64" s="21">
        <v>5007129.57</v>
      </c>
      <c r="M64" s="25">
        <f t="shared" ref="M64:M71" si="29">(+K64-L64)/L64</f>
        <v>0.29278147279899519</v>
      </c>
      <c r="N64" s="10"/>
      <c r="R64" s="2"/>
    </row>
    <row r="65" spans="1:18" ht="15.75" x14ac:dyDescent="0.25">
      <c r="A65" s="274"/>
      <c r="B65" s="20">
        <f>DATE(2021,8,1)</f>
        <v>44409</v>
      </c>
      <c r="C65" s="21">
        <v>93122</v>
      </c>
      <c r="D65" s="21">
        <v>75051</v>
      </c>
      <c r="E65" s="23">
        <f t="shared" si="25"/>
        <v>0.24078293427136213</v>
      </c>
      <c r="F65" s="21">
        <f>+C65-46288</f>
        <v>46834</v>
      </c>
      <c r="G65" s="21">
        <f>+D65-37094</f>
        <v>37957</v>
      </c>
      <c r="H65" s="23">
        <f t="shared" si="26"/>
        <v>0.23386990541929026</v>
      </c>
      <c r="I65" s="24">
        <f t="shared" si="27"/>
        <v>62.998181632696891</v>
      </c>
      <c r="J65" s="24">
        <f t="shared" si="28"/>
        <v>125.2619180509886</v>
      </c>
      <c r="K65" s="21">
        <v>5866516.6699999999</v>
      </c>
      <c r="L65" s="21">
        <v>4962926.8</v>
      </c>
      <c r="M65" s="25">
        <f t="shared" si="29"/>
        <v>0.18206794224730458</v>
      </c>
      <c r="N65" s="10"/>
      <c r="R65" s="2"/>
    </row>
    <row r="66" spans="1:18" ht="15.75" x14ac:dyDescent="0.25">
      <c r="A66" s="274"/>
      <c r="B66" s="20">
        <f>DATE(2021,9,1)</f>
        <v>44440</v>
      </c>
      <c r="C66" s="21">
        <v>92204</v>
      </c>
      <c r="D66" s="21">
        <v>76058</v>
      </c>
      <c r="E66" s="23">
        <f t="shared" si="25"/>
        <v>0.21228536117173735</v>
      </c>
      <c r="F66" s="21">
        <f>+C66-46055</f>
        <v>46149</v>
      </c>
      <c r="G66" s="21">
        <f>+D66-37383</f>
        <v>38675</v>
      </c>
      <c r="H66" s="23">
        <f t="shared" si="26"/>
        <v>0.19325145442792502</v>
      </c>
      <c r="I66" s="24">
        <f t="shared" si="27"/>
        <v>64.955611036397556</v>
      </c>
      <c r="J66" s="24">
        <f t="shared" si="28"/>
        <v>129.7789152527682</v>
      </c>
      <c r="K66" s="21">
        <v>5989167.1600000001</v>
      </c>
      <c r="L66" s="21">
        <v>4981639.0599999996</v>
      </c>
      <c r="M66" s="25">
        <f t="shared" si="29"/>
        <v>0.20224831383107081</v>
      </c>
      <c r="N66" s="10"/>
      <c r="R66" s="2"/>
    </row>
    <row r="67" spans="1:18" ht="15.75" x14ac:dyDescent="0.25">
      <c r="A67" s="274"/>
      <c r="B67" s="20">
        <f>DATE(2021,10,1)</f>
        <v>44470</v>
      </c>
      <c r="C67" s="21">
        <v>93325</v>
      </c>
      <c r="D67" s="21">
        <v>79279</v>
      </c>
      <c r="E67" s="23">
        <f t="shared" si="25"/>
        <v>0.17717176049142899</v>
      </c>
      <c r="F67" s="21">
        <f>+C67-46461</f>
        <v>46864</v>
      </c>
      <c r="G67" s="21">
        <f>+D67-39288</f>
        <v>39991</v>
      </c>
      <c r="H67" s="23">
        <f t="shared" si="26"/>
        <v>0.17186366932559827</v>
      </c>
      <c r="I67" s="24">
        <f t="shared" si="27"/>
        <v>61.770488186445213</v>
      </c>
      <c r="J67" s="24">
        <f t="shared" si="28"/>
        <v>123.0097902441106</v>
      </c>
      <c r="K67" s="21">
        <v>5764730.8099999996</v>
      </c>
      <c r="L67" s="21">
        <v>4994174.3899999997</v>
      </c>
      <c r="M67" s="25">
        <f t="shared" si="29"/>
        <v>0.15429105189897063</v>
      </c>
      <c r="N67" s="10"/>
      <c r="R67" s="2"/>
    </row>
    <row r="68" spans="1:18" ht="15.75" x14ac:dyDescent="0.25">
      <c r="A68" s="274"/>
      <c r="B68" s="20">
        <f>DATE(2021,11,1)</f>
        <v>44501</v>
      </c>
      <c r="C68" s="21">
        <v>87600</v>
      </c>
      <c r="D68" s="21">
        <v>73436</v>
      </c>
      <c r="E68" s="23">
        <f t="shared" si="25"/>
        <v>0.19287542894493165</v>
      </c>
      <c r="F68" s="21">
        <f>+C68-43575</f>
        <v>44025</v>
      </c>
      <c r="G68" s="21">
        <f>+D68-36298</f>
        <v>37138</v>
      </c>
      <c r="H68" s="23">
        <f t="shared" si="26"/>
        <v>0.18544348107060155</v>
      </c>
      <c r="I68" s="24">
        <f t="shared" si="27"/>
        <v>64.904013127853872</v>
      </c>
      <c r="J68" s="24">
        <f t="shared" si="28"/>
        <v>129.14461215218626</v>
      </c>
      <c r="K68" s="21">
        <v>5685591.5499999998</v>
      </c>
      <c r="L68" s="21">
        <v>4495841.55</v>
      </c>
      <c r="M68" s="25">
        <f t="shared" si="29"/>
        <v>0.26463343664769501</v>
      </c>
      <c r="N68" s="10"/>
      <c r="R68" s="2"/>
    </row>
    <row r="69" spans="1:18" ht="15.75" x14ac:dyDescent="0.25">
      <c r="A69" s="274"/>
      <c r="B69" s="20">
        <f>DATE(2021,12,1)</f>
        <v>44531</v>
      </c>
      <c r="C69" s="21">
        <v>97815</v>
      </c>
      <c r="D69" s="21">
        <v>90053</v>
      </c>
      <c r="E69" s="23">
        <f t="shared" si="25"/>
        <v>8.619368594050171E-2</v>
      </c>
      <c r="F69" s="21">
        <f>+C69-49840</f>
        <v>47975</v>
      </c>
      <c r="G69" s="21">
        <f>+D69-45539</f>
        <v>44514</v>
      </c>
      <c r="H69" s="23">
        <f t="shared" si="26"/>
        <v>7.7750819966752038E-2</v>
      </c>
      <c r="I69" s="24">
        <f t="shared" si="27"/>
        <v>64.46978367326075</v>
      </c>
      <c r="J69" s="24">
        <f t="shared" si="28"/>
        <v>131.44579239187075</v>
      </c>
      <c r="K69" s="21">
        <v>6306111.8899999997</v>
      </c>
      <c r="L69" s="21">
        <v>6136762.6299999999</v>
      </c>
      <c r="M69" s="25">
        <f t="shared" si="29"/>
        <v>2.7595862869475168E-2</v>
      </c>
      <c r="N69" s="10"/>
      <c r="R69" s="2"/>
    </row>
    <row r="70" spans="1:18" ht="15.75" x14ac:dyDescent="0.25">
      <c r="A70" s="274"/>
      <c r="B70" s="20">
        <f>DATE(2022,1,1)</f>
        <v>44562</v>
      </c>
      <c r="C70" s="21">
        <v>84178</v>
      </c>
      <c r="D70" s="21">
        <v>102968</v>
      </c>
      <c r="E70" s="23">
        <f t="shared" si="25"/>
        <v>-0.18248387848652009</v>
      </c>
      <c r="F70" s="21">
        <f>+C70-43196</f>
        <v>40982</v>
      </c>
      <c r="G70" s="21">
        <f>+D70-52033</f>
        <v>50935</v>
      </c>
      <c r="H70" s="23">
        <f t="shared" si="26"/>
        <v>-0.19540590949249043</v>
      </c>
      <c r="I70" s="24">
        <f t="shared" si="27"/>
        <v>65.991751882914784</v>
      </c>
      <c r="J70" s="24">
        <f t="shared" si="28"/>
        <v>135.54862354204286</v>
      </c>
      <c r="K70" s="21">
        <v>5555053.6900000004</v>
      </c>
      <c r="L70" s="21">
        <v>6814377.9299999997</v>
      </c>
      <c r="M70" s="25">
        <f t="shared" si="29"/>
        <v>-0.18480399134539921</v>
      </c>
      <c r="N70" s="10"/>
      <c r="R70" s="2"/>
    </row>
    <row r="71" spans="1:18" ht="15.75" x14ac:dyDescent="0.25">
      <c r="A71" s="274"/>
      <c r="B71" s="20">
        <f>DATE(2022,2,1)</f>
        <v>44593</v>
      </c>
      <c r="C71" s="21">
        <v>86324</v>
      </c>
      <c r="D71" s="21">
        <v>73388</v>
      </c>
      <c r="E71" s="23">
        <f t="shared" si="25"/>
        <v>0.17626859977107975</v>
      </c>
      <c r="F71" s="21">
        <f>+C71-44518</f>
        <v>41806</v>
      </c>
      <c r="G71" s="21">
        <f>+D71-36566</f>
        <v>36822</v>
      </c>
      <c r="H71" s="23">
        <f t="shared" si="26"/>
        <v>0.13535386453750475</v>
      </c>
      <c r="I71" s="24">
        <f t="shared" si="27"/>
        <v>63.117420416106761</v>
      </c>
      <c r="J71" s="24">
        <f t="shared" si="28"/>
        <v>130.32933550208105</v>
      </c>
      <c r="K71" s="21">
        <v>5448548.2000000002</v>
      </c>
      <c r="L71" s="21">
        <v>4944353.3600000003</v>
      </c>
      <c r="M71" s="25">
        <f t="shared" si="29"/>
        <v>0.10197386863142804</v>
      </c>
      <c r="N71" s="10"/>
      <c r="R71" s="2"/>
    </row>
    <row r="72" spans="1:18" ht="15.75" customHeight="1" thickBot="1" x14ac:dyDescent="0.3">
      <c r="A72" s="19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45" customHeight="1" thickTop="1" thickBot="1" x14ac:dyDescent="0.3">
      <c r="A73" s="39" t="s">
        <v>14</v>
      </c>
      <c r="B73" s="52"/>
      <c r="C73" s="47">
        <f>SUM(C64:C72)</f>
        <v>738861</v>
      </c>
      <c r="D73" s="48">
        <f>SUM(D64:D72)</f>
        <v>646211</v>
      </c>
      <c r="E73" s="281">
        <f>(+C73-D73)/D73</f>
        <v>0.14337422297051583</v>
      </c>
      <c r="F73" s="48">
        <f>SUM(F64:F72)</f>
        <v>367112</v>
      </c>
      <c r="G73" s="47">
        <f>SUM(G64:G72)</f>
        <v>325548</v>
      </c>
      <c r="H73" s="46">
        <f>(+F73-G73)/G73</f>
        <v>0.12767395284259156</v>
      </c>
      <c r="I73" s="51">
        <f>K73/C73</f>
        <v>63.731668487036131</v>
      </c>
      <c r="J73" s="50">
        <f>K73/F73</f>
        <v>128.26833312449608</v>
      </c>
      <c r="K73" s="47">
        <f>SUM(K64:K72)</f>
        <v>47088844.310000002</v>
      </c>
      <c r="L73" s="48">
        <f>SUM(L64:L72)</f>
        <v>42337205.289999999</v>
      </c>
      <c r="M73" s="44">
        <f>(+K73-L73)/L73</f>
        <v>0.11223317617335349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70</v>
      </c>
      <c r="B75" s="20">
        <f>DATE(2021,7,1)</f>
        <v>44378</v>
      </c>
      <c r="C75" s="21">
        <v>224693</v>
      </c>
      <c r="D75" s="21">
        <v>89782</v>
      </c>
      <c r="E75" s="23">
        <f t="shared" ref="E75:E82" si="30">(+C75-D75)/D75</f>
        <v>1.502650865429596</v>
      </c>
      <c r="F75" s="21">
        <f>+C75-121301</f>
        <v>103392</v>
      </c>
      <c r="G75" s="21">
        <f>+D75-42122</f>
        <v>47660</v>
      </c>
      <c r="H75" s="23">
        <f t="shared" ref="H75:H82" si="31">(+F75-G75)/G75</f>
        <v>1.1693663449433487</v>
      </c>
      <c r="I75" s="24">
        <f t="shared" ref="I75:I82" si="32">K75/C75</f>
        <v>42.343524586880768</v>
      </c>
      <c r="J75" s="24">
        <f t="shared" ref="J75:J82" si="33">K75/F75</f>
        <v>92.021564240947072</v>
      </c>
      <c r="K75" s="21">
        <v>9514293.5700000003</v>
      </c>
      <c r="L75" s="21">
        <v>4552159.55</v>
      </c>
      <c r="M75" s="25">
        <f t="shared" ref="M75:M82" si="34">(+K75-L75)/L75</f>
        <v>1.0900615335418111</v>
      </c>
      <c r="N75" s="10"/>
      <c r="R75" s="2"/>
    </row>
    <row r="76" spans="1:18" ht="15.75" x14ac:dyDescent="0.25">
      <c r="A76" s="19"/>
      <c r="B76" s="20">
        <f>DATE(2021,8,1)</f>
        <v>44409</v>
      </c>
      <c r="C76" s="21">
        <v>253687</v>
      </c>
      <c r="D76" s="21">
        <v>90766</v>
      </c>
      <c r="E76" s="23">
        <f t="shared" si="30"/>
        <v>1.794956261155058</v>
      </c>
      <c r="F76" s="21">
        <f>+C76-139919</f>
        <v>113768</v>
      </c>
      <c r="G76" s="21">
        <f>+D76-42451</f>
        <v>48315</v>
      </c>
      <c r="H76" s="23">
        <f t="shared" si="31"/>
        <v>1.3547138569802339</v>
      </c>
      <c r="I76" s="24">
        <f t="shared" si="32"/>
        <v>37.330805047164418</v>
      </c>
      <c r="J76" s="24">
        <f t="shared" si="33"/>
        <v>83.242563286688693</v>
      </c>
      <c r="K76" s="21">
        <v>9470339.9399999995</v>
      </c>
      <c r="L76" s="21">
        <v>4403282.5999999996</v>
      </c>
      <c r="M76" s="25">
        <f t="shared" si="34"/>
        <v>1.1507454325098281</v>
      </c>
      <c r="N76" s="10"/>
      <c r="R76" s="2"/>
    </row>
    <row r="77" spans="1:18" ht="15.75" x14ac:dyDescent="0.25">
      <c r="A77" s="19"/>
      <c r="B77" s="20">
        <f>DATE(2021,9,1)</f>
        <v>44440</v>
      </c>
      <c r="C77" s="21">
        <v>235921</v>
      </c>
      <c r="D77" s="21">
        <v>113899</v>
      </c>
      <c r="E77" s="23">
        <f t="shared" si="30"/>
        <v>1.0713175708302971</v>
      </c>
      <c r="F77" s="21">
        <f>+C77-117745</f>
        <v>118176</v>
      </c>
      <c r="G77" s="21">
        <f>+D77-56486</f>
        <v>57413</v>
      </c>
      <c r="H77" s="23">
        <f t="shared" si="31"/>
        <v>1.058349154372703</v>
      </c>
      <c r="I77" s="24">
        <f t="shared" si="32"/>
        <v>42.602001220747624</v>
      </c>
      <c r="J77" s="24">
        <f t="shared" si="33"/>
        <v>85.048628570945041</v>
      </c>
      <c r="K77" s="21">
        <v>10050706.73</v>
      </c>
      <c r="L77" s="21">
        <v>5356117.45</v>
      </c>
      <c r="M77" s="25">
        <f t="shared" si="34"/>
        <v>0.87649110084395188</v>
      </c>
      <c r="N77" s="10"/>
      <c r="R77" s="2"/>
    </row>
    <row r="78" spans="1:18" ht="15.75" x14ac:dyDescent="0.25">
      <c r="A78" s="19"/>
      <c r="B78" s="20">
        <f>DATE(2021,10,1)</f>
        <v>44470</v>
      </c>
      <c r="C78" s="21">
        <v>221800</v>
      </c>
      <c r="D78" s="21">
        <v>133252</v>
      </c>
      <c r="E78" s="23">
        <f t="shared" si="30"/>
        <v>0.66451535436616338</v>
      </c>
      <c r="F78" s="21">
        <f>+C78-108912</f>
        <v>112888</v>
      </c>
      <c r="G78" s="21">
        <f>+D78-63794</f>
        <v>69458</v>
      </c>
      <c r="H78" s="23">
        <f t="shared" si="31"/>
        <v>0.62526994730628582</v>
      </c>
      <c r="I78" s="24">
        <f t="shared" si="32"/>
        <v>46.884752795311094</v>
      </c>
      <c r="J78" s="24">
        <f t="shared" si="33"/>
        <v>92.118189444405076</v>
      </c>
      <c r="K78" s="21">
        <v>10399038.17</v>
      </c>
      <c r="L78" s="21">
        <v>6129955.3200000003</v>
      </c>
      <c r="M78" s="25">
        <f t="shared" si="34"/>
        <v>0.69642968458047416</v>
      </c>
      <c r="N78" s="10"/>
      <c r="R78" s="2"/>
    </row>
    <row r="79" spans="1:18" ht="15.75" x14ac:dyDescent="0.25">
      <c r="A79" s="19"/>
      <c r="B79" s="20">
        <f>DATE(2021,11,1)</f>
        <v>44501</v>
      </c>
      <c r="C79" s="21">
        <v>202133</v>
      </c>
      <c r="D79" s="21">
        <v>128642</v>
      </c>
      <c r="E79" s="23">
        <f t="shared" si="30"/>
        <v>0.57128309572301428</v>
      </c>
      <c r="F79" s="21">
        <f>+C79-98046</f>
        <v>104087</v>
      </c>
      <c r="G79" s="21">
        <f>+D79-61517</f>
        <v>67125</v>
      </c>
      <c r="H79" s="23">
        <f t="shared" si="31"/>
        <v>0.55064432029795163</v>
      </c>
      <c r="I79" s="24">
        <f t="shared" si="32"/>
        <v>47.524598556396036</v>
      </c>
      <c r="J79" s="24">
        <f t="shared" si="33"/>
        <v>92.290965058076409</v>
      </c>
      <c r="K79" s="21">
        <v>9606289.6799999997</v>
      </c>
      <c r="L79" s="21">
        <v>5762849.3099999996</v>
      </c>
      <c r="M79" s="25">
        <f t="shared" si="34"/>
        <v>0.66693403961312336</v>
      </c>
      <c r="N79" s="10"/>
      <c r="R79" s="2"/>
    </row>
    <row r="80" spans="1:18" ht="15.75" x14ac:dyDescent="0.25">
      <c r="A80" s="19"/>
      <c r="B80" s="20">
        <f>DATE(2021,12,1)</f>
        <v>44531</v>
      </c>
      <c r="C80" s="21">
        <v>205858</v>
      </c>
      <c r="D80" s="21">
        <v>136324</v>
      </c>
      <c r="E80" s="23">
        <f t="shared" si="30"/>
        <v>0.51006425867785565</v>
      </c>
      <c r="F80" s="21">
        <f>+C80-97374</f>
        <v>108484</v>
      </c>
      <c r="G80" s="21">
        <f>+D80-65497</f>
        <v>70827</v>
      </c>
      <c r="H80" s="23">
        <f t="shared" si="31"/>
        <v>0.53167577336326544</v>
      </c>
      <c r="I80" s="24">
        <f t="shared" si="32"/>
        <v>49.499164861215014</v>
      </c>
      <c r="J80" s="24">
        <f t="shared" si="33"/>
        <v>93.929050182515397</v>
      </c>
      <c r="K80" s="21">
        <v>10189799.08</v>
      </c>
      <c r="L80" s="21">
        <v>6383967.25</v>
      </c>
      <c r="M80" s="25">
        <f t="shared" si="34"/>
        <v>0.59615466072448919</v>
      </c>
      <c r="N80" s="10"/>
      <c r="R80" s="2"/>
    </row>
    <row r="81" spans="1:18" ht="15.75" x14ac:dyDescent="0.25">
      <c r="A81" s="19"/>
      <c r="B81" s="20">
        <f>DATE(2022,1,1)</f>
        <v>44562</v>
      </c>
      <c r="C81" s="21">
        <v>179199</v>
      </c>
      <c r="D81" s="21">
        <v>148941</v>
      </c>
      <c r="E81" s="23">
        <f t="shared" si="30"/>
        <v>0.20315426914012932</v>
      </c>
      <c r="F81" s="21">
        <f>+C81-85727</f>
        <v>93472</v>
      </c>
      <c r="G81" s="21">
        <f>+D81-73418</f>
        <v>75523</v>
      </c>
      <c r="H81" s="23">
        <f t="shared" si="31"/>
        <v>0.23766269878050394</v>
      </c>
      <c r="I81" s="24">
        <f t="shared" si="32"/>
        <v>50.904624300358819</v>
      </c>
      <c r="J81" s="24">
        <f t="shared" si="33"/>
        <v>97.591340401403627</v>
      </c>
      <c r="K81" s="21">
        <v>9122057.7699999996</v>
      </c>
      <c r="L81" s="21">
        <v>6916380.04</v>
      </c>
      <c r="M81" s="25">
        <f t="shared" si="34"/>
        <v>0.31890638126357201</v>
      </c>
      <c r="N81" s="10"/>
      <c r="R81" s="2"/>
    </row>
    <row r="82" spans="1:18" ht="15.75" x14ac:dyDescent="0.25">
      <c r="A82" s="19"/>
      <c r="B82" s="20">
        <f>DATE(2022,2,1)</f>
        <v>44593</v>
      </c>
      <c r="C82" s="21">
        <v>184738</v>
      </c>
      <c r="D82" s="21">
        <v>128308</v>
      </c>
      <c r="E82" s="23">
        <f t="shared" si="30"/>
        <v>0.43980110359447577</v>
      </c>
      <c r="F82" s="21">
        <f>+C82-91368</f>
        <v>93370</v>
      </c>
      <c r="G82" s="21">
        <f>+D82-63434</f>
        <v>64874</v>
      </c>
      <c r="H82" s="23">
        <f t="shared" si="31"/>
        <v>0.43925147208434812</v>
      </c>
      <c r="I82" s="24">
        <f t="shared" si="32"/>
        <v>50.031798222347327</v>
      </c>
      <c r="J82" s="24">
        <f t="shared" si="33"/>
        <v>98.990835814501438</v>
      </c>
      <c r="K82" s="21">
        <v>9242774.3399999999</v>
      </c>
      <c r="L82" s="21">
        <v>6371712.29</v>
      </c>
      <c r="M82" s="25">
        <f t="shared" si="34"/>
        <v>0.45059505503818031</v>
      </c>
      <c r="N82" s="10"/>
      <c r="R82" s="2"/>
    </row>
    <row r="83" spans="1:18" ht="15.75" customHeight="1" thickBot="1" x14ac:dyDescent="0.3">
      <c r="A83" s="19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45" customHeight="1" thickTop="1" thickBot="1" x14ac:dyDescent="0.3">
      <c r="A84" s="39" t="s">
        <v>14</v>
      </c>
      <c r="B84" s="52"/>
      <c r="C84" s="47">
        <f>SUM(C75:C83)</f>
        <v>1708029</v>
      </c>
      <c r="D84" s="48">
        <f>SUM(D75:D83)</f>
        <v>969914</v>
      </c>
      <c r="E84" s="281">
        <f>(+C84-D84)/D84</f>
        <v>0.76101077002703332</v>
      </c>
      <c r="F84" s="48">
        <f>SUM(F75:F83)</f>
        <v>847637</v>
      </c>
      <c r="G84" s="47">
        <f>SUM(G75:G83)</f>
        <v>501195</v>
      </c>
      <c r="H84" s="53">
        <f>(+F84-G84)/G84</f>
        <v>0.69123195562605377</v>
      </c>
      <c r="I84" s="51">
        <f>K84/C84</f>
        <v>45.429731743430587</v>
      </c>
      <c r="J84" s="50">
        <f>K84/F84</f>
        <v>91.543077142691985</v>
      </c>
      <c r="K84" s="47">
        <f>SUM(K75:K83)</f>
        <v>77595299.280000001</v>
      </c>
      <c r="L84" s="48">
        <f>SUM(L75:L83)</f>
        <v>45876423.809999995</v>
      </c>
      <c r="M84" s="44">
        <f>(+K84-L84)/L84</f>
        <v>0.69139817003534676</v>
      </c>
      <c r="N84" s="10"/>
      <c r="R84" s="2"/>
    </row>
    <row r="85" spans="1:18" ht="15.75" customHeight="1" thickTop="1" x14ac:dyDescent="0.25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 customHeight="1" x14ac:dyDescent="0.25">
      <c r="A86" s="19" t="s">
        <v>60</v>
      </c>
      <c r="B86" s="20">
        <f>DATE(2021,7,1)</f>
        <v>44378</v>
      </c>
      <c r="C86" s="21">
        <v>251090</v>
      </c>
      <c r="D86" s="21">
        <v>198458</v>
      </c>
      <c r="E86" s="23">
        <f t="shared" ref="E86:E93" si="35">(+C86-D86)/D86</f>
        <v>0.26520472845639881</v>
      </c>
      <c r="F86" s="21">
        <f>+C86-113536</f>
        <v>137554</v>
      </c>
      <c r="G86" s="21">
        <f>+D86-91512</f>
        <v>106946</v>
      </c>
      <c r="H86" s="23">
        <f t="shared" ref="H86:H93" si="36">(+F86-G86)/G86</f>
        <v>0.28620051240813121</v>
      </c>
      <c r="I86" s="24">
        <f t="shared" ref="I86:I93" si="37">K86/C86</f>
        <v>59.031039945836156</v>
      </c>
      <c r="J86" s="24">
        <f t="shared" ref="J86:J93" si="38">K86/F86</f>
        <v>107.75480044200823</v>
      </c>
      <c r="K86" s="21">
        <v>14822103.82</v>
      </c>
      <c r="L86" s="21">
        <v>11423179.77</v>
      </c>
      <c r="M86" s="25">
        <f t="shared" ref="M86:M93" si="39">(+K86-L86)/L86</f>
        <v>0.2975462277960807</v>
      </c>
      <c r="N86" s="10"/>
      <c r="R86" s="2"/>
    </row>
    <row r="87" spans="1:18" ht="15.75" customHeight="1" x14ac:dyDescent="0.25">
      <c r="A87" s="19"/>
      <c r="B87" s="20">
        <f>DATE(2021,8,1)</f>
        <v>44409</v>
      </c>
      <c r="C87" s="21">
        <v>215479</v>
      </c>
      <c r="D87" s="21">
        <v>207170</v>
      </c>
      <c r="E87" s="23">
        <f t="shared" si="35"/>
        <v>4.0107158372351209E-2</v>
      </c>
      <c r="F87" s="21">
        <f>+C87-96518</f>
        <v>118961</v>
      </c>
      <c r="G87" s="21">
        <f>+D87-94983</f>
        <v>112187</v>
      </c>
      <c r="H87" s="23">
        <f t="shared" si="36"/>
        <v>6.0381327604802693E-2</v>
      </c>
      <c r="I87" s="24">
        <f t="shared" si="37"/>
        <v>60.899793761805093</v>
      </c>
      <c r="J87" s="24">
        <f t="shared" si="38"/>
        <v>110.31032573700625</v>
      </c>
      <c r="K87" s="21">
        <v>13122626.66</v>
      </c>
      <c r="L87" s="21">
        <v>12078246.74</v>
      </c>
      <c r="M87" s="25">
        <f t="shared" si="39"/>
        <v>8.6467841109859611E-2</v>
      </c>
      <c r="N87" s="10"/>
      <c r="R87" s="2"/>
    </row>
    <row r="88" spans="1:18" ht="15.75" customHeight="1" x14ac:dyDescent="0.25">
      <c r="A88" s="19"/>
      <c r="B88" s="20">
        <f>DATE(2021,9,1)</f>
        <v>44440</v>
      </c>
      <c r="C88" s="21">
        <v>213931</v>
      </c>
      <c r="D88" s="21">
        <v>214679</v>
      </c>
      <c r="E88" s="23">
        <f t="shared" si="35"/>
        <v>-3.4842718663679259E-3</v>
      </c>
      <c r="F88" s="21">
        <f>+C88-98283</f>
        <v>115648</v>
      </c>
      <c r="G88" s="21">
        <f>+D88-98438</f>
        <v>116241</v>
      </c>
      <c r="H88" s="23">
        <f t="shared" si="36"/>
        <v>-5.1014702213504704E-3</v>
      </c>
      <c r="I88" s="24">
        <f t="shared" si="37"/>
        <v>56.659814800099099</v>
      </c>
      <c r="J88" s="24">
        <f t="shared" si="38"/>
        <v>104.81193656613171</v>
      </c>
      <c r="K88" s="21">
        <v>12121290.84</v>
      </c>
      <c r="L88" s="21">
        <v>11539629.039999999</v>
      </c>
      <c r="M88" s="25">
        <f t="shared" si="39"/>
        <v>5.0405589121086752E-2</v>
      </c>
      <c r="N88" s="10"/>
      <c r="R88" s="2"/>
    </row>
    <row r="89" spans="1:18" ht="15.75" customHeight="1" x14ac:dyDescent="0.25">
      <c r="A89" s="19"/>
      <c r="B89" s="20">
        <f>DATE(2021,10,1)</f>
        <v>44470</v>
      </c>
      <c r="C89" s="21">
        <v>212915</v>
      </c>
      <c r="D89" s="21">
        <v>212255</v>
      </c>
      <c r="E89" s="23">
        <f t="shared" si="35"/>
        <v>3.1094673859273043E-3</v>
      </c>
      <c r="F89" s="21">
        <f>+C89-99053</f>
        <v>113862</v>
      </c>
      <c r="G89" s="21">
        <f>+D89-97155</f>
        <v>115100</v>
      </c>
      <c r="H89" s="23">
        <f t="shared" si="36"/>
        <v>-1.0755864465682016E-2</v>
      </c>
      <c r="I89" s="24">
        <f t="shared" si="37"/>
        <v>60.264709485005753</v>
      </c>
      <c r="J89" s="24">
        <f t="shared" si="38"/>
        <v>112.6913335441148</v>
      </c>
      <c r="K89" s="21">
        <v>12831260.619999999</v>
      </c>
      <c r="L89" s="21">
        <v>11315553.33</v>
      </c>
      <c r="M89" s="25">
        <f t="shared" si="39"/>
        <v>0.13394902094460803</v>
      </c>
      <c r="N89" s="10"/>
      <c r="R89" s="2"/>
    </row>
    <row r="90" spans="1:18" ht="15.75" customHeight="1" x14ac:dyDescent="0.25">
      <c r="A90" s="19"/>
      <c r="B90" s="20">
        <f>DATE(2021,11,1)</f>
        <v>44501</v>
      </c>
      <c r="C90" s="21">
        <v>184421</v>
      </c>
      <c r="D90" s="21">
        <v>182201</v>
      </c>
      <c r="E90" s="23">
        <f t="shared" si="35"/>
        <v>1.2184345859792207E-2</v>
      </c>
      <c r="F90" s="21">
        <f>+C90-84660</f>
        <v>99761</v>
      </c>
      <c r="G90" s="21">
        <f>+D90-83158</f>
        <v>99043</v>
      </c>
      <c r="H90" s="23">
        <f t="shared" si="36"/>
        <v>7.2493765334248764E-3</v>
      </c>
      <c r="I90" s="24">
        <f t="shared" si="37"/>
        <v>64.389713698548434</v>
      </c>
      <c r="J90" s="24">
        <f t="shared" si="38"/>
        <v>119.03264191417489</v>
      </c>
      <c r="K90" s="21">
        <v>11874815.390000001</v>
      </c>
      <c r="L90" s="21">
        <v>10560135.1</v>
      </c>
      <c r="M90" s="25">
        <f t="shared" si="39"/>
        <v>0.12449464685352378</v>
      </c>
      <c r="N90" s="10"/>
      <c r="R90" s="2"/>
    </row>
    <row r="91" spans="1:18" ht="15.75" customHeight="1" x14ac:dyDescent="0.25">
      <c r="A91" s="19"/>
      <c r="B91" s="20">
        <f>DATE(2021,12,1)</f>
        <v>44531</v>
      </c>
      <c r="C91" s="21">
        <v>211464</v>
      </c>
      <c r="D91" s="21">
        <v>236582</v>
      </c>
      <c r="E91" s="23">
        <f t="shared" si="35"/>
        <v>-0.10617037644453085</v>
      </c>
      <c r="F91" s="21">
        <f>+C91-97323</f>
        <v>114141</v>
      </c>
      <c r="G91" s="21">
        <f>+D91-114318</f>
        <v>122264</v>
      </c>
      <c r="H91" s="23">
        <f t="shared" si="36"/>
        <v>-6.6438199306418894E-2</v>
      </c>
      <c r="I91" s="24">
        <f t="shared" si="37"/>
        <v>59.316628693300046</v>
      </c>
      <c r="J91" s="24">
        <f t="shared" si="38"/>
        <v>109.89330363322557</v>
      </c>
      <c r="K91" s="21">
        <v>12543331.57</v>
      </c>
      <c r="L91" s="21">
        <v>13819716.060000001</v>
      </c>
      <c r="M91" s="25">
        <f t="shared" si="39"/>
        <v>-9.2359675441841177E-2</v>
      </c>
      <c r="N91" s="10"/>
      <c r="R91" s="2"/>
    </row>
    <row r="92" spans="1:18" ht="15.75" customHeight="1" x14ac:dyDescent="0.25">
      <c r="A92" s="19"/>
      <c r="B92" s="20">
        <f>DATE(2022,1,1)</f>
        <v>44562</v>
      </c>
      <c r="C92" s="21">
        <v>184238</v>
      </c>
      <c r="D92" s="21">
        <v>267613</v>
      </c>
      <c r="E92" s="23">
        <f t="shared" si="35"/>
        <v>-0.31155063468516103</v>
      </c>
      <c r="F92" s="21">
        <f>+C92-86833</f>
        <v>97405</v>
      </c>
      <c r="G92" s="21">
        <f>+D92-127713</f>
        <v>139900</v>
      </c>
      <c r="H92" s="23">
        <f t="shared" si="36"/>
        <v>-0.30375268048606147</v>
      </c>
      <c r="I92" s="24">
        <f t="shared" si="37"/>
        <v>58.018854796513203</v>
      </c>
      <c r="J92" s="24">
        <f t="shared" si="38"/>
        <v>109.74054483856064</v>
      </c>
      <c r="K92" s="21">
        <v>10689277.77</v>
      </c>
      <c r="L92" s="21">
        <v>15933243.49</v>
      </c>
      <c r="M92" s="25">
        <f t="shared" si="39"/>
        <v>-0.3291210432634894</v>
      </c>
      <c r="N92" s="10"/>
      <c r="R92" s="2"/>
    </row>
    <row r="93" spans="1:18" ht="15.75" customHeight="1" x14ac:dyDescent="0.25">
      <c r="A93" s="19"/>
      <c r="B93" s="20">
        <f>DATE(2022,2,1)</f>
        <v>44593</v>
      </c>
      <c r="C93" s="21">
        <v>186083</v>
      </c>
      <c r="D93" s="21">
        <v>191978</v>
      </c>
      <c r="E93" s="23">
        <f t="shared" si="35"/>
        <v>-3.070664346956422E-2</v>
      </c>
      <c r="F93" s="21">
        <f>+C93-88690</f>
        <v>97393</v>
      </c>
      <c r="G93" s="21">
        <f>+D93-89920</f>
        <v>102058</v>
      </c>
      <c r="H93" s="23">
        <f t="shared" si="36"/>
        <v>-4.5709302553450001E-2</v>
      </c>
      <c r="I93" s="24">
        <f t="shared" si="37"/>
        <v>60.917259663698452</v>
      </c>
      <c r="J93" s="24">
        <f t="shared" si="38"/>
        <v>116.39097707227418</v>
      </c>
      <c r="K93" s="21">
        <v>11335666.43</v>
      </c>
      <c r="L93" s="21">
        <v>11645461.32</v>
      </c>
      <c r="M93" s="25">
        <f t="shared" si="39"/>
        <v>-2.6602199903232395E-2</v>
      </c>
      <c r="N93" s="10"/>
      <c r="R93" s="2"/>
    </row>
    <row r="94" spans="1:18" ht="15.75" customHeight="1" thickBot="1" x14ac:dyDescent="0.3">
      <c r="A94" s="19"/>
      <c r="B94" s="45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Top="1" thickBot="1" x14ac:dyDescent="0.3">
      <c r="A95" s="39" t="s">
        <v>14</v>
      </c>
      <c r="B95" s="40"/>
      <c r="C95" s="41">
        <f>SUM(C86:C94)</f>
        <v>1659621</v>
      </c>
      <c r="D95" s="41">
        <f>SUM(D86:D94)</f>
        <v>1710936</v>
      </c>
      <c r="E95" s="280">
        <f>(+C95-D95)/D95</f>
        <v>-2.9992355061790738E-2</v>
      </c>
      <c r="F95" s="41">
        <f>SUM(F86:F94)</f>
        <v>894725</v>
      </c>
      <c r="G95" s="41">
        <f>SUM(G86:G94)</f>
        <v>913739</v>
      </c>
      <c r="H95" s="42">
        <f>(+F95-G95)/G95</f>
        <v>-2.0809005635088355E-2</v>
      </c>
      <c r="I95" s="43">
        <f>K95/C95</f>
        <v>59.857264459777262</v>
      </c>
      <c r="J95" s="43">
        <f>K95/F95</f>
        <v>111.02894531839391</v>
      </c>
      <c r="K95" s="41">
        <f>SUM(K86:K94)</f>
        <v>99340373.099999994</v>
      </c>
      <c r="L95" s="41">
        <f>SUM(L86:L94)</f>
        <v>98315164.849999994</v>
      </c>
      <c r="M95" s="44">
        <f>(+K95-L95)/L95</f>
        <v>1.0427773289747986E-2</v>
      </c>
      <c r="N95" s="10"/>
      <c r="R95" s="2"/>
    </row>
    <row r="96" spans="1:18" ht="15.75" customHeight="1" thickTop="1" x14ac:dyDescent="0.2">
      <c r="A96" s="54"/>
      <c r="B96" s="55"/>
      <c r="C96" s="55"/>
      <c r="D96" s="55"/>
      <c r="E96" s="56"/>
      <c r="F96" s="55"/>
      <c r="G96" s="55"/>
      <c r="H96" s="56"/>
      <c r="I96" s="55"/>
      <c r="J96" s="55"/>
      <c r="K96" s="196"/>
      <c r="L96" s="196"/>
      <c r="M96" s="57"/>
      <c r="N96" s="10"/>
      <c r="R96" s="2"/>
    </row>
    <row r="97" spans="1:18" ht="15.75" customHeight="1" x14ac:dyDescent="0.25">
      <c r="A97" s="19" t="s">
        <v>16</v>
      </c>
      <c r="B97" s="20">
        <f>DATE(2021,7,1)</f>
        <v>44378</v>
      </c>
      <c r="C97" s="21">
        <v>292626</v>
      </c>
      <c r="D97" s="21">
        <v>211446</v>
      </c>
      <c r="E97" s="23">
        <f t="shared" ref="E97:E104" si="40">(+C97-D97)/D97</f>
        <v>0.38392781135609094</v>
      </c>
      <c r="F97" s="21">
        <f>+C97-144119</f>
        <v>148507</v>
      </c>
      <c r="G97" s="21">
        <f>+D97-102823</f>
        <v>108623</v>
      </c>
      <c r="H97" s="23">
        <f t="shared" ref="H97:H104" si="41">(+F97-G97)/G97</f>
        <v>0.36717822192353367</v>
      </c>
      <c r="I97" s="24">
        <f t="shared" ref="I97:I104" si="42">K97/C97</f>
        <v>61.884126359243538</v>
      </c>
      <c r="J97" s="24">
        <f t="shared" ref="J97:J104" si="43">K97/F97</f>
        <v>121.93973590470482</v>
      </c>
      <c r="K97" s="21">
        <v>18108904.359999999</v>
      </c>
      <c r="L97" s="21">
        <v>13827445.609999999</v>
      </c>
      <c r="M97" s="25">
        <f t="shared" ref="M97:M104" si="44">(+K97-L97)/L97</f>
        <v>0.3096348284967147</v>
      </c>
      <c r="N97" s="10"/>
      <c r="R97" s="2"/>
    </row>
    <row r="98" spans="1:18" ht="15.75" customHeight="1" x14ac:dyDescent="0.25">
      <c r="A98" s="19"/>
      <c r="B98" s="20">
        <f>DATE(2021,8,1)</f>
        <v>44409</v>
      </c>
      <c r="C98" s="21">
        <v>252812</v>
      </c>
      <c r="D98" s="21">
        <v>225551</v>
      </c>
      <c r="E98" s="23">
        <f t="shared" si="40"/>
        <v>0.12086401745059876</v>
      </c>
      <c r="F98" s="21">
        <f>+C98-122587</f>
        <v>130225</v>
      </c>
      <c r="G98" s="21">
        <f>+D98-110461</f>
        <v>115090</v>
      </c>
      <c r="H98" s="23">
        <f t="shared" si="41"/>
        <v>0.13150577808671474</v>
      </c>
      <c r="I98" s="24">
        <f t="shared" si="42"/>
        <v>64.409354381912252</v>
      </c>
      <c r="J98" s="24">
        <f t="shared" si="43"/>
        <v>125.04094989441352</v>
      </c>
      <c r="K98" s="21">
        <v>16283457.699999999</v>
      </c>
      <c r="L98" s="21">
        <v>14343284.68</v>
      </c>
      <c r="M98" s="25">
        <f t="shared" si="44"/>
        <v>0.13526699520266369</v>
      </c>
      <c r="N98" s="10"/>
      <c r="R98" s="2"/>
    </row>
    <row r="99" spans="1:18" ht="15.75" customHeight="1" x14ac:dyDescent="0.25">
      <c r="A99" s="19"/>
      <c r="B99" s="20">
        <f>DATE(2021,9,1)</f>
        <v>44440</v>
      </c>
      <c r="C99" s="21">
        <v>245992</v>
      </c>
      <c r="D99" s="21">
        <v>224827</v>
      </c>
      <c r="E99" s="23">
        <f t="shared" si="40"/>
        <v>9.4139049135557568E-2</v>
      </c>
      <c r="F99" s="21">
        <f>+C99-120862</f>
        <v>125130</v>
      </c>
      <c r="G99" s="21">
        <f>+D99-110393</f>
        <v>114434</v>
      </c>
      <c r="H99" s="23">
        <f t="shared" si="41"/>
        <v>9.3468724330181593E-2</v>
      </c>
      <c r="I99" s="24">
        <f t="shared" si="42"/>
        <v>58.827599881296948</v>
      </c>
      <c r="J99" s="24">
        <f t="shared" si="43"/>
        <v>115.64867697594501</v>
      </c>
      <c r="K99" s="21">
        <v>14471118.949999999</v>
      </c>
      <c r="L99" s="21">
        <v>13592591.220000001</v>
      </c>
      <c r="M99" s="25">
        <f t="shared" si="44"/>
        <v>6.4632836799163193E-2</v>
      </c>
      <c r="N99" s="10"/>
      <c r="R99" s="2"/>
    </row>
    <row r="100" spans="1:18" ht="15.75" customHeight="1" x14ac:dyDescent="0.25">
      <c r="A100" s="19"/>
      <c r="B100" s="20">
        <f>DATE(2021,10,1)</f>
        <v>44470</v>
      </c>
      <c r="C100" s="21">
        <v>265943</v>
      </c>
      <c r="D100" s="21">
        <v>236689</v>
      </c>
      <c r="E100" s="23">
        <f t="shared" si="40"/>
        <v>0.12359678734541951</v>
      </c>
      <c r="F100" s="21">
        <f>+C100-130327</f>
        <v>135616</v>
      </c>
      <c r="G100" s="21">
        <f>+D100-116990</f>
        <v>119699</v>
      </c>
      <c r="H100" s="23">
        <f t="shared" si="41"/>
        <v>0.13297521282550398</v>
      </c>
      <c r="I100" s="24">
        <f t="shared" si="42"/>
        <v>62.018882880918092</v>
      </c>
      <c r="J100" s="24">
        <f t="shared" si="43"/>
        <v>121.61904030497875</v>
      </c>
      <c r="K100" s="21">
        <v>16493487.77</v>
      </c>
      <c r="L100" s="21">
        <v>14448861.33</v>
      </c>
      <c r="M100" s="25">
        <f t="shared" si="44"/>
        <v>0.14150779035817623</v>
      </c>
      <c r="N100" s="10"/>
      <c r="R100" s="2"/>
    </row>
    <row r="101" spans="1:18" ht="15.75" customHeight="1" x14ac:dyDescent="0.25">
      <c r="A101" s="19"/>
      <c r="B101" s="20">
        <f>DATE(2021,11,1)</f>
        <v>44501</v>
      </c>
      <c r="C101" s="21">
        <v>251827</v>
      </c>
      <c r="D101" s="21">
        <v>217833</v>
      </c>
      <c r="E101" s="23">
        <f t="shared" si="40"/>
        <v>0.1560553267870341</v>
      </c>
      <c r="F101" s="21">
        <f>+C101-125798</f>
        <v>126029</v>
      </c>
      <c r="G101" s="21">
        <f>+D101-108450</f>
        <v>109383</v>
      </c>
      <c r="H101" s="23">
        <f t="shared" si="41"/>
        <v>0.15218086905643474</v>
      </c>
      <c r="I101" s="24">
        <f t="shared" si="42"/>
        <v>63.781932953972373</v>
      </c>
      <c r="J101" s="24">
        <f t="shared" si="43"/>
        <v>127.44695927127883</v>
      </c>
      <c r="K101" s="21">
        <v>16062012.83</v>
      </c>
      <c r="L101" s="21">
        <v>12584367.83</v>
      </c>
      <c r="M101" s="25">
        <f t="shared" si="44"/>
        <v>0.27634642017611782</v>
      </c>
      <c r="N101" s="10"/>
      <c r="R101" s="2"/>
    </row>
    <row r="102" spans="1:18" ht="15.75" customHeight="1" x14ac:dyDescent="0.25">
      <c r="A102" s="19"/>
      <c r="B102" s="20">
        <f>DATE(2021,12,1)</f>
        <v>44531</v>
      </c>
      <c r="C102" s="21">
        <v>268015</v>
      </c>
      <c r="D102" s="21">
        <v>232838</v>
      </c>
      <c r="E102" s="23">
        <f t="shared" si="40"/>
        <v>0.15107929118099278</v>
      </c>
      <c r="F102" s="21">
        <f>+C102-132764</f>
        <v>135251</v>
      </c>
      <c r="G102" s="21">
        <f>+D102-115697</f>
        <v>117141</v>
      </c>
      <c r="H102" s="23">
        <f t="shared" si="41"/>
        <v>0.15460001195140899</v>
      </c>
      <c r="I102" s="24">
        <f t="shared" si="42"/>
        <v>62.532376695334214</v>
      </c>
      <c r="J102" s="24">
        <f t="shared" si="43"/>
        <v>123.9149059156679</v>
      </c>
      <c r="K102" s="21">
        <v>16759614.939999999</v>
      </c>
      <c r="L102" s="21">
        <v>14119546.369999999</v>
      </c>
      <c r="M102" s="25">
        <f t="shared" si="44"/>
        <v>0.1869797018131823</v>
      </c>
      <c r="N102" s="10"/>
      <c r="R102" s="2"/>
    </row>
    <row r="103" spans="1:18" ht="15.75" customHeight="1" x14ac:dyDescent="0.25">
      <c r="A103" s="19"/>
      <c r="B103" s="20">
        <f>DATE(2022,1,1)</f>
        <v>44562</v>
      </c>
      <c r="C103" s="21">
        <v>234359</v>
      </c>
      <c r="D103" s="21">
        <v>260524</v>
      </c>
      <c r="E103" s="23">
        <f t="shared" si="40"/>
        <v>-0.1004322058620319</v>
      </c>
      <c r="F103" s="21">
        <f>+C103-117571</f>
        <v>116788</v>
      </c>
      <c r="G103" s="21">
        <f>+D103-129652</f>
        <v>130872</v>
      </c>
      <c r="H103" s="23">
        <f t="shared" si="41"/>
        <v>-0.10761660248181429</v>
      </c>
      <c r="I103" s="24">
        <f t="shared" si="42"/>
        <v>63.592349387051492</v>
      </c>
      <c r="J103" s="24">
        <f t="shared" si="43"/>
        <v>127.61105087851492</v>
      </c>
      <c r="K103" s="21">
        <v>14903439.41</v>
      </c>
      <c r="L103" s="21">
        <v>15741735.039999999</v>
      </c>
      <c r="M103" s="25">
        <f t="shared" si="44"/>
        <v>-5.3253064409347281E-2</v>
      </c>
      <c r="N103" s="10"/>
      <c r="R103" s="2"/>
    </row>
    <row r="104" spans="1:18" ht="15.75" customHeight="1" x14ac:dyDescent="0.25">
      <c r="A104" s="19"/>
      <c r="B104" s="20">
        <f>DATE(2022,2,1)</f>
        <v>44593</v>
      </c>
      <c r="C104" s="21">
        <v>253600</v>
      </c>
      <c r="D104" s="21">
        <v>219600</v>
      </c>
      <c r="E104" s="23">
        <f t="shared" si="40"/>
        <v>0.15482695810564662</v>
      </c>
      <c r="F104" s="21">
        <f>+C104-127165</f>
        <v>126435</v>
      </c>
      <c r="G104" s="21">
        <f>+D104-109391</f>
        <v>110209</v>
      </c>
      <c r="H104" s="23">
        <f t="shared" si="41"/>
        <v>0.14722935513433566</v>
      </c>
      <c r="I104" s="24">
        <f t="shared" si="42"/>
        <v>62.982297634069397</v>
      </c>
      <c r="J104" s="24">
        <f t="shared" si="43"/>
        <v>126.32823727607071</v>
      </c>
      <c r="K104" s="21">
        <v>15972310.68</v>
      </c>
      <c r="L104" s="21">
        <v>13340742.960000001</v>
      </c>
      <c r="M104" s="25">
        <f t="shared" si="44"/>
        <v>0.19725795841283481</v>
      </c>
      <c r="N104" s="10"/>
      <c r="R104" s="2"/>
    </row>
    <row r="105" spans="1:18" ht="15.75" customHeight="1" thickBot="1" x14ac:dyDescent="0.3">
      <c r="A105" s="19"/>
      <c r="B105" s="45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39" t="s">
        <v>14</v>
      </c>
      <c r="B106" s="40"/>
      <c r="C106" s="41">
        <f>SUM(C97:C105)</f>
        <v>2065174</v>
      </c>
      <c r="D106" s="41">
        <f>SUM(D97:D105)</f>
        <v>1829308</v>
      </c>
      <c r="E106" s="280">
        <f>(+C106-D106)/D106</f>
        <v>0.12893728120141607</v>
      </c>
      <c r="F106" s="41">
        <f>SUM(F97:F105)</f>
        <v>1043981</v>
      </c>
      <c r="G106" s="41">
        <f>SUM(G97:G105)</f>
        <v>925451</v>
      </c>
      <c r="H106" s="42">
        <f>(+F106-G106)/G106</f>
        <v>0.12807809381588003</v>
      </c>
      <c r="I106" s="43">
        <f>K106/C106</f>
        <v>62.490786074200038</v>
      </c>
      <c r="J106" s="43">
        <f>K106/F106</f>
        <v>123.61752430360322</v>
      </c>
      <c r="K106" s="41">
        <f>SUM(K97:K105)</f>
        <v>129054346.63999999</v>
      </c>
      <c r="L106" s="41">
        <f>SUM(L97:L105)</f>
        <v>111998575.04000002</v>
      </c>
      <c r="M106" s="44">
        <f>(+K106-L106)/L106</f>
        <v>0.1522856125080925</v>
      </c>
      <c r="N106" s="10"/>
      <c r="R106" s="2"/>
    </row>
    <row r="107" spans="1:18" ht="15.75" customHeight="1" thickTop="1" x14ac:dyDescent="0.2">
      <c r="A107" s="54"/>
      <c r="B107" s="55"/>
      <c r="C107" s="55"/>
      <c r="D107" s="55"/>
      <c r="E107" s="56"/>
      <c r="F107" s="55"/>
      <c r="G107" s="55"/>
      <c r="H107" s="56"/>
      <c r="I107" s="55"/>
      <c r="J107" s="55"/>
      <c r="K107" s="196"/>
      <c r="L107" s="196"/>
      <c r="M107" s="57"/>
      <c r="N107" s="10"/>
      <c r="R107" s="2"/>
    </row>
    <row r="108" spans="1:18" ht="15.75" customHeight="1" x14ac:dyDescent="0.25">
      <c r="A108" s="19" t="s">
        <v>54</v>
      </c>
      <c r="B108" s="20">
        <f>DATE(2021,7,1)</f>
        <v>44378</v>
      </c>
      <c r="C108" s="21">
        <v>338901</v>
      </c>
      <c r="D108" s="21">
        <v>223492</v>
      </c>
      <c r="E108" s="23">
        <f t="shared" ref="E108:E115" si="45">(+C108-D108)/D108</f>
        <v>0.51638984840620694</v>
      </c>
      <c r="F108" s="21">
        <f>+C108-160819</f>
        <v>178082</v>
      </c>
      <c r="G108" s="21">
        <f>+D108-109534</f>
        <v>113958</v>
      </c>
      <c r="H108" s="23">
        <f t="shared" ref="H108:H115" si="46">(+F108-G108)/G108</f>
        <v>0.56269853805788095</v>
      </c>
      <c r="I108" s="24">
        <f t="shared" ref="I108:I115" si="47">K108/C108</f>
        <v>59.424074818309769</v>
      </c>
      <c r="J108" s="24">
        <f t="shared" ref="J108:J115" si="48">K108/F108</f>
        <v>113.08766961287496</v>
      </c>
      <c r="K108" s="21">
        <v>20138878.379999999</v>
      </c>
      <c r="L108" s="21">
        <v>15036571.48</v>
      </c>
      <c r="M108" s="25">
        <f t="shared" ref="M108:M115" si="49">(+K108-L108)/L108</f>
        <v>0.33932648189027187</v>
      </c>
      <c r="N108" s="10"/>
      <c r="R108" s="2"/>
    </row>
    <row r="109" spans="1:18" ht="15.75" customHeight="1" x14ac:dyDescent="0.25">
      <c r="A109" s="19"/>
      <c r="B109" s="20">
        <f>DATE(2021,8,1)</f>
        <v>44409</v>
      </c>
      <c r="C109" s="21">
        <v>315503</v>
      </c>
      <c r="D109" s="21">
        <v>243172</v>
      </c>
      <c r="E109" s="23">
        <f t="shared" si="45"/>
        <v>0.29744789696182128</v>
      </c>
      <c r="F109" s="21">
        <f>+C109-149989</f>
        <v>165514</v>
      </c>
      <c r="G109" s="21">
        <f>+D109-117936</f>
        <v>125236</v>
      </c>
      <c r="H109" s="23">
        <f t="shared" si="46"/>
        <v>0.32161678750519018</v>
      </c>
      <c r="I109" s="24">
        <f t="shared" si="47"/>
        <v>60.83894787054323</v>
      </c>
      <c r="J109" s="24">
        <f t="shared" si="48"/>
        <v>115.97128079799896</v>
      </c>
      <c r="K109" s="21">
        <v>19194870.57</v>
      </c>
      <c r="L109" s="21">
        <v>15861571.800000001</v>
      </c>
      <c r="M109" s="25">
        <f t="shared" si="49"/>
        <v>0.21014933526323032</v>
      </c>
      <c r="N109" s="10"/>
      <c r="R109" s="2"/>
    </row>
    <row r="110" spans="1:18" ht="15.75" customHeight="1" x14ac:dyDescent="0.25">
      <c r="A110" s="19"/>
      <c r="B110" s="20">
        <f>DATE(2021,9,1)</f>
        <v>44440</v>
      </c>
      <c r="C110" s="21">
        <v>329297</v>
      </c>
      <c r="D110" s="21">
        <v>258989</v>
      </c>
      <c r="E110" s="23">
        <f t="shared" si="45"/>
        <v>0.27147098911536782</v>
      </c>
      <c r="F110" s="21">
        <f>+C110-155913</f>
        <v>173384</v>
      </c>
      <c r="G110" s="21">
        <f>+D110-126754</f>
        <v>132235</v>
      </c>
      <c r="H110" s="23">
        <f t="shared" si="46"/>
        <v>0.3111808522705789</v>
      </c>
      <c r="I110" s="24">
        <f t="shared" si="47"/>
        <v>59.145045171987604</v>
      </c>
      <c r="J110" s="24">
        <f t="shared" si="48"/>
        <v>112.33035308909704</v>
      </c>
      <c r="K110" s="21">
        <v>19476285.940000001</v>
      </c>
      <c r="L110" s="21">
        <v>16406074.949999999</v>
      </c>
      <c r="M110" s="25">
        <f t="shared" si="49"/>
        <v>0.18713866658277106</v>
      </c>
      <c r="N110" s="10"/>
      <c r="R110" s="2"/>
    </row>
    <row r="111" spans="1:18" ht="15.75" customHeight="1" x14ac:dyDescent="0.25">
      <c r="A111" s="19"/>
      <c r="B111" s="20">
        <f>DATE(2021,10,1)</f>
        <v>44470</v>
      </c>
      <c r="C111" s="21">
        <v>343168</v>
      </c>
      <c r="D111" s="21">
        <v>272659</v>
      </c>
      <c r="E111" s="23">
        <f t="shared" si="45"/>
        <v>0.25859773563315352</v>
      </c>
      <c r="F111" s="21">
        <f>+C111-164416</f>
        <v>178752</v>
      </c>
      <c r="G111" s="21">
        <f>+D111-130567</f>
        <v>142092</v>
      </c>
      <c r="H111" s="23">
        <f t="shared" si="46"/>
        <v>0.25800185795118658</v>
      </c>
      <c r="I111" s="24">
        <f t="shared" si="47"/>
        <v>61.274948392624019</v>
      </c>
      <c r="J111" s="24">
        <f t="shared" si="48"/>
        <v>117.63561520989974</v>
      </c>
      <c r="K111" s="21">
        <v>21027601.489999998</v>
      </c>
      <c r="L111" s="21">
        <v>16384207.619999999</v>
      </c>
      <c r="M111" s="25">
        <f t="shared" si="49"/>
        <v>0.28340667902254035</v>
      </c>
      <c r="N111" s="10"/>
      <c r="R111" s="2"/>
    </row>
    <row r="112" spans="1:18" ht="15.75" customHeight="1" x14ac:dyDescent="0.25">
      <c r="A112" s="19"/>
      <c r="B112" s="20">
        <f>DATE(2021,11,1)</f>
        <v>44501</v>
      </c>
      <c r="C112" s="21">
        <v>319143</v>
      </c>
      <c r="D112" s="21">
        <v>229316</v>
      </c>
      <c r="E112" s="23">
        <f t="shared" si="45"/>
        <v>0.39171710652549319</v>
      </c>
      <c r="F112" s="21">
        <f>+C112-158694</f>
        <v>160449</v>
      </c>
      <c r="G112" s="21">
        <f>+D112-112072</f>
        <v>117244</v>
      </c>
      <c r="H112" s="23">
        <f t="shared" si="46"/>
        <v>0.36850499812357135</v>
      </c>
      <c r="I112" s="24">
        <f t="shared" si="47"/>
        <v>62.148735331810506</v>
      </c>
      <c r="J112" s="24">
        <f t="shared" si="48"/>
        <v>123.61768437322763</v>
      </c>
      <c r="K112" s="21">
        <v>19834333.84</v>
      </c>
      <c r="L112" s="21">
        <v>14486891.189999999</v>
      </c>
      <c r="M112" s="25">
        <f t="shared" si="49"/>
        <v>0.36912285595761424</v>
      </c>
      <c r="N112" s="10"/>
      <c r="R112" s="2"/>
    </row>
    <row r="113" spans="1:18" ht="15.75" customHeight="1" x14ac:dyDescent="0.25">
      <c r="A113" s="19"/>
      <c r="B113" s="20">
        <f>DATE(2021,12,1)</f>
        <v>44531</v>
      </c>
      <c r="C113" s="21">
        <v>337706</v>
      </c>
      <c r="D113" s="21">
        <v>224469</v>
      </c>
      <c r="E113" s="23">
        <f t="shared" si="45"/>
        <v>0.50446609554103239</v>
      </c>
      <c r="F113" s="21">
        <f>+C113-167775</f>
        <v>169931</v>
      </c>
      <c r="G113" s="21">
        <f>+D113-110658</f>
        <v>113811</v>
      </c>
      <c r="H113" s="23">
        <f t="shared" si="46"/>
        <v>0.49309820667598037</v>
      </c>
      <c r="I113" s="24">
        <f t="shared" si="47"/>
        <v>64.779938171071876</v>
      </c>
      <c r="J113" s="24">
        <f t="shared" si="48"/>
        <v>128.73798070981752</v>
      </c>
      <c r="K113" s="21">
        <v>21876573.800000001</v>
      </c>
      <c r="L113" s="21">
        <v>14094420.289999999</v>
      </c>
      <c r="M113" s="25">
        <f t="shared" si="49"/>
        <v>0.55214427765584972</v>
      </c>
      <c r="N113" s="10"/>
      <c r="R113" s="2"/>
    </row>
    <row r="114" spans="1:18" ht="15.75" customHeight="1" x14ac:dyDescent="0.25">
      <c r="A114" s="19"/>
      <c r="B114" s="20">
        <f>DATE(2022,1,1)</f>
        <v>44562</v>
      </c>
      <c r="C114" s="21">
        <v>310561</v>
      </c>
      <c r="D114" s="21">
        <v>245222</v>
      </c>
      <c r="E114" s="23">
        <f t="shared" si="45"/>
        <v>0.26644836107690173</v>
      </c>
      <c r="F114" s="21">
        <f>+C114-154923</f>
        <v>155638</v>
      </c>
      <c r="G114" s="21">
        <f>+D114-119074</f>
        <v>126148</v>
      </c>
      <c r="H114" s="23">
        <f t="shared" si="46"/>
        <v>0.23377302850619908</v>
      </c>
      <c r="I114" s="24">
        <f t="shared" si="47"/>
        <v>60.408094609432609</v>
      </c>
      <c r="J114" s="24">
        <f t="shared" si="48"/>
        <v>120.53867480949383</v>
      </c>
      <c r="K114" s="21">
        <v>18760398.27</v>
      </c>
      <c r="L114" s="21">
        <v>15688493.17</v>
      </c>
      <c r="M114" s="25">
        <f t="shared" si="49"/>
        <v>0.19580625536901067</v>
      </c>
      <c r="N114" s="10"/>
      <c r="R114" s="2"/>
    </row>
    <row r="115" spans="1:18" ht="15.75" customHeight="1" x14ac:dyDescent="0.25">
      <c r="A115" s="19"/>
      <c r="B115" s="20">
        <f>DATE(2022,2,1)</f>
        <v>44593</v>
      </c>
      <c r="C115" s="21">
        <v>301787</v>
      </c>
      <c r="D115" s="21">
        <v>206903</v>
      </c>
      <c r="E115" s="23">
        <f t="shared" si="45"/>
        <v>0.45859170722512482</v>
      </c>
      <c r="F115" s="21">
        <f>+C115-149992</f>
        <v>151795</v>
      </c>
      <c r="G115" s="21">
        <f>+D115-98743</f>
        <v>108160</v>
      </c>
      <c r="H115" s="23">
        <f t="shared" si="46"/>
        <v>0.40343010355029585</v>
      </c>
      <c r="I115" s="24">
        <f t="shared" si="47"/>
        <v>64.566578016945726</v>
      </c>
      <c r="J115" s="24">
        <f t="shared" si="48"/>
        <v>128.36624315688923</v>
      </c>
      <c r="K115" s="21">
        <v>19485353.879999999</v>
      </c>
      <c r="L115" s="21">
        <v>13345364.67</v>
      </c>
      <c r="M115" s="25">
        <f t="shared" si="49"/>
        <v>0.46008403380707313</v>
      </c>
      <c r="N115" s="10"/>
      <c r="R115" s="2"/>
    </row>
    <row r="116" spans="1:18" ht="15.75" customHeight="1" thickBot="1" x14ac:dyDescent="0.3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39" t="s">
        <v>14</v>
      </c>
      <c r="B117" s="40"/>
      <c r="C117" s="41">
        <f>SUM(C108:C116)</f>
        <v>2596066</v>
      </c>
      <c r="D117" s="41">
        <f>SUM(D108:D116)</f>
        <v>1904222</v>
      </c>
      <c r="E117" s="280">
        <f>(+C117-D117)/D117</f>
        <v>0.36332108336107871</v>
      </c>
      <c r="F117" s="41">
        <f>SUM(F108:F116)</f>
        <v>1333545</v>
      </c>
      <c r="G117" s="41">
        <f>SUM(G108:G116)</f>
        <v>978884</v>
      </c>
      <c r="H117" s="42">
        <f>(+F117-G117)/G117</f>
        <v>0.36231157113611012</v>
      </c>
      <c r="I117" s="43">
        <f>K117/C117</f>
        <v>61.552478315266249</v>
      </c>
      <c r="J117" s="43">
        <f>K117/F117</f>
        <v>119.82669963893231</v>
      </c>
      <c r="K117" s="41">
        <f>SUM(K108:K116)</f>
        <v>159794296.16999999</v>
      </c>
      <c r="L117" s="41">
        <f>SUM(L108:L116)</f>
        <v>121303595.17000002</v>
      </c>
      <c r="M117" s="44">
        <f>(+K117-L117)/L117</f>
        <v>0.31730882292530133</v>
      </c>
      <c r="N117" s="10"/>
      <c r="R117" s="2"/>
    </row>
    <row r="118" spans="1:18" ht="15.75" customHeight="1" thickTop="1" x14ac:dyDescent="0.2">
      <c r="A118" s="58"/>
      <c r="B118" s="59"/>
      <c r="C118" s="59"/>
      <c r="D118" s="59"/>
      <c r="E118" s="60"/>
      <c r="F118" s="59"/>
      <c r="G118" s="59"/>
      <c r="H118" s="60"/>
      <c r="I118" s="59"/>
      <c r="J118" s="59"/>
      <c r="K118" s="197"/>
      <c r="L118" s="197"/>
      <c r="M118" s="61"/>
      <c r="N118" s="10"/>
      <c r="R118" s="2"/>
    </row>
    <row r="119" spans="1:18" ht="15" customHeight="1" x14ac:dyDescent="0.25">
      <c r="A119" s="19" t="s">
        <v>55</v>
      </c>
      <c r="B119" s="20">
        <f>DATE(2021,7,1)</f>
        <v>44378</v>
      </c>
      <c r="C119" s="21">
        <v>54523</v>
      </c>
      <c r="D119" s="21">
        <v>43226</v>
      </c>
      <c r="E119" s="23">
        <f t="shared" ref="E119:E126" si="50">(+C119-D119)/D119</f>
        <v>0.26134733725072873</v>
      </c>
      <c r="F119" s="21">
        <f>+C119-27936</f>
        <v>26587</v>
      </c>
      <c r="G119" s="21">
        <f>+D119-22161</f>
        <v>21065</v>
      </c>
      <c r="H119" s="23">
        <f t="shared" ref="H119:H126" si="51">(+F119-G119)/G119</f>
        <v>0.26214099216710185</v>
      </c>
      <c r="I119" s="24">
        <f t="shared" ref="I119:I126" si="52">K119/C119</f>
        <v>66.702283806833819</v>
      </c>
      <c r="J119" s="24">
        <f t="shared" ref="J119:J126" si="53">K119/F119</f>
        <v>136.78898032873209</v>
      </c>
      <c r="K119" s="21">
        <v>3636808.62</v>
      </c>
      <c r="L119" s="21">
        <v>2973337.45</v>
      </c>
      <c r="M119" s="25">
        <f t="shared" ref="M119:M126" si="54">(+K119-L119)/L119</f>
        <v>0.22314021908276838</v>
      </c>
      <c r="N119" s="10"/>
      <c r="R119" s="2"/>
    </row>
    <row r="120" spans="1:18" ht="15" customHeight="1" x14ac:dyDescent="0.25">
      <c r="A120" s="19"/>
      <c r="B120" s="20">
        <f>DATE(2021,8,1)</f>
        <v>44409</v>
      </c>
      <c r="C120" s="21">
        <v>47684</v>
      </c>
      <c r="D120" s="21">
        <v>46706</v>
      </c>
      <c r="E120" s="23">
        <f t="shared" si="50"/>
        <v>2.0939493855179205E-2</v>
      </c>
      <c r="F120" s="21">
        <f>+C120-24640</f>
        <v>23044</v>
      </c>
      <c r="G120" s="21">
        <f>+D120-23797</f>
        <v>22909</v>
      </c>
      <c r="H120" s="23">
        <f t="shared" si="51"/>
        <v>5.8928805273036795E-3</v>
      </c>
      <c r="I120" s="24">
        <f t="shared" si="52"/>
        <v>67.626973198557167</v>
      </c>
      <c r="J120" s="24">
        <f t="shared" si="53"/>
        <v>139.93771003298039</v>
      </c>
      <c r="K120" s="21">
        <v>3224724.59</v>
      </c>
      <c r="L120" s="21">
        <v>3072719.82</v>
      </c>
      <c r="M120" s="25">
        <f t="shared" si="54"/>
        <v>4.9469127972754781E-2</v>
      </c>
      <c r="N120" s="10"/>
      <c r="R120" s="2"/>
    </row>
    <row r="121" spans="1:18" ht="15" customHeight="1" x14ac:dyDescent="0.25">
      <c r="A121" s="19"/>
      <c r="B121" s="20">
        <f>DATE(2021,9,1)</f>
        <v>44440</v>
      </c>
      <c r="C121" s="21">
        <v>47289</v>
      </c>
      <c r="D121" s="21">
        <v>44655</v>
      </c>
      <c r="E121" s="23">
        <f t="shared" si="50"/>
        <v>5.8985555928787368E-2</v>
      </c>
      <c r="F121" s="21">
        <f>+C121-24190</f>
        <v>23099</v>
      </c>
      <c r="G121" s="21">
        <f>+D121-22941</f>
        <v>21714</v>
      </c>
      <c r="H121" s="23">
        <f t="shared" si="51"/>
        <v>6.3783733996499947E-2</v>
      </c>
      <c r="I121" s="24">
        <f t="shared" si="52"/>
        <v>66.497497303812722</v>
      </c>
      <c r="J121" s="24">
        <f t="shared" si="53"/>
        <v>136.13576994675094</v>
      </c>
      <c r="K121" s="21">
        <v>3144600.15</v>
      </c>
      <c r="L121" s="21">
        <v>2816158.99</v>
      </c>
      <c r="M121" s="25">
        <f t="shared" si="54"/>
        <v>0.11662734993523916</v>
      </c>
      <c r="N121" s="10"/>
      <c r="R121" s="2"/>
    </row>
    <row r="122" spans="1:18" ht="15" customHeight="1" x14ac:dyDescent="0.25">
      <c r="A122" s="19"/>
      <c r="B122" s="20">
        <f>DATE(2021,10,1)</f>
        <v>44470</v>
      </c>
      <c r="C122" s="21">
        <v>51019</v>
      </c>
      <c r="D122" s="21">
        <v>42403</v>
      </c>
      <c r="E122" s="23">
        <f t="shared" si="50"/>
        <v>0.20319317029455464</v>
      </c>
      <c r="F122" s="21">
        <f>+C122-26626</f>
        <v>24393</v>
      </c>
      <c r="G122" s="21">
        <f>+D122-22277</f>
        <v>20126</v>
      </c>
      <c r="H122" s="23">
        <f t="shared" si="51"/>
        <v>0.21201430984795785</v>
      </c>
      <c r="I122" s="24">
        <f t="shared" si="52"/>
        <v>68.506604010270692</v>
      </c>
      <c r="J122" s="24">
        <f t="shared" si="53"/>
        <v>143.28448448325341</v>
      </c>
      <c r="K122" s="21">
        <v>3495138.43</v>
      </c>
      <c r="L122" s="21">
        <v>2872212.37</v>
      </c>
      <c r="M122" s="25">
        <f t="shared" si="54"/>
        <v>0.21688022324059555</v>
      </c>
      <c r="N122" s="10"/>
      <c r="R122" s="2"/>
    </row>
    <row r="123" spans="1:18" ht="15" customHeight="1" x14ac:dyDescent="0.25">
      <c r="A123" s="19"/>
      <c r="B123" s="20">
        <f>DATE(2021,11,1)</f>
        <v>44501</v>
      </c>
      <c r="C123" s="21">
        <v>42978</v>
      </c>
      <c r="D123" s="21">
        <v>37816</v>
      </c>
      <c r="E123" s="23">
        <f t="shared" si="50"/>
        <v>0.13650306748466257</v>
      </c>
      <c r="F123" s="21">
        <f>+C123-22231</f>
        <v>20747</v>
      </c>
      <c r="G123" s="21">
        <f>+D123-19316</f>
        <v>18500</v>
      </c>
      <c r="H123" s="23">
        <f t="shared" si="51"/>
        <v>0.12145945945945946</v>
      </c>
      <c r="I123" s="24">
        <f t="shared" si="52"/>
        <v>74.270796453999722</v>
      </c>
      <c r="J123" s="24">
        <f t="shared" si="53"/>
        <v>153.85406516604812</v>
      </c>
      <c r="K123" s="21">
        <v>3192010.29</v>
      </c>
      <c r="L123" s="21">
        <v>2647748.7999999998</v>
      </c>
      <c r="M123" s="25">
        <f t="shared" si="54"/>
        <v>0.20555631636958924</v>
      </c>
      <c r="N123" s="10"/>
      <c r="R123" s="2"/>
    </row>
    <row r="124" spans="1:18" ht="15" customHeight="1" x14ac:dyDescent="0.25">
      <c r="A124" s="19"/>
      <c r="B124" s="20">
        <f>DATE(2021,12,1)</f>
        <v>44531</v>
      </c>
      <c r="C124" s="21">
        <v>46732</v>
      </c>
      <c r="D124" s="21">
        <v>48198</v>
      </c>
      <c r="E124" s="23">
        <f t="shared" si="50"/>
        <v>-3.041619984231711E-2</v>
      </c>
      <c r="F124" s="21">
        <f>+C124-24398</f>
        <v>22334</v>
      </c>
      <c r="G124" s="21">
        <f>+D124-24463</f>
        <v>23735</v>
      </c>
      <c r="H124" s="23">
        <f t="shared" si="51"/>
        <v>-5.9026753739203706E-2</v>
      </c>
      <c r="I124" s="24">
        <f t="shared" si="52"/>
        <v>67.883801035692883</v>
      </c>
      <c r="J124" s="24">
        <f t="shared" si="53"/>
        <v>142.04109384794484</v>
      </c>
      <c r="K124" s="21">
        <v>3172345.79</v>
      </c>
      <c r="L124" s="21">
        <v>3323052.33</v>
      </c>
      <c r="M124" s="25">
        <f t="shared" si="54"/>
        <v>-4.5351840727708322E-2</v>
      </c>
      <c r="N124" s="10"/>
      <c r="R124" s="2"/>
    </row>
    <row r="125" spans="1:18" ht="15" customHeight="1" x14ac:dyDescent="0.25">
      <c r="A125" s="19"/>
      <c r="B125" s="20">
        <f>DATE(2022,1,1)</f>
        <v>44562</v>
      </c>
      <c r="C125" s="21">
        <v>38219</v>
      </c>
      <c r="D125" s="21">
        <v>49456</v>
      </c>
      <c r="E125" s="23">
        <f t="shared" si="50"/>
        <v>-0.22721206729213847</v>
      </c>
      <c r="F125" s="21">
        <f>+C125-20352</f>
        <v>17867</v>
      </c>
      <c r="G125" s="21">
        <f>+D125-25797</f>
        <v>23659</v>
      </c>
      <c r="H125" s="23">
        <f t="shared" si="51"/>
        <v>-0.24481169956464771</v>
      </c>
      <c r="I125" s="24">
        <f t="shared" si="52"/>
        <v>74.004938643083278</v>
      </c>
      <c r="J125" s="24">
        <f t="shared" si="53"/>
        <v>158.30272289696089</v>
      </c>
      <c r="K125" s="21">
        <v>2828394.75</v>
      </c>
      <c r="L125" s="21">
        <v>3510894.63</v>
      </c>
      <c r="M125" s="25">
        <f t="shared" si="54"/>
        <v>-0.19439486282731303</v>
      </c>
      <c r="N125" s="10"/>
      <c r="R125" s="2"/>
    </row>
    <row r="126" spans="1:18" ht="15" customHeight="1" x14ac:dyDescent="0.25">
      <c r="A126" s="19"/>
      <c r="B126" s="20">
        <f>DATE(2022,2,1)</f>
        <v>44593</v>
      </c>
      <c r="C126" s="21">
        <v>40513</v>
      </c>
      <c r="D126" s="21">
        <v>37429</v>
      </c>
      <c r="E126" s="23">
        <f t="shared" si="50"/>
        <v>8.2396003099201157E-2</v>
      </c>
      <c r="F126" s="21">
        <f>+C126-21623</f>
        <v>18890</v>
      </c>
      <c r="G126" s="21">
        <f>+D126-19952</f>
        <v>17477</v>
      </c>
      <c r="H126" s="23">
        <f t="shared" si="51"/>
        <v>8.0849115981003611E-2</v>
      </c>
      <c r="I126" s="24">
        <f t="shared" si="52"/>
        <v>73.4469397477353</v>
      </c>
      <c r="J126" s="24">
        <f t="shared" si="53"/>
        <v>157.52016251985177</v>
      </c>
      <c r="K126" s="21">
        <v>2975555.87</v>
      </c>
      <c r="L126" s="21">
        <v>2627318.7000000002</v>
      </c>
      <c r="M126" s="25">
        <f t="shared" si="54"/>
        <v>0.13254470042024208</v>
      </c>
      <c r="N126" s="10"/>
      <c r="R126" s="2"/>
    </row>
    <row r="127" spans="1:18" ht="15.75" thickBot="1" x14ac:dyDescent="0.25">
      <c r="A127" s="38"/>
      <c r="B127" s="20"/>
      <c r="C127" s="21"/>
      <c r="D127" s="21"/>
      <c r="E127" s="23"/>
      <c r="F127" s="21"/>
      <c r="G127" s="21"/>
      <c r="H127" s="23"/>
      <c r="I127" s="24"/>
      <c r="J127" s="24"/>
      <c r="K127" s="21"/>
      <c r="L127" s="21"/>
      <c r="M127" s="25"/>
      <c r="N127" s="10"/>
      <c r="R127" s="2"/>
    </row>
    <row r="128" spans="1:18" ht="17.25" thickTop="1" thickBot="1" x14ac:dyDescent="0.3">
      <c r="A128" s="62" t="s">
        <v>14</v>
      </c>
      <c r="B128" s="52"/>
      <c r="C128" s="48">
        <f>SUM(C119:C127)</f>
        <v>368957</v>
      </c>
      <c r="D128" s="48">
        <f>SUM(D119:D127)</f>
        <v>349889</v>
      </c>
      <c r="E128" s="280">
        <f>(+C128-D128)/D128</f>
        <v>5.4497283424171664E-2</v>
      </c>
      <c r="F128" s="48">
        <f>SUM(F119:F127)</f>
        <v>176961</v>
      </c>
      <c r="G128" s="48">
        <f>SUM(G119:G127)</f>
        <v>169185</v>
      </c>
      <c r="H128" s="42">
        <f>(+F128-G128)/G128</f>
        <v>4.5961521411472646E-2</v>
      </c>
      <c r="I128" s="50">
        <f>K128/C128</f>
        <v>69.573360825245217</v>
      </c>
      <c r="J128" s="50">
        <f>K128/F128</f>
        <v>145.05782906968201</v>
      </c>
      <c r="K128" s="48">
        <f>SUM(K119:K127)</f>
        <v>25669578.489999998</v>
      </c>
      <c r="L128" s="48">
        <f>SUM(L119:L127)</f>
        <v>23843443.089999996</v>
      </c>
      <c r="M128" s="44">
        <f>(+K128-L128)/L128</f>
        <v>7.6588577962798013E-2</v>
      </c>
      <c r="N128" s="10"/>
      <c r="R128" s="2"/>
    </row>
    <row r="129" spans="1:18" ht="15.75" customHeight="1" thickTop="1" x14ac:dyDescent="0.25">
      <c r="A129" s="19"/>
      <c r="B129" s="45"/>
      <c r="C129" s="21"/>
      <c r="D129" s="21"/>
      <c r="E129" s="23"/>
      <c r="F129" s="21"/>
      <c r="G129" s="21"/>
      <c r="H129" s="23"/>
      <c r="I129" s="24"/>
      <c r="J129" s="24"/>
      <c r="K129" s="21"/>
      <c r="L129" s="21"/>
      <c r="M129" s="25"/>
      <c r="N129" s="10"/>
      <c r="R129" s="2"/>
    </row>
    <row r="130" spans="1:18" ht="15.75" x14ac:dyDescent="0.25">
      <c r="A130" s="19" t="s">
        <v>17</v>
      </c>
      <c r="B130" s="20">
        <f>DATE(2021,7,1)</f>
        <v>44378</v>
      </c>
      <c r="C130" s="21">
        <v>395405</v>
      </c>
      <c r="D130" s="21">
        <v>316439</v>
      </c>
      <c r="E130" s="23">
        <f t="shared" ref="E130:E137" si="55">(+C130-D130)/D130</f>
        <v>0.24954572603250547</v>
      </c>
      <c r="F130" s="21">
        <f>+C130-202613</f>
        <v>192792</v>
      </c>
      <c r="G130" s="21">
        <f>+D130-163690</f>
        <v>152749</v>
      </c>
      <c r="H130" s="23">
        <f t="shared" ref="H130:H137" si="56">(+F130-G130)/G130</f>
        <v>0.26214901570550381</v>
      </c>
      <c r="I130" s="24">
        <f t="shared" ref="I130:I137" si="57">K130/C130</f>
        <v>66.968329004438488</v>
      </c>
      <c r="J130" s="24">
        <f t="shared" ref="J130:J137" si="58">K130/F130</f>
        <v>137.34808565708121</v>
      </c>
      <c r="K130" s="21">
        <v>26479612.129999999</v>
      </c>
      <c r="L130" s="21">
        <v>22725911.809999999</v>
      </c>
      <c r="M130" s="25">
        <f t="shared" ref="M130:M137" si="59">(+K130-L130)/L130</f>
        <v>0.1651727046810185</v>
      </c>
      <c r="N130" s="10"/>
      <c r="R130" s="2"/>
    </row>
    <row r="131" spans="1:18" ht="15.75" x14ac:dyDescent="0.25">
      <c r="A131" s="19"/>
      <c r="B131" s="20">
        <f>DATE(2021,8,1)</f>
        <v>44409</v>
      </c>
      <c r="C131" s="21">
        <v>360122</v>
      </c>
      <c r="D131" s="21">
        <v>305395</v>
      </c>
      <c r="E131" s="23">
        <f t="shared" si="55"/>
        <v>0.17920070728073478</v>
      </c>
      <c r="F131" s="21">
        <f>+C131-186327</f>
        <v>173795</v>
      </c>
      <c r="G131" s="21">
        <f>+D131-155433</f>
        <v>149962</v>
      </c>
      <c r="H131" s="23">
        <f t="shared" si="56"/>
        <v>0.15892692815513262</v>
      </c>
      <c r="I131" s="24">
        <f t="shared" si="57"/>
        <v>67.820609015833526</v>
      </c>
      <c r="J131" s="24">
        <f t="shared" si="58"/>
        <v>140.53162265887971</v>
      </c>
      <c r="K131" s="21">
        <v>24423693.359999999</v>
      </c>
      <c r="L131" s="21">
        <v>20775703.289999999</v>
      </c>
      <c r="M131" s="25">
        <f t="shared" si="59"/>
        <v>0.17558924572030699</v>
      </c>
      <c r="N131" s="10"/>
      <c r="R131" s="2"/>
    </row>
    <row r="132" spans="1:18" ht="15.75" x14ac:dyDescent="0.25">
      <c r="A132" s="19"/>
      <c r="B132" s="20">
        <f>DATE(2021,9,1)</f>
        <v>44440</v>
      </c>
      <c r="C132" s="21">
        <v>353289</v>
      </c>
      <c r="D132" s="21">
        <v>318244</v>
      </c>
      <c r="E132" s="23">
        <f t="shared" si="55"/>
        <v>0.11011990799512324</v>
      </c>
      <c r="F132" s="21">
        <f>+C132-183914</f>
        <v>169375</v>
      </c>
      <c r="G132" s="21">
        <f>+D132-166636</f>
        <v>151608</v>
      </c>
      <c r="H132" s="23">
        <f t="shared" si="56"/>
        <v>0.11719038573162366</v>
      </c>
      <c r="I132" s="24">
        <f t="shared" si="57"/>
        <v>67.247895802020437</v>
      </c>
      <c r="J132" s="24">
        <f t="shared" si="58"/>
        <v>140.26829142435423</v>
      </c>
      <c r="K132" s="21">
        <v>23757941.859999999</v>
      </c>
      <c r="L132" s="21">
        <v>20397277.649999999</v>
      </c>
      <c r="M132" s="25">
        <f t="shared" si="59"/>
        <v>0.16476042870358246</v>
      </c>
      <c r="N132" s="10"/>
      <c r="R132" s="2"/>
    </row>
    <row r="133" spans="1:18" ht="15.75" x14ac:dyDescent="0.25">
      <c r="A133" s="19"/>
      <c r="B133" s="20">
        <f>DATE(2021,10,1)</f>
        <v>44470</v>
      </c>
      <c r="C133" s="21">
        <v>364454</v>
      </c>
      <c r="D133" s="21">
        <v>334295</v>
      </c>
      <c r="E133" s="23">
        <f t="shared" si="55"/>
        <v>9.0216724749098851E-2</v>
      </c>
      <c r="F133" s="21">
        <f>+C133-184794</f>
        <v>179660</v>
      </c>
      <c r="G133" s="21">
        <f>+D133-175103</f>
        <v>159192</v>
      </c>
      <c r="H133" s="23">
        <f t="shared" si="56"/>
        <v>0.12857430021609126</v>
      </c>
      <c r="I133" s="24">
        <f t="shared" si="57"/>
        <v>73.070886010305827</v>
      </c>
      <c r="J133" s="24">
        <f t="shared" si="58"/>
        <v>148.22986023600134</v>
      </c>
      <c r="K133" s="21">
        <v>26630976.690000001</v>
      </c>
      <c r="L133" s="21">
        <v>21914196.890000001</v>
      </c>
      <c r="M133" s="25">
        <f t="shared" si="59"/>
        <v>0.21523854256107308</v>
      </c>
      <c r="N133" s="10"/>
      <c r="R133" s="2"/>
    </row>
    <row r="134" spans="1:18" ht="15.75" x14ac:dyDescent="0.25">
      <c r="A134" s="19"/>
      <c r="B134" s="20">
        <f>DATE(2021,11,1)</f>
        <v>44501</v>
      </c>
      <c r="C134" s="21">
        <v>343235</v>
      </c>
      <c r="D134" s="21">
        <v>292924</v>
      </c>
      <c r="E134" s="23">
        <f t="shared" si="55"/>
        <v>0.17175444825278913</v>
      </c>
      <c r="F134" s="21">
        <f>+C134-177609</f>
        <v>165626</v>
      </c>
      <c r="G134" s="21">
        <f>+D134-150746</f>
        <v>142178</v>
      </c>
      <c r="H134" s="23">
        <f t="shared" si="56"/>
        <v>0.1649200298217727</v>
      </c>
      <c r="I134" s="24">
        <f t="shared" si="57"/>
        <v>69.571718618439263</v>
      </c>
      <c r="J134" s="24">
        <f t="shared" si="58"/>
        <v>144.17693381473924</v>
      </c>
      <c r="K134" s="21">
        <v>23879448.84</v>
      </c>
      <c r="L134" s="21">
        <v>19060349.809999999</v>
      </c>
      <c r="M134" s="25">
        <f t="shared" si="59"/>
        <v>0.25283371386351283</v>
      </c>
      <c r="N134" s="10"/>
      <c r="R134" s="2"/>
    </row>
    <row r="135" spans="1:18" ht="15.75" x14ac:dyDescent="0.25">
      <c r="A135" s="19"/>
      <c r="B135" s="20">
        <f>DATE(2021,12,1)</f>
        <v>44531</v>
      </c>
      <c r="C135" s="21">
        <v>379724</v>
      </c>
      <c r="D135" s="21">
        <v>344056</v>
      </c>
      <c r="E135" s="23">
        <f t="shared" si="55"/>
        <v>0.10366917013509429</v>
      </c>
      <c r="F135" s="21">
        <f>+C135-197551</f>
        <v>182173</v>
      </c>
      <c r="G135" s="21">
        <f>+D135-176597</f>
        <v>167459</v>
      </c>
      <c r="H135" s="23">
        <f t="shared" si="56"/>
        <v>8.7866283687350333E-2</v>
      </c>
      <c r="I135" s="24">
        <f t="shared" si="57"/>
        <v>71.763074496213036</v>
      </c>
      <c r="J135" s="24">
        <f t="shared" si="58"/>
        <v>149.58397622040587</v>
      </c>
      <c r="K135" s="21">
        <v>27250161.699999999</v>
      </c>
      <c r="L135" s="21">
        <v>23881076.289999999</v>
      </c>
      <c r="M135" s="25">
        <f t="shared" si="59"/>
        <v>0.14107762016617217</v>
      </c>
      <c r="N135" s="10"/>
      <c r="R135" s="2"/>
    </row>
    <row r="136" spans="1:18" ht="15.75" x14ac:dyDescent="0.25">
      <c r="A136" s="19"/>
      <c r="B136" s="20">
        <f>DATE(2022,1,1)</f>
        <v>44562</v>
      </c>
      <c r="C136" s="21">
        <v>335416</v>
      </c>
      <c r="D136" s="21">
        <v>393510</v>
      </c>
      <c r="E136" s="23">
        <f t="shared" si="55"/>
        <v>-0.14763030164417676</v>
      </c>
      <c r="F136" s="21">
        <f>+C136-174643</f>
        <v>160773</v>
      </c>
      <c r="G136" s="21">
        <f>+D136-207236</f>
        <v>186274</v>
      </c>
      <c r="H136" s="23">
        <f t="shared" si="56"/>
        <v>-0.13690047993815563</v>
      </c>
      <c r="I136" s="24">
        <f t="shared" si="57"/>
        <v>72.549110179597875</v>
      </c>
      <c r="J136" s="24">
        <f t="shared" si="58"/>
        <v>151.35708321670927</v>
      </c>
      <c r="K136" s="21">
        <v>24334132.34</v>
      </c>
      <c r="L136" s="21">
        <v>25974745.73</v>
      </c>
      <c r="M136" s="25">
        <f t="shared" si="59"/>
        <v>-6.3161865261500694E-2</v>
      </c>
      <c r="N136" s="10"/>
      <c r="R136" s="2"/>
    </row>
    <row r="137" spans="1:18" ht="15.75" x14ac:dyDescent="0.25">
      <c r="A137" s="19"/>
      <c r="B137" s="20">
        <f>DATE(2022,2,1)</f>
        <v>44593</v>
      </c>
      <c r="C137" s="21">
        <v>330616</v>
      </c>
      <c r="D137" s="21">
        <v>319714</v>
      </c>
      <c r="E137" s="23">
        <f t="shared" si="55"/>
        <v>3.4099226183401415E-2</v>
      </c>
      <c r="F137" s="21">
        <f>+C137-173794</f>
        <v>156822</v>
      </c>
      <c r="G137" s="21">
        <f>+D137-169622</f>
        <v>150092</v>
      </c>
      <c r="H137" s="23">
        <f t="shared" si="56"/>
        <v>4.4839165311942007E-2</v>
      </c>
      <c r="I137" s="24">
        <f t="shared" si="57"/>
        <v>70.196413785176759</v>
      </c>
      <c r="J137" s="24">
        <f t="shared" si="58"/>
        <v>147.98980716991238</v>
      </c>
      <c r="K137" s="21">
        <v>23208057.539999999</v>
      </c>
      <c r="L137" s="21">
        <v>22035625.109999999</v>
      </c>
      <c r="M137" s="25">
        <f t="shared" si="59"/>
        <v>5.3206225108083614E-2</v>
      </c>
      <c r="N137" s="10"/>
      <c r="R137" s="2"/>
    </row>
    <row r="138" spans="1:18" ht="15.75" thickBot="1" x14ac:dyDescent="0.25">
      <c r="A138" s="38"/>
      <c r="B138" s="45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Top="1" thickBot="1" x14ac:dyDescent="0.3">
      <c r="A139" s="39" t="s">
        <v>14</v>
      </c>
      <c r="B139" s="40"/>
      <c r="C139" s="41">
        <f>SUM(C130:C138)</f>
        <v>2862261</v>
      </c>
      <c r="D139" s="41">
        <f>SUM(D130:D138)</f>
        <v>2624577</v>
      </c>
      <c r="E139" s="280">
        <f>(+C139-D139)/D139</f>
        <v>9.0560878953065582E-2</v>
      </c>
      <c r="F139" s="41">
        <f>SUM(F130:F138)</f>
        <v>1381016</v>
      </c>
      <c r="G139" s="41">
        <f>SUM(G130:G138)</f>
        <v>1259514</v>
      </c>
      <c r="H139" s="42">
        <f>(+F139-G139)/G139</f>
        <v>9.6467367571936483E-2</v>
      </c>
      <c r="I139" s="43">
        <f>K139/C139</f>
        <v>69.862260800115706</v>
      </c>
      <c r="J139" s="43">
        <f>K139/F139</f>
        <v>144.79486440417779</v>
      </c>
      <c r="K139" s="41">
        <f>SUM(K130:K138)</f>
        <v>199964024.45999998</v>
      </c>
      <c r="L139" s="41">
        <f>SUM(L130:L138)</f>
        <v>176764886.57999998</v>
      </c>
      <c r="M139" s="44">
        <f>(+K139-L139)/L139</f>
        <v>0.13124290875213254</v>
      </c>
      <c r="N139" s="10"/>
      <c r="R139" s="2"/>
    </row>
    <row r="140" spans="1:18" ht="15.75" customHeight="1" thickTop="1" x14ac:dyDescent="0.25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 x14ac:dyDescent="0.25">
      <c r="A141" s="19" t="s">
        <v>57</v>
      </c>
      <c r="B141" s="20">
        <f>DATE(2021,7,1)</f>
        <v>44378</v>
      </c>
      <c r="C141" s="21">
        <v>70527</v>
      </c>
      <c r="D141" s="21">
        <v>61338</v>
      </c>
      <c r="E141" s="23">
        <f t="shared" ref="E141:E148" si="60">(+C141-D141)/D141</f>
        <v>0.14980925364374451</v>
      </c>
      <c r="F141" s="21">
        <f>+C141-30135</f>
        <v>40392</v>
      </c>
      <c r="G141" s="21">
        <f>+D141-27914</f>
        <v>33424</v>
      </c>
      <c r="H141" s="23">
        <f t="shared" ref="H141:H148" si="61">(+F141-G141)/G141</f>
        <v>0.20847295356629966</v>
      </c>
      <c r="I141" s="24">
        <f t="shared" ref="I141:I148" si="62">K141/C141</f>
        <v>58.011039318275266</v>
      </c>
      <c r="J141" s="24">
        <f t="shared" ref="J141:J148" si="63">K141/F141</f>
        <v>101.29096281441869</v>
      </c>
      <c r="K141" s="21">
        <v>4091344.57</v>
      </c>
      <c r="L141" s="21">
        <v>3513092.29</v>
      </c>
      <c r="M141" s="25">
        <f t="shared" ref="M141:M148" si="64">(+K141-L141)/L141</f>
        <v>0.16459922833396437</v>
      </c>
      <c r="N141" s="10"/>
      <c r="R141" s="2"/>
    </row>
    <row r="142" spans="1:18" ht="15.75" x14ac:dyDescent="0.25">
      <c r="A142" s="19"/>
      <c r="B142" s="20">
        <f>DATE(2021,8,1)</f>
        <v>44409</v>
      </c>
      <c r="C142" s="21">
        <v>69916</v>
      </c>
      <c r="D142" s="21">
        <v>61855</v>
      </c>
      <c r="E142" s="23">
        <f t="shared" si="60"/>
        <v>0.13032091180987795</v>
      </c>
      <c r="F142" s="21">
        <f>+C142-30124</f>
        <v>39792</v>
      </c>
      <c r="G142" s="21">
        <f>+D142-27562</f>
        <v>34293</v>
      </c>
      <c r="H142" s="23">
        <f t="shared" si="61"/>
        <v>0.16035342489720936</v>
      </c>
      <c r="I142" s="24">
        <f t="shared" si="62"/>
        <v>56.214888723611196</v>
      </c>
      <c r="J142" s="24">
        <f t="shared" si="63"/>
        <v>98.771616405307597</v>
      </c>
      <c r="K142" s="21">
        <v>3930320.16</v>
      </c>
      <c r="L142" s="21">
        <v>3548299.04</v>
      </c>
      <c r="M142" s="25">
        <f t="shared" si="64"/>
        <v>0.10766316922375294</v>
      </c>
      <c r="N142" s="10"/>
      <c r="R142" s="2"/>
    </row>
    <row r="143" spans="1:18" ht="15.75" x14ac:dyDescent="0.25">
      <c r="A143" s="19"/>
      <c r="B143" s="20">
        <f>DATE(2021,9,1)</f>
        <v>44440</v>
      </c>
      <c r="C143" s="21">
        <v>66900</v>
      </c>
      <c r="D143" s="21">
        <v>58255</v>
      </c>
      <c r="E143" s="23">
        <f t="shared" si="60"/>
        <v>0.14839927903184277</v>
      </c>
      <c r="F143" s="21">
        <f>+C143-28690</f>
        <v>38210</v>
      </c>
      <c r="G143" s="21">
        <f>+D143-26013</f>
        <v>32242</v>
      </c>
      <c r="H143" s="23">
        <f t="shared" si="61"/>
        <v>0.18510017988958502</v>
      </c>
      <c r="I143" s="24">
        <f t="shared" si="62"/>
        <v>54.345169955156955</v>
      </c>
      <c r="J143" s="24">
        <f t="shared" si="63"/>
        <v>95.150271394922797</v>
      </c>
      <c r="K143" s="21">
        <v>3635691.87</v>
      </c>
      <c r="L143" s="21">
        <v>3207756.78</v>
      </c>
      <c r="M143" s="25">
        <f t="shared" si="64"/>
        <v>0.13340633949186145</v>
      </c>
      <c r="N143" s="10"/>
      <c r="R143" s="2"/>
    </row>
    <row r="144" spans="1:18" ht="15.75" x14ac:dyDescent="0.25">
      <c r="A144" s="19"/>
      <c r="B144" s="20">
        <f>DATE(2021,10,1)</f>
        <v>44470</v>
      </c>
      <c r="C144" s="21">
        <v>71041</v>
      </c>
      <c r="D144" s="21">
        <v>55328</v>
      </c>
      <c r="E144" s="23">
        <f t="shared" si="60"/>
        <v>0.28399725274725274</v>
      </c>
      <c r="F144" s="21">
        <f>+C144-30775</f>
        <v>40266</v>
      </c>
      <c r="G144" s="21">
        <f>+D144-22799</f>
        <v>32529</v>
      </c>
      <c r="H144" s="23">
        <f t="shared" si="61"/>
        <v>0.23784930369823851</v>
      </c>
      <c r="I144" s="24">
        <f t="shared" si="62"/>
        <v>58.034915893638882</v>
      </c>
      <c r="J144" s="24">
        <f t="shared" si="63"/>
        <v>102.39056424775245</v>
      </c>
      <c r="K144" s="21">
        <v>4122858.46</v>
      </c>
      <c r="L144" s="21">
        <v>2898446.12</v>
      </c>
      <c r="M144" s="25">
        <f t="shared" si="64"/>
        <v>0.42243750247805184</v>
      </c>
      <c r="N144" s="10"/>
      <c r="R144" s="2"/>
    </row>
    <row r="145" spans="1:18" ht="15.75" x14ac:dyDescent="0.25">
      <c r="A145" s="19"/>
      <c r="B145" s="20">
        <f>DATE(2021,11,1)</f>
        <v>44501</v>
      </c>
      <c r="C145" s="21">
        <v>63538</v>
      </c>
      <c r="D145" s="21">
        <v>49882</v>
      </c>
      <c r="E145" s="23">
        <f t="shared" si="60"/>
        <v>0.27376608796760354</v>
      </c>
      <c r="F145" s="21">
        <f>+C145-27532</f>
        <v>36006</v>
      </c>
      <c r="G145" s="21">
        <f>+D145-20773</f>
        <v>29109</v>
      </c>
      <c r="H145" s="23">
        <f t="shared" si="61"/>
        <v>0.23693702978460271</v>
      </c>
      <c r="I145" s="24">
        <f t="shared" si="62"/>
        <v>58.944575057445938</v>
      </c>
      <c r="J145" s="24">
        <f t="shared" si="63"/>
        <v>104.01656418374716</v>
      </c>
      <c r="K145" s="21">
        <v>3745220.41</v>
      </c>
      <c r="L145" s="21">
        <v>2559239.66</v>
      </c>
      <c r="M145" s="25">
        <f t="shared" si="64"/>
        <v>0.46341136726522908</v>
      </c>
      <c r="N145" s="10"/>
      <c r="R145" s="2"/>
    </row>
    <row r="146" spans="1:18" ht="15.75" x14ac:dyDescent="0.25">
      <c r="A146" s="19"/>
      <c r="B146" s="20">
        <f>DATE(2021,12,1)</f>
        <v>44531</v>
      </c>
      <c r="C146" s="21">
        <v>69761</v>
      </c>
      <c r="D146" s="21">
        <v>53490</v>
      </c>
      <c r="E146" s="23">
        <f t="shared" si="60"/>
        <v>0.30418769863525891</v>
      </c>
      <c r="F146" s="21">
        <f>+C146-31055</f>
        <v>38706</v>
      </c>
      <c r="G146" s="21">
        <f>+D146-22512</f>
        <v>30978</v>
      </c>
      <c r="H146" s="23">
        <f t="shared" si="61"/>
        <v>0.2494673639356963</v>
      </c>
      <c r="I146" s="24">
        <f t="shared" si="62"/>
        <v>59.03780880434627</v>
      </c>
      <c r="J146" s="24">
        <f t="shared" si="63"/>
        <v>106.40563685216762</v>
      </c>
      <c r="K146" s="21">
        <v>4118536.58</v>
      </c>
      <c r="L146" s="21">
        <v>2814228.51</v>
      </c>
      <c r="M146" s="25">
        <f t="shared" si="64"/>
        <v>0.46346914096183339</v>
      </c>
      <c r="N146" s="10"/>
      <c r="R146" s="2"/>
    </row>
    <row r="147" spans="1:18" ht="15.75" x14ac:dyDescent="0.25">
      <c r="A147" s="19"/>
      <c r="B147" s="20">
        <f>DATE(2022,1,1)</f>
        <v>44562</v>
      </c>
      <c r="C147" s="21">
        <v>58380</v>
      </c>
      <c r="D147" s="21">
        <v>60656</v>
      </c>
      <c r="E147" s="23">
        <f t="shared" si="60"/>
        <v>-3.7523080981271432E-2</v>
      </c>
      <c r="F147" s="21">
        <f>+C147-26040</f>
        <v>32340</v>
      </c>
      <c r="G147" s="21">
        <f>+D147-26102</f>
        <v>34554</v>
      </c>
      <c r="H147" s="23">
        <f t="shared" si="61"/>
        <v>-6.4073623893036988E-2</v>
      </c>
      <c r="I147" s="24">
        <f t="shared" si="62"/>
        <v>60.666218396711201</v>
      </c>
      <c r="J147" s="24">
        <f t="shared" si="63"/>
        <v>109.51434230055659</v>
      </c>
      <c r="K147" s="21">
        <v>3541693.83</v>
      </c>
      <c r="L147" s="21">
        <v>3145575.75</v>
      </c>
      <c r="M147" s="25">
        <f t="shared" si="64"/>
        <v>0.12592864120344266</v>
      </c>
      <c r="N147" s="10"/>
      <c r="R147" s="2"/>
    </row>
    <row r="148" spans="1:18" ht="15.75" x14ac:dyDescent="0.25">
      <c r="A148" s="19"/>
      <c r="B148" s="20">
        <f>DATE(2022,2,1)</f>
        <v>44593</v>
      </c>
      <c r="C148" s="21">
        <v>66748</v>
      </c>
      <c r="D148" s="21">
        <v>50775</v>
      </c>
      <c r="E148" s="23">
        <f t="shared" si="60"/>
        <v>0.31458394879369767</v>
      </c>
      <c r="F148" s="21">
        <f>+C148-30082</f>
        <v>36666</v>
      </c>
      <c r="G148" s="21">
        <f>+D148-21966</f>
        <v>28809</v>
      </c>
      <c r="H148" s="23">
        <f t="shared" si="61"/>
        <v>0.27272727272727271</v>
      </c>
      <c r="I148" s="24">
        <f t="shared" si="62"/>
        <v>60.519741715107571</v>
      </c>
      <c r="J148" s="24">
        <f t="shared" si="63"/>
        <v>110.17214094801724</v>
      </c>
      <c r="K148" s="21">
        <v>4039571.72</v>
      </c>
      <c r="L148" s="21">
        <v>2813909.67</v>
      </c>
      <c r="M148" s="25">
        <f t="shared" si="64"/>
        <v>0.43557263513721828</v>
      </c>
      <c r="N148" s="10"/>
      <c r="R148" s="2"/>
    </row>
    <row r="149" spans="1:18" ht="15.75" thickBot="1" x14ac:dyDescent="0.25">
      <c r="A149" s="38"/>
      <c r="B149" s="45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26" t="s">
        <v>14</v>
      </c>
      <c r="B150" s="27"/>
      <c r="C150" s="28">
        <f>SUM(C141:C149)</f>
        <v>536811</v>
      </c>
      <c r="D150" s="28">
        <f>SUM(D141:D149)</f>
        <v>451579</v>
      </c>
      <c r="E150" s="280">
        <f>(+C150-D150)/D150</f>
        <v>0.18874216914426933</v>
      </c>
      <c r="F150" s="28">
        <f>SUM(F141:F149)</f>
        <v>302378</v>
      </c>
      <c r="G150" s="28">
        <f>SUM(G141:G149)</f>
        <v>255938</v>
      </c>
      <c r="H150" s="42">
        <f>(+F150-G150)/G150</f>
        <v>0.18145019496909406</v>
      </c>
      <c r="I150" s="43">
        <f>K150/C150</f>
        <v>58.168028598519783</v>
      </c>
      <c r="J150" s="43">
        <f>K150/F150</f>
        <v>103.26557355363155</v>
      </c>
      <c r="K150" s="28">
        <f>SUM(K141:K149)</f>
        <v>31225237.600000001</v>
      </c>
      <c r="L150" s="28">
        <f>SUM(L141:L149)</f>
        <v>24500547.82</v>
      </c>
      <c r="M150" s="44">
        <f>(+K150-L150)/L150</f>
        <v>0.27447099670606473</v>
      </c>
      <c r="N150" s="10"/>
      <c r="R150" s="2"/>
    </row>
    <row r="151" spans="1:18" ht="16.5" thickTop="1" thickBot="1" x14ac:dyDescent="0.25">
      <c r="A151" s="63"/>
      <c r="B151" s="34"/>
      <c r="C151" s="35"/>
      <c r="D151" s="35"/>
      <c r="E151" s="29"/>
      <c r="F151" s="35"/>
      <c r="G151" s="35"/>
      <c r="H151" s="29"/>
      <c r="I151" s="36"/>
      <c r="J151" s="36"/>
      <c r="K151" s="35"/>
      <c r="L151" s="35"/>
      <c r="M151" s="37"/>
      <c r="N151" s="10"/>
      <c r="R151" s="2"/>
    </row>
    <row r="152" spans="1:18" ht="17.25" thickTop="1" thickBot="1" x14ac:dyDescent="0.3">
      <c r="A152" s="64" t="s">
        <v>18</v>
      </c>
      <c r="B152" s="65"/>
      <c r="C152" s="28">
        <f>C150+C139+C62+C84+C95+C40+C18+C106+C117+C51+C128+C29+C73</f>
        <v>19758296</v>
      </c>
      <c r="D152" s="28">
        <f>D150+D139+D62+D84+D95+D40+D18+D106+D117+D51+D128+D29+D73</f>
        <v>17013158</v>
      </c>
      <c r="E152" s="279">
        <f>(+C152-D152)/D152</f>
        <v>0.16135381802719989</v>
      </c>
      <c r="F152" s="28">
        <f>F150+F139+F62+F84+F95+F40+F18+F106+F117+F51+F128+F29+F73</f>
        <v>9981221</v>
      </c>
      <c r="G152" s="28">
        <f>G150+G139+G62+G84+G95+G40+G18+G106+G117+G51+G128+G29+G73</f>
        <v>8649170</v>
      </c>
      <c r="H152" s="30">
        <f>(+F152-G152)/G152</f>
        <v>0.15400911301315617</v>
      </c>
      <c r="I152" s="31">
        <f>K152/C152</f>
        <v>62.785916640787235</v>
      </c>
      <c r="J152" s="31">
        <f>K152/F152</f>
        <v>124.28767238196609</v>
      </c>
      <c r="K152" s="28">
        <f>K150+K139+K62+K84+K95+K40+K18+K106+K117+K51+K128+K29+K73</f>
        <v>1240542725.6199999</v>
      </c>
      <c r="L152" s="28">
        <f>L150+L139+L62+L84+L95+L40+L18+L106+L117+L51+L128+L29+L73</f>
        <v>1048915899.0300002</v>
      </c>
      <c r="M152" s="32">
        <f>(+K152-L152)/L152</f>
        <v>0.1826903632285575</v>
      </c>
      <c r="N152" s="10"/>
      <c r="R152" s="2"/>
    </row>
    <row r="153" spans="1:18" ht="17.25" thickTop="1" thickBot="1" x14ac:dyDescent="0.3">
      <c r="A153" s="64"/>
      <c r="B153" s="65"/>
      <c r="C153" s="28"/>
      <c r="D153" s="28"/>
      <c r="E153" s="29"/>
      <c r="F153" s="28"/>
      <c r="G153" s="28"/>
      <c r="H153" s="30"/>
      <c r="I153" s="31"/>
      <c r="J153" s="31"/>
      <c r="K153" s="28"/>
      <c r="L153" s="28"/>
      <c r="M153" s="32"/>
      <c r="N153" s="10"/>
      <c r="R153" s="2"/>
    </row>
    <row r="154" spans="1:18" ht="17.25" thickTop="1" thickBot="1" x14ac:dyDescent="0.3">
      <c r="A154" s="64" t="s">
        <v>19</v>
      </c>
      <c r="B154" s="65"/>
      <c r="C154" s="28">
        <f>SUM(C16+C27+C38+C49+C60+C71+C82+C93+C104+C115+C126+C137+C148)</f>
        <v>2272412</v>
      </c>
      <c r="D154" s="28">
        <f>SUM(D16+D27+D38+D49+D60+D71+D82+D93+D104+D115+D126+D137+D148)</f>
        <v>1958138</v>
      </c>
      <c r="E154" s="279">
        <f>(+C154-D154)/D154</f>
        <v>0.16049634908264893</v>
      </c>
      <c r="F154" s="28">
        <f>SUM(F16+F27+F38+F49+F60+F71+F82+F93+F104+F115+F126+F137+F148)</f>
        <v>1126069</v>
      </c>
      <c r="G154" s="28">
        <f>SUM(G16+G27+G38+G49+G60+G71+G82+G93+G104+G115+G126+G137+G148)</f>
        <v>985551</v>
      </c>
      <c r="H154" s="30">
        <f>(+F154-G154)/G154</f>
        <v>0.1425781111276839</v>
      </c>
      <c r="I154" s="31">
        <f>K154/C154</f>
        <v>64.142469741402536</v>
      </c>
      <c r="J154" s="31">
        <f>K154/F154</f>
        <v>129.43977496050422</v>
      </c>
      <c r="K154" s="28">
        <f>SUM(K16+K27+K38+K49+K60+K71+K82+K93+K104+K115+K126+K137+K148)</f>
        <v>145758117.95000002</v>
      </c>
      <c r="L154" s="28">
        <f>SUM(L16+L27+L38+L49+L60+L71+L82+L93+L104+L115+L126+L137+L148)</f>
        <v>122646158.14000002</v>
      </c>
      <c r="M154" s="32">
        <f>(+K154-L154)/L154</f>
        <v>0.18844422165770416</v>
      </c>
      <c r="N154" s="10"/>
      <c r="R154" s="2"/>
    </row>
    <row r="155" spans="1:18" ht="15.75" thickTop="1" x14ac:dyDescent="0.2">
      <c r="A155" s="66"/>
      <c r="B155" s="67"/>
      <c r="C155" s="68"/>
      <c r="D155" s="67"/>
      <c r="E155" s="67"/>
      <c r="F155" s="67"/>
      <c r="G155" s="67"/>
      <c r="H155" s="67"/>
      <c r="I155" s="67"/>
      <c r="J155" s="67"/>
      <c r="K155" s="68"/>
      <c r="L155" s="68"/>
      <c r="M155" s="67"/>
      <c r="R155" s="2"/>
    </row>
    <row r="156" spans="1:18" ht="18.75" x14ac:dyDescent="0.3">
      <c r="A156" s="264" t="s">
        <v>20</v>
      </c>
      <c r="B156" s="70"/>
      <c r="C156" s="71"/>
      <c r="D156" s="71"/>
      <c r="E156" s="71"/>
      <c r="F156" s="71"/>
      <c r="G156" s="71"/>
      <c r="H156" s="71"/>
      <c r="I156" s="71"/>
      <c r="J156" s="71"/>
      <c r="K156" s="198"/>
      <c r="L156" s="198"/>
      <c r="M156" s="71"/>
      <c r="N156" s="2"/>
      <c r="O156" s="2"/>
      <c r="P156" s="2"/>
      <c r="Q156" s="2"/>
      <c r="R156" s="2"/>
    </row>
    <row r="157" spans="1:18" ht="18" x14ac:dyDescent="0.25">
      <c r="A157" s="69"/>
      <c r="B157" s="70"/>
      <c r="C157" s="71"/>
      <c r="D157" s="71"/>
      <c r="E157" s="71"/>
      <c r="F157" s="71"/>
      <c r="G157" s="71"/>
      <c r="H157" s="71"/>
      <c r="I157" s="71"/>
      <c r="J157" s="71"/>
      <c r="K157" s="198"/>
      <c r="L157" s="198"/>
      <c r="M157" s="71"/>
      <c r="N157" s="2"/>
      <c r="O157" s="2"/>
      <c r="P157" s="2"/>
      <c r="Q157" s="2"/>
      <c r="R157" s="2"/>
    </row>
    <row r="158" spans="1:18" ht="15.75" x14ac:dyDescent="0.25">
      <c r="A158" s="72"/>
      <c r="B158" s="73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3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3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3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3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3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3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4"/>
      <c r="N167" s="2"/>
      <c r="O167" s="2"/>
      <c r="P167" s="2"/>
      <c r="Q167" s="2"/>
      <c r="R167" s="2"/>
    </row>
    <row r="168" spans="1:18" x14ac:dyDescent="0.2">
      <c r="A168" s="2"/>
      <c r="B168" s="73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4"/>
      <c r="N168" s="2"/>
      <c r="O168" s="2"/>
      <c r="P168" s="2"/>
      <c r="Q168" s="2"/>
      <c r="R168" s="2"/>
    </row>
    <row r="169" spans="1:18" x14ac:dyDescent="0.2">
      <c r="A169" s="2"/>
      <c r="B169" s="70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4"/>
      <c r="N169" s="2"/>
      <c r="O169" s="2"/>
      <c r="P169" s="2"/>
      <c r="Q169" s="2"/>
      <c r="R169" s="2"/>
    </row>
    <row r="170" spans="1:18" ht="15.75" x14ac:dyDescent="0.25">
      <c r="A170" s="76"/>
      <c r="B170" s="70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.75" x14ac:dyDescent="0.25">
      <c r="A171" s="76"/>
      <c r="B171" s="70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.75" x14ac:dyDescent="0.25">
      <c r="A172" s="76"/>
      <c r="B172" s="70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0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77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 x14ac:dyDescent="0.25">
      <c r="A187" s="76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.75" x14ac:dyDescent="0.25">
      <c r="A190" s="76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7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7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7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7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 x14ac:dyDescent="0.25">
      <c r="A205" s="76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.75" x14ac:dyDescent="0.25">
      <c r="A208" s="76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 x14ac:dyDescent="0.25">
      <c r="A214" s="76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76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12" man="1"/>
    <brk id="95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STATS'!$C$20*2</f>
        <v>232214</v>
      </c>
      <c r="D10" s="89">
        <f>'MONTHLY STATS'!$C$31*2</f>
        <v>133674</v>
      </c>
      <c r="E10" s="89">
        <f>'MONTHLY STATS'!$C$42*2</f>
        <v>674450</v>
      </c>
      <c r="F10" s="89">
        <f>'MONTHLY STATS'!$C$53*2</f>
        <v>512458</v>
      </c>
      <c r="G10" s="89">
        <f>'MONTHLY STATS'!$C$64*2</f>
        <v>208586</v>
      </c>
      <c r="H10" s="89">
        <f>'MONTHLY STATS'!$C$75*2</f>
        <v>449386</v>
      </c>
      <c r="I10" s="89">
        <f>'MONTHLY STATS'!$C$86*2</f>
        <v>502180</v>
      </c>
      <c r="J10" s="89">
        <f>'MONTHLY STATS'!$C$97*2</f>
        <v>585252</v>
      </c>
      <c r="K10" s="89">
        <f>'MONTHLY STATS'!$C$108*2</f>
        <v>677802</v>
      </c>
      <c r="L10" s="89">
        <f>'MONTHLY STATS'!$C$119*2</f>
        <v>109046</v>
      </c>
      <c r="M10" s="89">
        <f>'MONTHLY STATS'!$C$130*2</f>
        <v>790810</v>
      </c>
      <c r="N10" s="89">
        <f>'MONTHLY STATS'!$C$141*2</f>
        <v>141054</v>
      </c>
      <c r="O10" s="90">
        <f t="shared" ref="O10:O15" si="0"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449698</v>
      </c>
      <c r="C11" s="89">
        <f>'MONTHLY STATS'!$C$21*2</f>
        <v>206706</v>
      </c>
      <c r="D11" s="89">
        <f>'MONTHLY STATS'!$C$32*2</f>
        <v>112224</v>
      </c>
      <c r="E11" s="89">
        <f>'MONTHLY STATS'!$C$43*2</f>
        <v>604600</v>
      </c>
      <c r="F11" s="89">
        <f>'MONTHLY STATS'!$C$54*2</f>
        <v>465706</v>
      </c>
      <c r="G11" s="89">
        <f>'MONTHLY STATS'!$C$65*2</f>
        <v>186244</v>
      </c>
      <c r="H11" s="89">
        <f>'MONTHLY STATS'!$C$76*2</f>
        <v>507374</v>
      </c>
      <c r="I11" s="89">
        <f>'MONTHLY STATS'!$C$87*2</f>
        <v>430958</v>
      </c>
      <c r="J11" s="89">
        <f>'MONTHLY STATS'!$C$98*2</f>
        <v>505624</v>
      </c>
      <c r="K11" s="89">
        <f>'MONTHLY STATS'!$C$109*2</f>
        <v>631006</v>
      </c>
      <c r="L11" s="89">
        <f>'MONTHLY STATS'!$C$120*2</f>
        <v>95368</v>
      </c>
      <c r="M11" s="89">
        <f>'MONTHLY STATS'!$C$131*2</f>
        <v>720244</v>
      </c>
      <c r="N11" s="89">
        <f>'MONTHLY STATS'!$C$142*2</f>
        <v>139832</v>
      </c>
      <c r="O11" s="90">
        <f t="shared" si="0"/>
        <v>5055584</v>
      </c>
      <c r="P11" s="83"/>
    </row>
    <row r="12" spans="1:16" ht="15.75" x14ac:dyDescent="0.25">
      <c r="A12" s="88">
        <f>DATE(2021,9,1)</f>
        <v>44440</v>
      </c>
      <c r="B12" s="89">
        <f>'MONTHLY STATS'!$C$11*2</f>
        <v>412100</v>
      </c>
      <c r="C12" s="89">
        <f>'MONTHLY STATS'!$C$22*2</f>
        <v>207192</v>
      </c>
      <c r="D12" s="89">
        <f>'MONTHLY STATS'!$C$33*2</f>
        <v>116168</v>
      </c>
      <c r="E12" s="89">
        <f>'MONTHLY STATS'!$C$44*2</f>
        <v>672284</v>
      </c>
      <c r="F12" s="89">
        <f>'MONTHLY STATS'!$C$55*2</f>
        <v>448838</v>
      </c>
      <c r="G12" s="89">
        <f>'MONTHLY STATS'!$C$66*2</f>
        <v>184408</v>
      </c>
      <c r="H12" s="89">
        <f>'MONTHLY STATS'!$C$77*2</f>
        <v>471842</v>
      </c>
      <c r="I12" s="89">
        <f>'MONTHLY STATS'!$C$88*2</f>
        <v>427862</v>
      </c>
      <c r="J12" s="89">
        <f>'MONTHLY STATS'!$C$99*2</f>
        <v>491984</v>
      </c>
      <c r="K12" s="89">
        <f>'MONTHLY STATS'!$C$110*2</f>
        <v>658594</v>
      </c>
      <c r="L12" s="89">
        <f>'MONTHLY STATS'!$C$121*2</f>
        <v>94578</v>
      </c>
      <c r="M12" s="89">
        <f>'MONTHLY STATS'!$C$132*2</f>
        <v>706578</v>
      </c>
      <c r="N12" s="89">
        <f>'MONTHLY STATS'!$C$143*2</f>
        <v>133800</v>
      </c>
      <c r="O12" s="90">
        <f t="shared" si="0"/>
        <v>5026228</v>
      </c>
      <c r="P12" s="83"/>
    </row>
    <row r="13" spans="1:16" ht="15.75" x14ac:dyDescent="0.25">
      <c r="A13" s="88">
        <f>DATE(2021,10,1)</f>
        <v>44470</v>
      </c>
      <c r="B13" s="89">
        <f>'MONTHLY STATS'!$C$12*2</f>
        <v>439076</v>
      </c>
      <c r="C13" s="89">
        <f>'MONTHLY STATS'!$C$23*2</f>
        <v>220158</v>
      </c>
      <c r="D13" s="89">
        <f>'MONTHLY STATS'!$C$34*2</f>
        <v>115720</v>
      </c>
      <c r="E13" s="89">
        <f>'MONTHLY STATS'!$C$45*2</f>
        <v>667614</v>
      </c>
      <c r="F13" s="89">
        <f>'MONTHLY STATS'!$C$56*2</f>
        <v>463784</v>
      </c>
      <c r="G13" s="89">
        <f>'MONTHLY STATS'!$C$67*2</f>
        <v>186650</v>
      </c>
      <c r="H13" s="89">
        <f>'MONTHLY STATS'!$C$78*2</f>
        <v>443600</v>
      </c>
      <c r="I13" s="89">
        <f>'MONTHLY STATS'!$C$89*2</f>
        <v>425830</v>
      </c>
      <c r="J13" s="89">
        <f>'MONTHLY STATS'!$C$100*2</f>
        <v>531886</v>
      </c>
      <c r="K13" s="89">
        <f>'MONTHLY STATS'!$C$111*2</f>
        <v>686336</v>
      </c>
      <c r="L13" s="89">
        <f>'MONTHLY STATS'!$C$122*2</f>
        <v>102038</v>
      </c>
      <c r="M13" s="89">
        <f>'MONTHLY STATS'!$C$133*2</f>
        <v>728908</v>
      </c>
      <c r="N13" s="89">
        <f>'MONTHLY STATS'!$C$144*2</f>
        <v>142082</v>
      </c>
      <c r="O13" s="90">
        <f t="shared" si="0"/>
        <v>5153682</v>
      </c>
      <c r="P13" s="83"/>
    </row>
    <row r="14" spans="1:16" ht="15.75" x14ac:dyDescent="0.25">
      <c r="A14" s="88">
        <f>DATE(2021,11,1)</f>
        <v>44501</v>
      </c>
      <c r="B14" s="89">
        <f>'MONTHLY STATS'!$C$13*2</f>
        <v>402662</v>
      </c>
      <c r="C14" s="89">
        <f>'MONTHLY STATS'!$C$24*2</f>
        <v>190628</v>
      </c>
      <c r="D14" s="89">
        <f>'MONTHLY STATS'!$C$35*2</f>
        <v>103506</v>
      </c>
      <c r="E14" s="89">
        <f>'MONTHLY STATS'!$C$46*2</f>
        <v>606872</v>
      </c>
      <c r="F14" s="89">
        <f>'MONTHLY STATS'!$C$57*2</f>
        <v>439354</v>
      </c>
      <c r="G14" s="89">
        <f>'MONTHLY STATS'!$C$68*2</f>
        <v>175200</v>
      </c>
      <c r="H14" s="89">
        <f>'MONTHLY STATS'!$C$79*2</f>
        <v>404266</v>
      </c>
      <c r="I14" s="89">
        <f>'MONTHLY STATS'!$C$90*2</f>
        <v>368842</v>
      </c>
      <c r="J14" s="89">
        <f>'MONTHLY STATS'!$C$101*2</f>
        <v>503654</v>
      </c>
      <c r="K14" s="89">
        <f>'MONTHLY STATS'!$C$112*2</f>
        <v>638286</v>
      </c>
      <c r="L14" s="89">
        <f>'MONTHLY STATS'!$C$123*2</f>
        <v>85956</v>
      </c>
      <c r="M14" s="89">
        <f>'MONTHLY STATS'!$C$134*2</f>
        <v>686470</v>
      </c>
      <c r="N14" s="89">
        <f>'MONTHLY STATS'!$C$145*2</f>
        <v>127076</v>
      </c>
      <c r="O14" s="90">
        <f t="shared" si="0"/>
        <v>4732772</v>
      </c>
      <c r="P14" s="83"/>
    </row>
    <row r="15" spans="1:16" ht="15.75" x14ac:dyDescent="0.25">
      <c r="A15" s="88">
        <f>DATE(2021,12,1)</f>
        <v>44531</v>
      </c>
      <c r="B15" s="89">
        <f>'MONTHLY STATS'!$C$14*2</f>
        <v>425362</v>
      </c>
      <c r="C15" s="89">
        <f>'MONTHLY STATS'!$C$25*2</f>
        <v>209106</v>
      </c>
      <c r="D15" s="89">
        <f>'MONTHLY STATS'!$C$36*2</f>
        <v>114218</v>
      </c>
      <c r="E15" s="89">
        <f>'MONTHLY STATS'!$C$47*2</f>
        <v>627794</v>
      </c>
      <c r="F15" s="89">
        <f>'MONTHLY STATS'!$C$58*2</f>
        <v>466760</v>
      </c>
      <c r="G15" s="89">
        <f>'MONTHLY STATS'!$C$69*2</f>
        <v>195630</v>
      </c>
      <c r="H15" s="89">
        <f>'MONTHLY STATS'!$C$80*2</f>
        <v>411716</v>
      </c>
      <c r="I15" s="89">
        <f>'MONTHLY STATS'!$C$91*2</f>
        <v>422928</v>
      </c>
      <c r="J15" s="89">
        <f>'MONTHLY STATS'!$C$102*2</f>
        <v>536030</v>
      </c>
      <c r="K15" s="89">
        <f>'MONTHLY STATS'!$C$113*2</f>
        <v>675412</v>
      </c>
      <c r="L15" s="89">
        <f>'MONTHLY STATS'!$C$124*2</f>
        <v>93464</v>
      </c>
      <c r="M15" s="89">
        <f>'MONTHLY STATS'!$C$135*2</f>
        <v>759448</v>
      </c>
      <c r="N15" s="89">
        <f>'MONTHLY STATS'!$C$146*2</f>
        <v>139522</v>
      </c>
      <c r="O15" s="90">
        <f t="shared" si="0"/>
        <v>5077390</v>
      </c>
      <c r="P15" s="83"/>
    </row>
    <row r="16" spans="1:16" ht="15.75" x14ac:dyDescent="0.25">
      <c r="A16" s="88">
        <f>DATE(2022,1,1)</f>
        <v>44562</v>
      </c>
      <c r="B16" s="89">
        <f>'MONTHLY STATS'!$C$15*2</f>
        <v>367126</v>
      </c>
      <c r="C16" s="89">
        <f>'MONTHLY STATS'!$C$26*2</f>
        <v>171746</v>
      </c>
      <c r="D16" s="89">
        <f>'MONTHLY STATS'!$C$37*2</f>
        <v>94542</v>
      </c>
      <c r="E16" s="89">
        <f>'MONTHLY STATS'!$C$48*2</f>
        <v>568630</v>
      </c>
      <c r="F16" s="89">
        <f>'MONTHLY STATS'!$C$59*2</f>
        <v>392450</v>
      </c>
      <c r="G16" s="89">
        <f>'MONTHLY STATS'!$C$70*2</f>
        <v>168356</v>
      </c>
      <c r="H16" s="89">
        <f>'MONTHLY STATS'!$C$81*2</f>
        <v>358398</v>
      </c>
      <c r="I16" s="89">
        <f>'MONTHLY STATS'!$C$92*2</f>
        <v>368476</v>
      </c>
      <c r="J16" s="89">
        <f>'MONTHLY STATS'!$C$103*2</f>
        <v>468718</v>
      </c>
      <c r="K16" s="89">
        <f>'MONTHLY STATS'!$C$114*2</f>
        <v>621122</v>
      </c>
      <c r="L16" s="89">
        <f>'MONTHLY STATS'!$C$125*2</f>
        <v>76438</v>
      </c>
      <c r="M16" s="89">
        <f>'MONTHLY STATS'!$C$136*2</f>
        <v>670832</v>
      </c>
      <c r="N16" s="89">
        <f>'MONTHLY STATS'!$C$147*2</f>
        <v>116760</v>
      </c>
      <c r="O16" s="90">
        <f>SUM(B16:N16)</f>
        <v>4443594</v>
      </c>
      <c r="P16" s="83"/>
    </row>
    <row r="17" spans="1:16" ht="15.75" x14ac:dyDescent="0.25">
      <c r="A17" s="88">
        <f>DATE(2022,2,1)</f>
        <v>44593</v>
      </c>
      <c r="B17" s="89">
        <f>'MONTHLY STATS'!$C$16*2</f>
        <v>396266</v>
      </c>
      <c r="C17" s="89">
        <f>'MONTHLY STATS'!$C$27*2</f>
        <v>190868</v>
      </c>
      <c r="D17" s="89">
        <f>'MONTHLY STATS'!$C$38*2</f>
        <v>102558</v>
      </c>
      <c r="E17" s="89">
        <f>'MONTHLY STATS'!$C$49*2</f>
        <v>558304</v>
      </c>
      <c r="F17" s="89">
        <f>'MONTHLY STATS'!$C$60*2</f>
        <v>396010</v>
      </c>
      <c r="G17" s="89">
        <f>'MONTHLY STATS'!$C$71*2</f>
        <v>172648</v>
      </c>
      <c r="H17" s="89">
        <f>'MONTHLY STATS'!$C$82*2</f>
        <v>369476</v>
      </c>
      <c r="I17" s="89">
        <f>'MONTHLY STATS'!$C$93*2</f>
        <v>372166</v>
      </c>
      <c r="J17" s="89">
        <f>'MONTHLY STATS'!$C$104*2</f>
        <v>507200</v>
      </c>
      <c r="K17" s="89">
        <f>'MONTHLY STATS'!$C$115*2</f>
        <v>603574</v>
      </c>
      <c r="L17" s="89">
        <f>'MONTHLY STATS'!$C$126*2</f>
        <v>81026</v>
      </c>
      <c r="M17" s="89">
        <f>'MONTHLY STATS'!$C$137*2</f>
        <v>661232</v>
      </c>
      <c r="N17" s="89">
        <f>'MONTHLY STATS'!$C$148*2</f>
        <v>133496</v>
      </c>
      <c r="O17" s="90">
        <f>SUM(B17:N17)</f>
        <v>4544824</v>
      </c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3357896</v>
      </c>
      <c r="C23" s="90">
        <f t="shared" si="1"/>
        <v>1628618</v>
      </c>
      <c r="D23" s="90">
        <f t="shared" si="1"/>
        <v>892610</v>
      </c>
      <c r="E23" s="90">
        <f t="shared" si="1"/>
        <v>4980548</v>
      </c>
      <c r="F23" s="90">
        <f t="shared" si="1"/>
        <v>3585360</v>
      </c>
      <c r="G23" s="90">
        <f>SUM(G10:G21)</f>
        <v>1477722</v>
      </c>
      <c r="H23" s="90">
        <f t="shared" si="1"/>
        <v>3416058</v>
      </c>
      <c r="I23" s="90">
        <f>SUM(I10:I21)</f>
        <v>3319242</v>
      </c>
      <c r="J23" s="90">
        <f t="shared" si="1"/>
        <v>4130348</v>
      </c>
      <c r="K23" s="90">
        <f>SUM(K10:K21)</f>
        <v>5192132</v>
      </c>
      <c r="L23" s="90">
        <f t="shared" si="1"/>
        <v>737914</v>
      </c>
      <c r="M23" s="90">
        <f t="shared" si="1"/>
        <v>5724522</v>
      </c>
      <c r="N23" s="90">
        <f t="shared" si="1"/>
        <v>1073622</v>
      </c>
      <c r="O23" s="90">
        <f t="shared" si="1"/>
        <v>39516592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STATS'!$K$20*0.21</f>
        <v>1692376.4865000001</v>
      </c>
      <c r="D31" s="89">
        <f>'MONTHLY STATS'!$K$31*0.21</f>
        <v>966002.71950000001</v>
      </c>
      <c r="E31" s="89">
        <f>'MONTHLY STATS'!$K$42*0.21</f>
        <v>4051465.2297</v>
      </c>
      <c r="F31" s="89">
        <f>'MONTHLY STATS'!$K$53*0.21</f>
        <v>3404376.3956999998</v>
      </c>
      <c r="G31" s="89">
        <f>'MONTHLY STATS'!$K$64*0.21</f>
        <v>1359356.1113999998</v>
      </c>
      <c r="H31" s="89">
        <f>'MONTHLY STATS'!$K$75*0.21</f>
        <v>1998001.6497</v>
      </c>
      <c r="I31" s="89">
        <f>'MONTHLY STATS'!$K$86*0.21</f>
        <v>3112641.8021999998</v>
      </c>
      <c r="J31" s="89">
        <f>'MONTHLY STATS'!$K$97*0.21</f>
        <v>3802869.9155999999</v>
      </c>
      <c r="K31" s="89">
        <f>'MONTHLY STATS'!$K$108*0.21</f>
        <v>4229164.4597999994</v>
      </c>
      <c r="L31" s="89">
        <f>'MONTHLY STATS'!$K$119*0.21</f>
        <v>763729.81019999995</v>
      </c>
      <c r="M31" s="89">
        <f>'MONTHLY STATS'!$K$130*0.21</f>
        <v>5560718.5472999997</v>
      </c>
      <c r="N31" s="89">
        <f>'MONTHLY STATS'!$K$141*0.21</f>
        <v>859182.35969999991</v>
      </c>
      <c r="O31" s="90">
        <f t="shared" ref="O31:O36" si="2"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3166085.3951999997</v>
      </c>
      <c r="C32" s="89">
        <f>'MONTHLY STATS'!$K$21*0.21</f>
        <v>1509930.7881</v>
      </c>
      <c r="D32" s="89">
        <f>'MONTHLY STATS'!$K$32*0.21</f>
        <v>806000.47290000005</v>
      </c>
      <c r="E32" s="89">
        <f>'MONTHLY STATS'!$K$43*0.21</f>
        <v>3699418.1552999998</v>
      </c>
      <c r="F32" s="89">
        <f>'MONTHLY STATS'!$K$54*0.21</f>
        <v>2811660.0855</v>
      </c>
      <c r="G32" s="89">
        <f>'MONTHLY STATS'!$K$65*0.21</f>
        <v>1231968.5007</v>
      </c>
      <c r="H32" s="89">
        <f>'MONTHLY STATS'!$K$76*0.21</f>
        <v>1988771.3873999999</v>
      </c>
      <c r="I32" s="89">
        <f>'MONTHLY STATS'!$K$87*0.21</f>
        <v>2755751.5986000001</v>
      </c>
      <c r="J32" s="89">
        <f>'MONTHLY STATS'!$K$98*0.21</f>
        <v>3419526.1169999996</v>
      </c>
      <c r="K32" s="89">
        <f>'MONTHLY STATS'!$K$109*0.21</f>
        <v>4030922.8196999999</v>
      </c>
      <c r="L32" s="89">
        <f>'MONTHLY STATS'!$K$120*0.21</f>
        <v>677192.16389999993</v>
      </c>
      <c r="M32" s="89">
        <f>'MONTHLY STATS'!$K$131*0.21</f>
        <v>5128975.6055999994</v>
      </c>
      <c r="N32" s="89">
        <f>'MONTHLY STATS'!$K$142*0.21</f>
        <v>825367.23360000004</v>
      </c>
      <c r="O32" s="90">
        <f t="shared" si="2"/>
        <v>32051570.323499996</v>
      </c>
      <c r="P32" s="83"/>
    </row>
    <row r="33" spans="1:16" ht="15.75" x14ac:dyDescent="0.25">
      <c r="A33" s="88">
        <f>DATE(2021,9,1)</f>
        <v>44440</v>
      </c>
      <c r="B33" s="89">
        <f>'MONTHLY STATS'!$K$11*0.21</f>
        <v>2914050.8711999999</v>
      </c>
      <c r="C33" s="89">
        <f>'MONTHLY STATS'!$K$22*0.21</f>
        <v>1602237.4431</v>
      </c>
      <c r="D33" s="89">
        <f>'MONTHLY STATS'!$K$33*0.21</f>
        <v>858189.42090000003</v>
      </c>
      <c r="E33" s="89">
        <f>'MONTHLY STATS'!$K$44*0.21</f>
        <v>4071781.6902000001</v>
      </c>
      <c r="F33" s="89">
        <f>'MONTHLY STATS'!$K$55*0.21</f>
        <v>3042866.5427999999</v>
      </c>
      <c r="G33" s="89">
        <f>'MONTHLY STATS'!$K$66*0.21</f>
        <v>1257725.1036</v>
      </c>
      <c r="H33" s="89">
        <f>'MONTHLY STATS'!$K$77*0.21</f>
        <v>2110648.4133000001</v>
      </c>
      <c r="I33" s="89">
        <f>'MONTHLY STATS'!$K$88*0.21</f>
        <v>2545471.0763999997</v>
      </c>
      <c r="J33" s="89">
        <f>'MONTHLY STATS'!$K$99*0.21</f>
        <v>3038934.9794999999</v>
      </c>
      <c r="K33" s="89">
        <f>'MONTHLY STATS'!$K$110*0.21</f>
        <v>4090020.0474</v>
      </c>
      <c r="L33" s="89">
        <f>'MONTHLY STATS'!$K$121*0.21</f>
        <v>660366.03149999992</v>
      </c>
      <c r="M33" s="89">
        <f>'MONTHLY STATS'!$K$132*0.21</f>
        <v>4989167.7905999999</v>
      </c>
      <c r="N33" s="89">
        <f>'MONTHLY STATS'!$K$143*0.21</f>
        <v>763495.29269999999</v>
      </c>
      <c r="O33" s="90">
        <f t="shared" si="2"/>
        <v>31944954.703200005</v>
      </c>
      <c r="P33" s="83"/>
    </row>
    <row r="34" spans="1:16" ht="15.75" x14ac:dyDescent="0.25">
      <c r="A34" s="88">
        <f>DATE(2021,10,1)</f>
        <v>44470</v>
      </c>
      <c r="B34" s="89">
        <f>'MONTHLY STATS'!$K$12*0.21</f>
        <v>3202283.8911000001</v>
      </c>
      <c r="C34" s="89">
        <f>'MONTHLY STATS'!$K$23*0.21</f>
        <v>1646199.1895999999</v>
      </c>
      <c r="D34" s="89">
        <f>'MONTHLY STATS'!$K$34*0.21</f>
        <v>861622.56809999992</v>
      </c>
      <c r="E34" s="89">
        <f>'MONTHLY STATS'!$K$45*0.21</f>
        <v>4026629.2458000001</v>
      </c>
      <c r="F34" s="89">
        <f>'MONTHLY STATS'!$K$56*0.21</f>
        <v>3131092.1816999996</v>
      </c>
      <c r="G34" s="89">
        <f>'MONTHLY STATS'!$K$67*0.21</f>
        <v>1210593.4700999998</v>
      </c>
      <c r="H34" s="89">
        <f>'MONTHLY STATS'!$K$78*0.21</f>
        <v>2183798.0156999999</v>
      </c>
      <c r="I34" s="89">
        <f>'MONTHLY STATS'!$K$89*0.21</f>
        <v>2694564.7301999996</v>
      </c>
      <c r="J34" s="89">
        <f>'MONTHLY STATS'!$K$100*0.21</f>
        <v>3463632.4316999996</v>
      </c>
      <c r="K34" s="89">
        <f>'MONTHLY STATS'!$K$111*0.21</f>
        <v>4415796.3128999993</v>
      </c>
      <c r="L34" s="89">
        <f>'MONTHLY STATS'!$K$122*0.21</f>
        <v>733979.07030000002</v>
      </c>
      <c r="M34" s="89">
        <f>'MONTHLY STATS'!$K$133*0.21</f>
        <v>5592505.1048999997</v>
      </c>
      <c r="N34" s="89">
        <f>'MONTHLY STATS'!$K$144*0.21</f>
        <v>865800.27659999998</v>
      </c>
      <c r="O34" s="90">
        <f t="shared" si="2"/>
        <v>34028496.488699995</v>
      </c>
      <c r="P34" s="83"/>
    </row>
    <row r="35" spans="1:16" ht="15.75" x14ac:dyDescent="0.25">
      <c r="A35" s="88">
        <f>DATE(2021,11,1)</f>
        <v>44501</v>
      </c>
      <c r="B35" s="89">
        <f>'MONTHLY STATS'!$K$13*0.21</f>
        <v>2842089.2094000001</v>
      </c>
      <c r="C35" s="89">
        <f>'MONTHLY STATS'!$K$24*0.21</f>
        <v>1427173.0493999999</v>
      </c>
      <c r="D35" s="89">
        <f>'MONTHLY STATS'!$K$35*0.21</f>
        <v>776239.16579999996</v>
      </c>
      <c r="E35" s="89">
        <f>'MONTHLY STATS'!$K$46*0.21</f>
        <v>3955215.5244</v>
      </c>
      <c r="F35" s="89">
        <f>'MONTHLY STATS'!$K$57*0.21</f>
        <v>3166545.8832</v>
      </c>
      <c r="G35" s="89">
        <f>'MONTHLY STATS'!$K$68*0.21</f>
        <v>1193974.2254999999</v>
      </c>
      <c r="H35" s="89">
        <f>'MONTHLY STATS'!$K$79*0.21</f>
        <v>2017320.8328</v>
      </c>
      <c r="I35" s="89">
        <f>'MONTHLY STATS'!$K$90*0.21</f>
        <v>2493711.2319</v>
      </c>
      <c r="J35" s="89">
        <f>'MONTHLY STATS'!$K$101*0.21</f>
        <v>3373022.6943000001</v>
      </c>
      <c r="K35" s="89">
        <f>'MONTHLY STATS'!$K$112*0.21</f>
        <v>4165210.1063999999</v>
      </c>
      <c r="L35" s="89">
        <f>'MONTHLY STATS'!$K$123*0.21</f>
        <v>670322.16090000002</v>
      </c>
      <c r="M35" s="89">
        <f>'MONTHLY STATS'!$K$134*0.21</f>
        <v>5014684.2563999994</v>
      </c>
      <c r="N35" s="89">
        <f>'MONTHLY STATS'!$K$145*0.21</f>
        <v>786496.28610000003</v>
      </c>
      <c r="O35" s="90">
        <f t="shared" si="2"/>
        <v>31882004.626499996</v>
      </c>
      <c r="P35" s="83"/>
    </row>
    <row r="36" spans="1:16" ht="15.75" x14ac:dyDescent="0.25">
      <c r="A36" s="88">
        <f>DATE(2021,12,1)</f>
        <v>44531</v>
      </c>
      <c r="B36" s="89">
        <f>'MONTHLY STATS'!$K$14*0.21</f>
        <v>3068195.6969999997</v>
      </c>
      <c r="C36" s="89">
        <f>'MONTHLY STATS'!$K$25*0.21</f>
        <v>1551523.8689999999</v>
      </c>
      <c r="D36" s="89">
        <f>'MONTHLY STATS'!$K$36*0.21</f>
        <v>826341.04559999995</v>
      </c>
      <c r="E36" s="89">
        <f>'MONTHLY STATS'!$K$47*0.21</f>
        <v>4273948.5011999998</v>
      </c>
      <c r="F36" s="89">
        <f>'MONTHLY STATS'!$K$58*0.21</f>
        <v>3112418.6519999998</v>
      </c>
      <c r="G36" s="89">
        <f>'MONTHLY STATS'!$K$69*0.21</f>
        <v>1324283.4968999999</v>
      </c>
      <c r="H36" s="89">
        <f>'MONTHLY STATS'!$K$80*0.21</f>
        <v>2139857.8067999999</v>
      </c>
      <c r="I36" s="89">
        <f>'MONTHLY STATS'!$K$91*0.21</f>
        <v>2634099.6296999999</v>
      </c>
      <c r="J36" s="89">
        <f>'MONTHLY STATS'!$K$102*0.21</f>
        <v>3519519.1373999999</v>
      </c>
      <c r="K36" s="89">
        <f>'MONTHLY STATS'!$K$113*0.21</f>
        <v>4594080.4979999997</v>
      </c>
      <c r="L36" s="89">
        <f>'MONTHLY STATS'!$K$124*0.21</f>
        <v>666192.61589999998</v>
      </c>
      <c r="M36" s="89">
        <f>'MONTHLY STATS'!$K$135*0.21</f>
        <v>5722533.9569999995</v>
      </c>
      <c r="N36" s="89">
        <f>'MONTHLY STATS'!$K$146*0.21</f>
        <v>864892.68180000002</v>
      </c>
      <c r="O36" s="90">
        <f t="shared" si="2"/>
        <v>34297887.588299997</v>
      </c>
      <c r="P36" s="83"/>
    </row>
    <row r="37" spans="1:16" ht="15.75" x14ac:dyDescent="0.25">
      <c r="A37" s="88">
        <f>DATE(2022,1,1)</f>
        <v>44562</v>
      </c>
      <c r="B37" s="89">
        <f>'MONTHLY STATS'!$K$15*0.21</f>
        <v>2672120.6483999998</v>
      </c>
      <c r="C37" s="89">
        <f>'MONTHLY STATS'!$K$26*0.21</f>
        <v>1399123.0490999999</v>
      </c>
      <c r="D37" s="89">
        <f>'MONTHLY STATS'!$K$37*0.21</f>
        <v>721398.60659999994</v>
      </c>
      <c r="E37" s="89">
        <f>'MONTHLY STATS'!$K$48*0.21</f>
        <v>3980140.7393999998</v>
      </c>
      <c r="F37" s="89">
        <f>'MONTHLY STATS'!$K$59*0.21</f>
        <v>2935660.7973000002</v>
      </c>
      <c r="G37" s="89">
        <f>'MONTHLY STATS'!$K$70*0.21</f>
        <v>1166561.2749000001</v>
      </c>
      <c r="H37" s="89">
        <f>'MONTHLY STATS'!$K$81*0.21</f>
        <v>1915632.1316999998</v>
      </c>
      <c r="I37" s="89">
        <f>'MONTHLY STATS'!$K$92*0.21</f>
        <v>2244748.3317</v>
      </c>
      <c r="J37" s="89">
        <f>'MONTHLY STATS'!$K$103*0.21</f>
        <v>3129722.2760999999</v>
      </c>
      <c r="K37" s="89">
        <f>'MONTHLY STATS'!$K$114*0.21</f>
        <v>3939683.6366999997</v>
      </c>
      <c r="L37" s="89">
        <f>'MONTHLY STATS'!$K$125*0.21</f>
        <v>593962.89749999996</v>
      </c>
      <c r="M37" s="89">
        <f>'MONTHLY STATS'!$K$136*0.21</f>
        <v>5110167.7913999995</v>
      </c>
      <c r="N37" s="89">
        <f>'MONTHLY STATS'!$K$147*0.21</f>
        <v>743755.70429999998</v>
      </c>
      <c r="O37" s="90">
        <f>SUM(B37:N37)</f>
        <v>30552677.8851</v>
      </c>
      <c r="P37" s="83"/>
    </row>
    <row r="38" spans="1:16" ht="15.75" x14ac:dyDescent="0.25">
      <c r="A38" s="88">
        <f>DATE(2022,2,1)</f>
        <v>44593</v>
      </c>
      <c r="B38" s="89">
        <f>'MONTHLY STATS'!$K$16*0.21</f>
        <v>2932193.7897000001</v>
      </c>
      <c r="C38" s="89">
        <f>'MONTHLY STATS'!$K$27*0.21</f>
        <v>1386037.2141</v>
      </c>
      <c r="D38" s="89">
        <f>'MONTHLY STATS'!$K$38*0.21</f>
        <v>795783.26099999994</v>
      </c>
      <c r="E38" s="89">
        <f>'MONTHLY STATS'!$K$49*0.21</f>
        <v>3693007.5819000001</v>
      </c>
      <c r="F38" s="89">
        <f>'MONTHLY STATS'!$K$60*0.21</f>
        <v>2543536.8041999997</v>
      </c>
      <c r="G38" s="89">
        <f>'MONTHLY STATS'!$K$71*0.21</f>
        <v>1144195.122</v>
      </c>
      <c r="H38" s="89">
        <f>'MONTHLY STATS'!$K$82*0.21</f>
        <v>1940982.6113999998</v>
      </c>
      <c r="I38" s="89">
        <f>'MONTHLY STATS'!$K$93*0.21</f>
        <v>2380489.9502999997</v>
      </c>
      <c r="J38" s="89">
        <f>'MONTHLY STATS'!$K$104*0.21</f>
        <v>3354185.2427999997</v>
      </c>
      <c r="K38" s="89">
        <f>'MONTHLY STATS'!$K$115*0.21</f>
        <v>4091924.3147999998</v>
      </c>
      <c r="L38" s="89">
        <f>'MONTHLY STATS'!$K$126*0.21</f>
        <v>624866.73270000005</v>
      </c>
      <c r="M38" s="89">
        <f>'MONTHLY STATS'!$K$137*0.21</f>
        <v>4873692.0833999999</v>
      </c>
      <c r="N38" s="89">
        <f>'MONTHLY STATS'!$K$148*0.21</f>
        <v>848310.0612</v>
      </c>
      <c r="O38" s="90">
        <f>SUM(B38:N38)</f>
        <v>30609204.769500002</v>
      </c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24144310.010100003</v>
      </c>
      <c r="C44" s="90">
        <f t="shared" si="3"/>
        <v>12214601.0889</v>
      </c>
      <c r="D44" s="90">
        <f t="shared" si="3"/>
        <v>6611577.2603999991</v>
      </c>
      <c r="E44" s="90">
        <f t="shared" si="3"/>
        <v>31751606.667899996</v>
      </c>
      <c r="F44" s="90">
        <f t="shared" si="3"/>
        <v>24148157.342399999</v>
      </c>
      <c r="G44" s="90">
        <f t="shared" si="3"/>
        <v>9888657.3050999977</v>
      </c>
      <c r="H44" s="90">
        <f t="shared" si="3"/>
        <v>16295012.8488</v>
      </c>
      <c r="I44" s="90">
        <f>SUM(I31:I42)</f>
        <v>20861478.351</v>
      </c>
      <c r="J44" s="90">
        <f t="shared" si="3"/>
        <v>27101412.794399999</v>
      </c>
      <c r="K44" s="90">
        <f>SUM(K31:K42)</f>
        <v>33556802.195699997</v>
      </c>
      <c r="L44" s="90">
        <f t="shared" si="3"/>
        <v>5390611.4828999992</v>
      </c>
      <c r="M44" s="90">
        <f t="shared" si="3"/>
        <v>41992445.136600003</v>
      </c>
      <c r="N44" s="90">
        <f t="shared" si="3"/>
        <v>6557299.8960000006</v>
      </c>
      <c r="O44" s="90">
        <f t="shared" si="3"/>
        <v>260513972.38020003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57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 t="shared" ref="F9:F16" si="0">(+D9-E9)/E9</f>
        <v>0.22584210000336294</v>
      </c>
      <c r="G9" s="215">
        <f t="shared" ref="G9:G16" si="1"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0.60187567594879066</v>
      </c>
      <c r="G10" s="215">
        <f t="shared" si="1"/>
        <v>0.19619177009465349</v>
      </c>
      <c r="H10" s="123"/>
    </row>
    <row r="11" spans="1:8" ht="15.75" x14ac:dyDescent="0.2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0.41059888307555459</v>
      </c>
      <c r="G11" s="215">
        <f t="shared" si="1"/>
        <v>0.15141541376733514</v>
      </c>
      <c r="H11" s="123"/>
    </row>
    <row r="12" spans="1:8" ht="15.75" x14ac:dyDescent="0.2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0.77604644905094655</v>
      </c>
      <c r="G12" s="215">
        <f t="shared" si="1"/>
        <v>0.21265524892658516</v>
      </c>
      <c r="H12" s="123"/>
    </row>
    <row r="13" spans="1:8" ht="15.75" x14ac:dyDescent="0.2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0.55839136523947575</v>
      </c>
      <c r="G13" s="215">
        <f t="shared" si="1"/>
        <v>0.1893508166142796</v>
      </c>
      <c r="H13" s="123"/>
    </row>
    <row r="14" spans="1:8" ht="15.75" x14ac:dyDescent="0.25">
      <c r="A14" s="130"/>
      <c r="B14" s="131">
        <f>DATE(2021,12,1)</f>
        <v>44531</v>
      </c>
      <c r="C14" s="204">
        <v>13044632</v>
      </c>
      <c r="D14" s="204">
        <v>2277304.5</v>
      </c>
      <c r="E14" s="204">
        <v>1661463</v>
      </c>
      <c r="F14" s="132">
        <f t="shared" si="0"/>
        <v>0.37066218146296365</v>
      </c>
      <c r="G14" s="215">
        <f t="shared" si="1"/>
        <v>0.17457790300255308</v>
      </c>
      <c r="H14" s="123"/>
    </row>
    <row r="15" spans="1:8" ht="15.75" x14ac:dyDescent="0.25">
      <c r="A15" s="130"/>
      <c r="B15" s="131">
        <f>DATE(2022,1,1)</f>
        <v>44562</v>
      </c>
      <c r="C15" s="204">
        <v>14518603</v>
      </c>
      <c r="D15" s="204">
        <v>2164427.5</v>
      </c>
      <c r="E15" s="204">
        <v>1430188</v>
      </c>
      <c r="F15" s="132">
        <f t="shared" si="0"/>
        <v>0.51338670160845989</v>
      </c>
      <c r="G15" s="215">
        <f t="shared" si="1"/>
        <v>0.14907959808529789</v>
      </c>
      <c r="H15" s="123"/>
    </row>
    <row r="16" spans="1:8" ht="15.75" x14ac:dyDescent="0.25">
      <c r="A16" s="130"/>
      <c r="B16" s="131">
        <f>DATE(2022,2,1)</f>
        <v>44593</v>
      </c>
      <c r="C16" s="204">
        <v>13130349</v>
      </c>
      <c r="D16" s="204">
        <v>2316245</v>
      </c>
      <c r="E16" s="204">
        <v>1356444</v>
      </c>
      <c r="F16" s="132">
        <f t="shared" si="0"/>
        <v>0.70758615910424605</v>
      </c>
      <c r="G16" s="215">
        <f t="shared" si="1"/>
        <v>0.17640391736731445</v>
      </c>
      <c r="H16" s="123"/>
    </row>
    <row r="17" spans="1:8" ht="15.75" thickBot="1" x14ac:dyDescent="0.25">
      <c r="A17" s="133"/>
      <c r="B17" s="134"/>
      <c r="C17" s="204"/>
      <c r="D17" s="204"/>
      <c r="E17" s="204"/>
      <c r="F17" s="132"/>
      <c r="G17" s="215"/>
      <c r="H17" s="123"/>
    </row>
    <row r="18" spans="1:8" ht="17.25" thickTop="1" thickBot="1" x14ac:dyDescent="0.3">
      <c r="A18" s="135" t="s">
        <v>14</v>
      </c>
      <c r="B18" s="136"/>
      <c r="C18" s="201">
        <f>SUM(C9:C17)</f>
        <v>103820489.56</v>
      </c>
      <c r="D18" s="201">
        <f>SUM(D9:D17)</f>
        <v>18519656.060000002</v>
      </c>
      <c r="E18" s="201">
        <f>SUM(E9:E17)</f>
        <v>12291689.41</v>
      </c>
      <c r="F18" s="137">
        <f>(+D18-E18)/E18</f>
        <v>0.50668109502776659</v>
      </c>
      <c r="G18" s="212">
        <f>D18/C18</f>
        <v>0.17838151349977127</v>
      </c>
      <c r="H18" s="123"/>
    </row>
    <row r="19" spans="1:8" ht="15.75" customHeight="1" thickTop="1" x14ac:dyDescent="0.25">
      <c r="A19" s="138"/>
      <c r="B19" s="139"/>
      <c r="C19" s="205"/>
      <c r="D19" s="205"/>
      <c r="E19" s="205"/>
      <c r="F19" s="140"/>
      <c r="G19" s="216"/>
      <c r="H19" s="123"/>
    </row>
    <row r="20" spans="1:8" ht="15.75" x14ac:dyDescent="0.25">
      <c r="A20" s="19" t="s">
        <v>15</v>
      </c>
      <c r="B20" s="131">
        <f>DATE(2021,7,1)</f>
        <v>44378</v>
      </c>
      <c r="C20" s="204">
        <v>2659715</v>
      </c>
      <c r="D20" s="204">
        <v>753311.5</v>
      </c>
      <c r="E20" s="204">
        <v>547209</v>
      </c>
      <c r="F20" s="132">
        <f t="shared" ref="F20:F27" si="2">(+D20-E20)/E20</f>
        <v>0.37664311076754953</v>
      </c>
      <c r="G20" s="215">
        <f t="shared" ref="G20:G27" si="3">D20/C20</f>
        <v>0.28323015811844504</v>
      </c>
      <c r="H20" s="123"/>
    </row>
    <row r="21" spans="1:8" ht="15.75" x14ac:dyDescent="0.25">
      <c r="A21" s="19"/>
      <c r="B21" s="131">
        <f>DATE(2021,8,1)</f>
        <v>44409</v>
      </c>
      <c r="C21" s="204">
        <v>2802417</v>
      </c>
      <c r="D21" s="204">
        <v>615974.5</v>
      </c>
      <c r="E21" s="204">
        <v>526001.5</v>
      </c>
      <c r="F21" s="132">
        <f t="shared" si="2"/>
        <v>0.17105084301090395</v>
      </c>
      <c r="G21" s="215">
        <f t="shared" si="3"/>
        <v>0.21980115735809483</v>
      </c>
      <c r="H21" s="123"/>
    </row>
    <row r="22" spans="1:8" ht="15.75" x14ac:dyDescent="0.25">
      <c r="A22" s="19"/>
      <c r="B22" s="131">
        <f>DATE(2021,9,1)</f>
        <v>44440</v>
      </c>
      <c r="C22" s="204">
        <v>2513978</v>
      </c>
      <c r="D22" s="204">
        <v>858656</v>
      </c>
      <c r="E22" s="204">
        <v>401819.5</v>
      </c>
      <c r="F22" s="132">
        <f t="shared" si="2"/>
        <v>1.1369196865756888</v>
      </c>
      <c r="G22" s="215">
        <f t="shared" si="3"/>
        <v>0.34155271048513552</v>
      </c>
      <c r="H22" s="123"/>
    </row>
    <row r="23" spans="1:8" ht="15.75" x14ac:dyDescent="0.25">
      <c r="A23" s="19"/>
      <c r="B23" s="131">
        <f>DATE(2021,10,1)</f>
        <v>44470</v>
      </c>
      <c r="C23" s="204">
        <v>2807049</v>
      </c>
      <c r="D23" s="204">
        <v>649914</v>
      </c>
      <c r="E23" s="204">
        <v>612154.5</v>
      </c>
      <c r="F23" s="132">
        <f t="shared" si="2"/>
        <v>6.1682957488673203E-2</v>
      </c>
      <c r="G23" s="215">
        <f t="shared" si="3"/>
        <v>0.23152926792514131</v>
      </c>
      <c r="H23" s="123"/>
    </row>
    <row r="24" spans="1:8" ht="15.75" x14ac:dyDescent="0.25">
      <c r="A24" s="19"/>
      <c r="B24" s="131">
        <f>DATE(2021,11,1)</f>
        <v>44501</v>
      </c>
      <c r="C24" s="204">
        <v>2435882</v>
      </c>
      <c r="D24" s="204">
        <v>707738</v>
      </c>
      <c r="E24" s="204">
        <v>534831.5</v>
      </c>
      <c r="F24" s="132">
        <f t="shared" si="2"/>
        <v>0.32329154135461358</v>
      </c>
      <c r="G24" s="215">
        <f t="shared" si="3"/>
        <v>0.29054691483413403</v>
      </c>
      <c r="H24" s="123"/>
    </row>
    <row r="25" spans="1:8" ht="15.75" x14ac:dyDescent="0.25">
      <c r="A25" s="19"/>
      <c r="B25" s="131">
        <f>DATE(2021,12,1)</f>
        <v>44531</v>
      </c>
      <c r="C25" s="204">
        <v>2813282</v>
      </c>
      <c r="D25" s="204">
        <v>706014</v>
      </c>
      <c r="E25" s="204">
        <v>508771</v>
      </c>
      <c r="F25" s="132">
        <f t="shared" si="2"/>
        <v>0.38768522576955056</v>
      </c>
      <c r="G25" s="215">
        <f t="shared" si="3"/>
        <v>0.25095742268283094</v>
      </c>
      <c r="H25" s="123"/>
    </row>
    <row r="26" spans="1:8" ht="15.75" x14ac:dyDescent="0.25">
      <c r="A26" s="19"/>
      <c r="B26" s="131">
        <f>DATE(2022,1,1)</f>
        <v>44562</v>
      </c>
      <c r="C26" s="204">
        <v>2328587</v>
      </c>
      <c r="D26" s="204">
        <v>684356</v>
      </c>
      <c r="E26" s="204">
        <v>716489.5</v>
      </c>
      <c r="F26" s="132">
        <f t="shared" si="2"/>
        <v>-4.4848528833988495E-2</v>
      </c>
      <c r="G26" s="215">
        <f t="shared" si="3"/>
        <v>0.29389324942550998</v>
      </c>
      <c r="H26" s="123"/>
    </row>
    <row r="27" spans="1:8" ht="15.75" x14ac:dyDescent="0.25">
      <c r="A27" s="19"/>
      <c r="B27" s="131">
        <f>DATE(2022,2,1)</f>
        <v>44593</v>
      </c>
      <c r="C27" s="204">
        <v>2173318</v>
      </c>
      <c r="D27" s="204">
        <v>495607</v>
      </c>
      <c r="E27" s="204">
        <v>476264</v>
      </c>
      <c r="F27" s="132">
        <f t="shared" si="2"/>
        <v>4.0614029193892461E-2</v>
      </c>
      <c r="G27" s="215">
        <f t="shared" si="3"/>
        <v>0.2280416395575797</v>
      </c>
      <c r="H27" s="123"/>
    </row>
    <row r="28" spans="1:8" ht="15.75" thickBot="1" x14ac:dyDescent="0.25">
      <c r="A28" s="133"/>
      <c r="B28" s="131"/>
      <c r="C28" s="204"/>
      <c r="D28" s="204"/>
      <c r="E28" s="204"/>
      <c r="F28" s="132"/>
      <c r="G28" s="215"/>
      <c r="H28" s="123"/>
    </row>
    <row r="29" spans="1:8" ht="17.25" thickTop="1" thickBot="1" x14ac:dyDescent="0.3">
      <c r="A29" s="135" t="s">
        <v>14</v>
      </c>
      <c r="B29" s="136"/>
      <c r="C29" s="201">
        <f>SUM(C20:C28)</f>
        <v>20534228</v>
      </c>
      <c r="D29" s="201">
        <f>SUM(D20:D28)</f>
        <v>5471571</v>
      </c>
      <c r="E29" s="201">
        <f>SUM(E20:E28)</f>
        <v>4323540.5</v>
      </c>
      <c r="F29" s="137">
        <f>(+D29-E29)/E29</f>
        <v>0.26553018296000697</v>
      </c>
      <c r="G29" s="212">
        <f>D29/C29</f>
        <v>0.26646100354978042</v>
      </c>
      <c r="H29" s="123"/>
    </row>
    <row r="30" spans="1:8" ht="15.75" customHeight="1" thickTop="1" x14ac:dyDescent="0.25">
      <c r="A30" s="255"/>
      <c r="B30" s="139"/>
      <c r="C30" s="205"/>
      <c r="D30" s="205"/>
      <c r="E30" s="205"/>
      <c r="F30" s="140"/>
      <c r="G30" s="219"/>
      <c r="H30" s="123"/>
    </row>
    <row r="31" spans="1:8" ht="15.75" x14ac:dyDescent="0.25">
      <c r="A31" s="19" t="s">
        <v>64</v>
      </c>
      <c r="B31" s="131">
        <f>DATE(2021,7,1)</f>
        <v>44378</v>
      </c>
      <c r="C31" s="204">
        <v>1594658</v>
      </c>
      <c r="D31" s="204">
        <v>420154</v>
      </c>
      <c r="E31" s="204">
        <v>362069</v>
      </c>
      <c r="F31" s="132">
        <f t="shared" ref="F31:F38" si="4">(+D31-E31)/E31</f>
        <v>0.16042522281664545</v>
      </c>
      <c r="G31" s="215">
        <f t="shared" ref="G31:G38" si="5">D31/C31</f>
        <v>0.26347593026216282</v>
      </c>
      <c r="H31" s="123"/>
    </row>
    <row r="32" spans="1:8" ht="15.75" x14ac:dyDescent="0.25">
      <c r="A32" s="19"/>
      <c r="B32" s="131">
        <f>DATE(2021,8,1)</f>
        <v>44409</v>
      </c>
      <c r="C32" s="204">
        <v>1384308</v>
      </c>
      <c r="D32" s="204">
        <v>283741.5</v>
      </c>
      <c r="E32" s="204">
        <v>264520</v>
      </c>
      <c r="F32" s="132">
        <f t="shared" si="4"/>
        <v>7.2665582942688642E-2</v>
      </c>
      <c r="G32" s="215">
        <f t="shared" si="5"/>
        <v>0.20496991998890421</v>
      </c>
      <c r="H32" s="123"/>
    </row>
    <row r="33" spans="1:8" ht="15.75" x14ac:dyDescent="0.25">
      <c r="A33" s="19"/>
      <c r="B33" s="131">
        <f>DATE(2021,9,1)</f>
        <v>44440</v>
      </c>
      <c r="C33" s="204">
        <v>1364005</v>
      </c>
      <c r="D33" s="204">
        <v>271461</v>
      </c>
      <c r="E33" s="204">
        <v>282126.5</v>
      </c>
      <c r="F33" s="132">
        <f t="shared" si="4"/>
        <v>-3.780396382473819E-2</v>
      </c>
      <c r="G33" s="215">
        <f t="shared" si="5"/>
        <v>0.1990175989090949</v>
      </c>
      <c r="H33" s="123"/>
    </row>
    <row r="34" spans="1:8" ht="15.75" x14ac:dyDescent="0.25">
      <c r="A34" s="19"/>
      <c r="B34" s="131">
        <f>DATE(2021,10,1)</f>
        <v>44470</v>
      </c>
      <c r="C34" s="204">
        <v>1507535</v>
      </c>
      <c r="D34" s="204">
        <v>344180</v>
      </c>
      <c r="E34" s="204">
        <v>409251</v>
      </c>
      <c r="F34" s="132">
        <f t="shared" si="4"/>
        <v>-0.15900022235742858</v>
      </c>
      <c r="G34" s="215">
        <f t="shared" si="5"/>
        <v>0.22830647381321165</v>
      </c>
      <c r="H34" s="123"/>
    </row>
    <row r="35" spans="1:8" ht="15.75" x14ac:dyDescent="0.25">
      <c r="A35" s="19"/>
      <c r="B35" s="131">
        <f>DATE(2021,11,1)</f>
        <v>44501</v>
      </c>
      <c r="C35" s="204">
        <v>1413355</v>
      </c>
      <c r="D35" s="204">
        <v>349298.5</v>
      </c>
      <c r="E35" s="204">
        <v>302858</v>
      </c>
      <c r="F35" s="132">
        <f t="shared" si="4"/>
        <v>0.15334083960139736</v>
      </c>
      <c r="G35" s="215">
        <f t="shared" si="5"/>
        <v>0.24714137637040942</v>
      </c>
      <c r="H35" s="123"/>
    </row>
    <row r="36" spans="1:8" ht="15.75" x14ac:dyDescent="0.25">
      <c r="A36" s="19"/>
      <c r="B36" s="131">
        <f>DATE(2021,12,1)</f>
        <v>44531</v>
      </c>
      <c r="C36" s="204">
        <v>1438471</v>
      </c>
      <c r="D36" s="204">
        <v>335226</v>
      </c>
      <c r="E36" s="204">
        <v>403813</v>
      </c>
      <c r="F36" s="132">
        <f t="shared" si="4"/>
        <v>-0.16984841993695102</v>
      </c>
      <c r="G36" s="215">
        <f t="shared" si="5"/>
        <v>0.23304327998270385</v>
      </c>
      <c r="H36" s="123"/>
    </row>
    <row r="37" spans="1:8" ht="15.75" x14ac:dyDescent="0.25">
      <c r="A37" s="19"/>
      <c r="B37" s="131">
        <f>DATE(2022,1,1)</f>
        <v>44562</v>
      </c>
      <c r="C37" s="204">
        <v>1095658</v>
      </c>
      <c r="D37" s="204">
        <v>314386</v>
      </c>
      <c r="E37" s="204">
        <v>346038</v>
      </c>
      <c r="F37" s="132">
        <f t="shared" si="4"/>
        <v>-9.1469722978401211E-2</v>
      </c>
      <c r="G37" s="215">
        <f t="shared" si="5"/>
        <v>0.28693807739276306</v>
      </c>
      <c r="H37" s="123"/>
    </row>
    <row r="38" spans="1:8" ht="15.75" x14ac:dyDescent="0.25">
      <c r="A38" s="19"/>
      <c r="B38" s="131">
        <f>DATE(2022,2,1)</f>
        <v>44593</v>
      </c>
      <c r="C38" s="204">
        <v>1152903</v>
      </c>
      <c r="D38" s="204">
        <v>260435</v>
      </c>
      <c r="E38" s="204">
        <v>285945.5</v>
      </c>
      <c r="F38" s="132">
        <f t="shared" si="4"/>
        <v>-8.9214553122885301E-2</v>
      </c>
      <c r="G38" s="215">
        <f t="shared" si="5"/>
        <v>0.22589497988989535</v>
      </c>
      <c r="H38" s="123"/>
    </row>
    <row r="39" spans="1:8" ht="15.75" thickBot="1" x14ac:dyDescent="0.25">
      <c r="A39" s="133"/>
      <c r="B39" s="131"/>
      <c r="C39" s="204"/>
      <c r="D39" s="204"/>
      <c r="E39" s="204"/>
      <c r="F39" s="132"/>
      <c r="G39" s="215"/>
      <c r="H39" s="123"/>
    </row>
    <row r="40" spans="1:8" ht="17.25" thickTop="1" thickBot="1" x14ac:dyDescent="0.3">
      <c r="A40" s="141" t="s">
        <v>14</v>
      </c>
      <c r="B40" s="142"/>
      <c r="C40" s="206">
        <f>SUM(C31:C39)</f>
        <v>10950893</v>
      </c>
      <c r="D40" s="206">
        <f>SUM(D31:D39)</f>
        <v>2578882</v>
      </c>
      <c r="E40" s="206">
        <f>SUM(E31:E39)</f>
        <v>2656621</v>
      </c>
      <c r="F40" s="143">
        <f>(+D40-E40)/E40</f>
        <v>-2.9262359967793673E-2</v>
      </c>
      <c r="G40" s="217">
        <f>D40/C40</f>
        <v>0.23549513268004718</v>
      </c>
      <c r="H40" s="123"/>
    </row>
    <row r="41" spans="1:8" ht="15.75" thickTop="1" x14ac:dyDescent="0.2">
      <c r="A41" s="133"/>
      <c r="B41" s="134"/>
      <c r="C41" s="204"/>
      <c r="D41" s="204"/>
      <c r="E41" s="204"/>
      <c r="F41" s="132"/>
      <c r="G41" s="218"/>
      <c r="H41" s="123"/>
    </row>
    <row r="42" spans="1:8" ht="15.75" x14ac:dyDescent="0.25">
      <c r="A42" s="177" t="s">
        <v>59</v>
      </c>
      <c r="B42" s="131">
        <f>DATE(2021,7,1)</f>
        <v>44378</v>
      </c>
      <c r="C42" s="204">
        <v>13087616</v>
      </c>
      <c r="D42" s="204">
        <v>2503983</v>
      </c>
      <c r="E42" s="204">
        <v>1708169.06</v>
      </c>
      <c r="F42" s="132">
        <f t="shared" ref="F42:F49" si="6">(+D42-E42)/E42</f>
        <v>0.4658871060455807</v>
      </c>
      <c r="G42" s="215">
        <f t="shared" ref="G42:G49" si="7">D42/C42</f>
        <v>0.19132460793470712</v>
      </c>
      <c r="H42" s="123"/>
    </row>
    <row r="43" spans="1:8" ht="15.75" x14ac:dyDescent="0.25">
      <c r="A43" s="177"/>
      <c r="B43" s="131">
        <f>DATE(2021,8,1)</f>
        <v>44409</v>
      </c>
      <c r="C43" s="204">
        <v>12295504</v>
      </c>
      <c r="D43" s="204">
        <v>2387806</v>
      </c>
      <c r="E43" s="204">
        <v>2028826.5</v>
      </c>
      <c r="F43" s="132">
        <f t="shared" si="6"/>
        <v>0.1769394770819486</v>
      </c>
      <c r="G43" s="215">
        <f t="shared" si="7"/>
        <v>0.1942015553002138</v>
      </c>
      <c r="H43" s="123"/>
    </row>
    <row r="44" spans="1:8" ht="15.75" x14ac:dyDescent="0.25">
      <c r="A44" s="177"/>
      <c r="B44" s="131">
        <f>DATE(2021,9,1)</f>
        <v>44440</v>
      </c>
      <c r="C44" s="204">
        <v>13803172</v>
      </c>
      <c r="D44" s="204">
        <v>2689723.5</v>
      </c>
      <c r="E44" s="204">
        <v>2149169</v>
      </c>
      <c r="F44" s="132">
        <f t="shared" si="6"/>
        <v>0.25151791227213866</v>
      </c>
      <c r="G44" s="215">
        <f t="shared" si="7"/>
        <v>0.19486270981771436</v>
      </c>
      <c r="H44" s="123"/>
    </row>
    <row r="45" spans="1:8" ht="15.75" x14ac:dyDescent="0.25">
      <c r="A45" s="177"/>
      <c r="B45" s="131">
        <f>DATE(2021,10,1)</f>
        <v>44470</v>
      </c>
      <c r="C45" s="204">
        <v>13466637</v>
      </c>
      <c r="D45" s="204">
        <v>2470116.0299999998</v>
      </c>
      <c r="E45" s="204">
        <v>2042559.98</v>
      </c>
      <c r="F45" s="132">
        <f t="shared" si="6"/>
        <v>0.20932362045005887</v>
      </c>
      <c r="G45" s="215">
        <f t="shared" si="7"/>
        <v>0.18342486175278949</v>
      </c>
      <c r="H45" s="123"/>
    </row>
    <row r="46" spans="1:8" ht="15.75" x14ac:dyDescent="0.25">
      <c r="A46" s="177"/>
      <c r="B46" s="131">
        <f>DATE(2021,11,1)</f>
        <v>44501</v>
      </c>
      <c r="C46" s="204">
        <v>13753377</v>
      </c>
      <c r="D46" s="204">
        <v>3414579.43</v>
      </c>
      <c r="E46" s="204">
        <v>2060677.45</v>
      </c>
      <c r="F46" s="132">
        <f t="shared" si="6"/>
        <v>0.6570179044760257</v>
      </c>
      <c r="G46" s="215">
        <f t="shared" si="7"/>
        <v>0.24827207383321204</v>
      </c>
      <c r="H46" s="123"/>
    </row>
    <row r="47" spans="1:8" ht="15.75" x14ac:dyDescent="0.25">
      <c r="A47" s="177"/>
      <c r="B47" s="131">
        <f>DATE(2021,12,1)</f>
        <v>44531</v>
      </c>
      <c r="C47" s="204">
        <v>14064831.5</v>
      </c>
      <c r="D47" s="204">
        <v>3251944</v>
      </c>
      <c r="E47" s="204">
        <v>2612129.91</v>
      </c>
      <c r="F47" s="132">
        <f t="shared" si="6"/>
        <v>0.24493961328286304</v>
      </c>
      <c r="G47" s="215">
        <f t="shared" si="7"/>
        <v>0.23121101735203867</v>
      </c>
      <c r="H47" s="123"/>
    </row>
    <row r="48" spans="1:8" ht="15.75" x14ac:dyDescent="0.25">
      <c r="A48" s="177"/>
      <c r="B48" s="131">
        <f>DATE(2022,1,1)</f>
        <v>44562</v>
      </c>
      <c r="C48" s="204">
        <v>13221893</v>
      </c>
      <c r="D48" s="204">
        <v>3271232.5</v>
      </c>
      <c r="E48" s="204">
        <v>2320369.71</v>
      </c>
      <c r="F48" s="132">
        <f t="shared" si="6"/>
        <v>0.40978934775010489</v>
      </c>
      <c r="G48" s="215">
        <f t="shared" si="7"/>
        <v>0.24741029896399858</v>
      </c>
      <c r="H48" s="123"/>
    </row>
    <row r="49" spans="1:8" ht="15.75" x14ac:dyDescent="0.25">
      <c r="A49" s="177"/>
      <c r="B49" s="131">
        <f>DATE(2022,2,1)</f>
        <v>44593</v>
      </c>
      <c r="C49" s="204">
        <v>13097961</v>
      </c>
      <c r="D49" s="204">
        <v>2578515.35</v>
      </c>
      <c r="E49" s="204">
        <v>1688741</v>
      </c>
      <c r="F49" s="132">
        <f t="shared" si="6"/>
        <v>0.52688621286508708</v>
      </c>
      <c r="G49" s="215">
        <f t="shared" si="7"/>
        <v>0.1968638744610707</v>
      </c>
      <c r="H49" s="123"/>
    </row>
    <row r="50" spans="1:8" ht="15.75" customHeight="1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customHeight="1" thickTop="1" thickBot="1" x14ac:dyDescent="0.3">
      <c r="A51" s="141" t="s">
        <v>14</v>
      </c>
      <c r="B51" s="142"/>
      <c r="C51" s="206">
        <f>SUM(C42:C50)</f>
        <v>106790991.5</v>
      </c>
      <c r="D51" s="206">
        <f>SUM(D42:D50)</f>
        <v>22567899.810000002</v>
      </c>
      <c r="E51" s="206">
        <f>SUM(E42:E50)</f>
        <v>16610642.609999999</v>
      </c>
      <c r="F51" s="143">
        <f>(+D51-E51)/E51</f>
        <v>0.35864098336650707</v>
      </c>
      <c r="G51" s="217">
        <f>D51/C51</f>
        <v>0.21132774865190762</v>
      </c>
      <c r="H51" s="123"/>
    </row>
    <row r="52" spans="1:8" ht="15.75" customHeight="1" thickTop="1" x14ac:dyDescent="0.2">
      <c r="A52" s="133"/>
      <c r="B52" s="134"/>
      <c r="C52" s="204"/>
      <c r="D52" s="204"/>
      <c r="E52" s="204"/>
      <c r="F52" s="132"/>
      <c r="G52" s="218"/>
      <c r="H52" s="123"/>
    </row>
    <row r="53" spans="1:8" ht="15" customHeight="1" x14ac:dyDescent="0.25">
      <c r="A53" s="130" t="s">
        <v>62</v>
      </c>
      <c r="B53" s="131">
        <f>DATE(2021,7,1)</f>
        <v>44378</v>
      </c>
      <c r="C53" s="204">
        <v>14071705.5</v>
      </c>
      <c r="D53" s="204">
        <v>3475895.5</v>
      </c>
      <c r="E53" s="204">
        <v>2410424.5</v>
      </c>
      <c r="F53" s="132">
        <f t="shared" ref="F53:F60" si="8">(+D53-E53)/E53</f>
        <v>0.44202629038992924</v>
      </c>
      <c r="G53" s="215">
        <f t="shared" ref="G53:G60" si="9">D53/C53</f>
        <v>0.2470130930468947</v>
      </c>
      <c r="H53" s="123"/>
    </row>
    <row r="54" spans="1:8" ht="15" customHeight="1" x14ac:dyDescent="0.25">
      <c r="A54" s="130"/>
      <c r="B54" s="131">
        <f>DATE(2021,8,1)</f>
        <v>44409</v>
      </c>
      <c r="C54" s="204">
        <v>13718026</v>
      </c>
      <c r="D54" s="204">
        <v>1742952</v>
      </c>
      <c r="E54" s="204">
        <v>3089213</v>
      </c>
      <c r="F54" s="132">
        <f t="shared" si="8"/>
        <v>-0.43579416505109875</v>
      </c>
      <c r="G54" s="215">
        <f t="shared" si="9"/>
        <v>0.1270555982325737</v>
      </c>
      <c r="H54" s="123"/>
    </row>
    <row r="55" spans="1:8" ht="15" customHeight="1" x14ac:dyDescent="0.25">
      <c r="A55" s="130"/>
      <c r="B55" s="131">
        <f>DATE(2021,9,1)</f>
        <v>44440</v>
      </c>
      <c r="C55" s="204">
        <v>12923567</v>
      </c>
      <c r="D55" s="204">
        <v>3305560.5</v>
      </c>
      <c r="E55" s="204">
        <v>3482637.89</v>
      </c>
      <c r="F55" s="132">
        <f t="shared" si="8"/>
        <v>-5.0845765650358823E-2</v>
      </c>
      <c r="G55" s="215">
        <f t="shared" si="9"/>
        <v>0.25577771988182518</v>
      </c>
      <c r="H55" s="123"/>
    </row>
    <row r="56" spans="1:8" ht="15" customHeight="1" x14ac:dyDescent="0.25">
      <c r="A56" s="130"/>
      <c r="B56" s="131">
        <f>DATE(2021,10,1)</f>
        <v>44470</v>
      </c>
      <c r="C56" s="204">
        <v>12696171.5</v>
      </c>
      <c r="D56" s="204">
        <v>3513957.5</v>
      </c>
      <c r="E56" s="204">
        <v>3513244</v>
      </c>
      <c r="F56" s="132">
        <f t="shared" si="8"/>
        <v>2.0308865538516539E-4</v>
      </c>
      <c r="G56" s="215">
        <f t="shared" si="9"/>
        <v>0.27677300200300542</v>
      </c>
      <c r="H56" s="123"/>
    </row>
    <row r="57" spans="1:8" ht="15" customHeight="1" x14ac:dyDescent="0.25">
      <c r="A57" s="130"/>
      <c r="B57" s="131">
        <f>DATE(2021,11,1)</f>
        <v>44501</v>
      </c>
      <c r="C57" s="204">
        <v>13220454</v>
      </c>
      <c r="D57" s="204">
        <v>3943943</v>
      </c>
      <c r="E57" s="204">
        <v>2437183.5</v>
      </c>
      <c r="F57" s="132">
        <f t="shared" si="8"/>
        <v>0.61823801941872658</v>
      </c>
      <c r="G57" s="215">
        <f t="shared" si="9"/>
        <v>0.2983212981944493</v>
      </c>
      <c r="H57" s="123"/>
    </row>
    <row r="58" spans="1:8" ht="15" customHeight="1" x14ac:dyDescent="0.25">
      <c r="A58" s="130"/>
      <c r="B58" s="131">
        <f>DATE(2021,12,1)</f>
        <v>44531</v>
      </c>
      <c r="C58" s="204">
        <v>14266562</v>
      </c>
      <c r="D58" s="204">
        <v>2827634.5</v>
      </c>
      <c r="E58" s="204">
        <v>2589172</v>
      </c>
      <c r="F58" s="132">
        <f t="shared" si="8"/>
        <v>9.2099906842805349E-2</v>
      </c>
      <c r="G58" s="215">
        <f t="shared" si="9"/>
        <v>0.19820013399163722</v>
      </c>
      <c r="H58" s="123"/>
    </row>
    <row r="59" spans="1:8" ht="15" customHeight="1" x14ac:dyDescent="0.25">
      <c r="A59" s="130"/>
      <c r="B59" s="131">
        <f>DATE(2022,1,1)</f>
        <v>44562</v>
      </c>
      <c r="C59" s="204">
        <v>15062919</v>
      </c>
      <c r="D59" s="204">
        <v>3537082.5</v>
      </c>
      <c r="E59" s="204">
        <v>3152748</v>
      </c>
      <c r="F59" s="132">
        <f t="shared" si="8"/>
        <v>0.12190460512543343</v>
      </c>
      <c r="G59" s="215">
        <f t="shared" si="9"/>
        <v>0.23482052183909374</v>
      </c>
      <c r="H59" s="123"/>
    </row>
    <row r="60" spans="1:8" ht="15" customHeight="1" x14ac:dyDescent="0.25">
      <c r="A60" s="130"/>
      <c r="B60" s="131">
        <f>DATE(2022,2,1)</f>
        <v>44593</v>
      </c>
      <c r="C60" s="204">
        <v>12090471.25</v>
      </c>
      <c r="D60" s="204">
        <v>1988046.25</v>
      </c>
      <c r="E60" s="204">
        <v>2941714</v>
      </c>
      <c r="F60" s="132">
        <f t="shared" si="8"/>
        <v>-0.32418778644015017</v>
      </c>
      <c r="G60" s="215">
        <f t="shared" si="9"/>
        <v>0.16443083225560789</v>
      </c>
      <c r="H60" s="123"/>
    </row>
    <row r="61" spans="1:8" ht="15.75" thickBot="1" x14ac:dyDescent="0.25">
      <c r="A61" s="133"/>
      <c r="B61" s="131"/>
      <c r="C61" s="204"/>
      <c r="D61" s="204"/>
      <c r="E61" s="204"/>
      <c r="F61" s="132"/>
      <c r="G61" s="215"/>
      <c r="H61" s="123"/>
    </row>
    <row r="62" spans="1:8" ht="17.25" customHeight="1" thickTop="1" thickBot="1" x14ac:dyDescent="0.3">
      <c r="A62" s="141" t="s">
        <v>14</v>
      </c>
      <c r="B62" s="142"/>
      <c r="C62" s="207">
        <f>SUM(C53:C61)</f>
        <v>108049876.25</v>
      </c>
      <c r="D62" s="261">
        <f>SUM(D53:D61)</f>
        <v>24335071.75</v>
      </c>
      <c r="E62" s="206">
        <f>SUM(E53:E61)</f>
        <v>23616336.890000001</v>
      </c>
      <c r="F62" s="268">
        <f>(+D62-E62)/E62</f>
        <v>3.0433799422311652E-2</v>
      </c>
      <c r="G62" s="267">
        <f>D62/C62</f>
        <v>0.22522072763595599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66</v>
      </c>
      <c r="B64" s="131">
        <f>DATE(2021,7,1)</f>
        <v>44378</v>
      </c>
      <c r="C64" s="204">
        <v>3514368</v>
      </c>
      <c r="D64" s="204">
        <v>729030</v>
      </c>
      <c r="E64" s="204">
        <v>572750</v>
      </c>
      <c r="F64" s="132">
        <f t="shared" ref="F64:F71" si="10">(+D64-E64)/E64</f>
        <v>0.27285901353120906</v>
      </c>
      <c r="G64" s="215">
        <f t="shared" ref="G64:G71" si="11">D64/C64</f>
        <v>0.2074427037805944</v>
      </c>
      <c r="H64" s="123"/>
    </row>
    <row r="65" spans="1:8" ht="15.75" x14ac:dyDescent="0.25">
      <c r="A65" s="130"/>
      <c r="B65" s="131">
        <f>DATE(2021,8,1)</f>
        <v>44409</v>
      </c>
      <c r="C65" s="204">
        <v>2699849</v>
      </c>
      <c r="D65" s="204">
        <v>844084.5</v>
      </c>
      <c r="E65" s="204">
        <v>629353.5</v>
      </c>
      <c r="F65" s="132">
        <f t="shared" si="10"/>
        <v>0.34119298613577265</v>
      </c>
      <c r="G65" s="215">
        <f t="shared" si="11"/>
        <v>0.31264137364719286</v>
      </c>
      <c r="H65" s="123"/>
    </row>
    <row r="66" spans="1:8" ht="15.75" x14ac:dyDescent="0.25">
      <c r="A66" s="130"/>
      <c r="B66" s="131">
        <f>DATE(2021,9,1)</f>
        <v>44440</v>
      </c>
      <c r="C66" s="204">
        <v>2582290</v>
      </c>
      <c r="D66" s="204">
        <v>707619</v>
      </c>
      <c r="E66" s="204">
        <v>564621.5</v>
      </c>
      <c r="F66" s="132">
        <f t="shared" si="10"/>
        <v>0.2532625838725589</v>
      </c>
      <c r="G66" s="215">
        <f t="shared" si="11"/>
        <v>0.27402770409210431</v>
      </c>
      <c r="H66" s="123"/>
    </row>
    <row r="67" spans="1:8" ht="15.75" x14ac:dyDescent="0.25">
      <c r="A67" s="130"/>
      <c r="B67" s="131">
        <f>DATE(2021,10,1)</f>
        <v>44470</v>
      </c>
      <c r="C67" s="204">
        <v>2647781</v>
      </c>
      <c r="D67" s="204">
        <v>435392</v>
      </c>
      <c r="E67" s="204">
        <v>553335.5</v>
      </c>
      <c r="F67" s="132">
        <f t="shared" si="10"/>
        <v>-0.21315006899069372</v>
      </c>
      <c r="G67" s="215">
        <f t="shared" si="11"/>
        <v>0.16443656027443357</v>
      </c>
      <c r="H67" s="123"/>
    </row>
    <row r="68" spans="1:8" ht="15.75" x14ac:dyDescent="0.25">
      <c r="A68" s="130"/>
      <c r="B68" s="131">
        <f>DATE(2021,11,1)</f>
        <v>44501</v>
      </c>
      <c r="C68" s="204">
        <v>2909471</v>
      </c>
      <c r="D68" s="204">
        <v>706210</v>
      </c>
      <c r="E68" s="204">
        <v>402553.5</v>
      </c>
      <c r="F68" s="132">
        <f t="shared" si="10"/>
        <v>0.75432582253042146</v>
      </c>
      <c r="G68" s="215">
        <f t="shared" si="11"/>
        <v>0.24272797357320283</v>
      </c>
      <c r="H68" s="123"/>
    </row>
    <row r="69" spans="1:8" ht="15.75" x14ac:dyDescent="0.25">
      <c r="A69" s="130"/>
      <c r="B69" s="131">
        <f>DATE(2021,12,1)</f>
        <v>44531</v>
      </c>
      <c r="C69" s="204">
        <v>3194523</v>
      </c>
      <c r="D69" s="204">
        <v>737876.5</v>
      </c>
      <c r="E69" s="204">
        <v>614666.5</v>
      </c>
      <c r="F69" s="132">
        <f t="shared" si="10"/>
        <v>0.20045016281186628</v>
      </c>
      <c r="G69" s="215">
        <f t="shared" si="11"/>
        <v>0.23098174594454321</v>
      </c>
      <c r="H69" s="123"/>
    </row>
    <row r="70" spans="1:8" ht="15.75" x14ac:dyDescent="0.25">
      <c r="A70" s="130"/>
      <c r="B70" s="131">
        <f>DATE(2022,1,1)</f>
        <v>44562</v>
      </c>
      <c r="C70" s="204">
        <v>2693167</v>
      </c>
      <c r="D70" s="204">
        <v>670212</v>
      </c>
      <c r="E70" s="204">
        <v>697063</v>
      </c>
      <c r="F70" s="132">
        <f t="shared" si="10"/>
        <v>-3.8520191144846304E-2</v>
      </c>
      <c r="G70" s="215">
        <f t="shared" si="11"/>
        <v>0.24885645784312671</v>
      </c>
      <c r="H70" s="123"/>
    </row>
    <row r="71" spans="1:8" ht="15.75" x14ac:dyDescent="0.25">
      <c r="A71" s="130"/>
      <c r="B71" s="131">
        <f>DATE(2022,2,1)</f>
        <v>44593</v>
      </c>
      <c r="C71" s="204">
        <v>2573481</v>
      </c>
      <c r="D71" s="204">
        <v>521651.5</v>
      </c>
      <c r="E71" s="204">
        <v>596898</v>
      </c>
      <c r="F71" s="132">
        <f t="shared" si="10"/>
        <v>-0.12606257685567718</v>
      </c>
      <c r="G71" s="215">
        <f t="shared" si="11"/>
        <v>0.20270268169844657</v>
      </c>
      <c r="H71" s="123"/>
    </row>
    <row r="72" spans="1:8" ht="15.75" customHeight="1" thickBot="1" x14ac:dyDescent="0.3">
      <c r="A72" s="130"/>
      <c r="B72" s="131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1" t="s">
        <v>14</v>
      </c>
      <c r="B73" s="142"/>
      <c r="C73" s="207">
        <f>SUM(C64:C72)</f>
        <v>22814930</v>
      </c>
      <c r="D73" s="261">
        <f>SUM(D64:D72)</f>
        <v>5352075.5</v>
      </c>
      <c r="E73" s="207">
        <f>SUM(E64:E72)</f>
        <v>4631241.5</v>
      </c>
      <c r="F73" s="268">
        <f>(+D73-E73)/E73</f>
        <v>0.1556459536821822</v>
      </c>
      <c r="G73" s="267">
        <f>D73/C73</f>
        <v>0.23458654048029076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70</v>
      </c>
      <c r="B75" s="131">
        <f>DATE(2021,7,1)</f>
        <v>44378</v>
      </c>
      <c r="C75" s="204">
        <v>6154700</v>
      </c>
      <c r="D75" s="204">
        <v>1067621</v>
      </c>
      <c r="E75" s="204">
        <v>248731.5</v>
      </c>
      <c r="F75" s="132">
        <f t="shared" ref="F75:F82" si="12">(+D75-E75)/E75</f>
        <v>3.2922629421685632</v>
      </c>
      <c r="G75" s="215">
        <f t="shared" ref="G75:G82" si="13">D75/C75</f>
        <v>0.17346434432222529</v>
      </c>
      <c r="H75" s="123"/>
    </row>
    <row r="76" spans="1:8" ht="15.75" x14ac:dyDescent="0.25">
      <c r="A76" s="130"/>
      <c r="B76" s="131">
        <f>DATE(2021,8,1)</f>
        <v>44409</v>
      </c>
      <c r="C76" s="204">
        <v>5891930</v>
      </c>
      <c r="D76" s="204">
        <v>666603.5</v>
      </c>
      <c r="E76" s="204">
        <v>268487</v>
      </c>
      <c r="F76" s="132">
        <f t="shared" si="12"/>
        <v>1.4828148104005037</v>
      </c>
      <c r="G76" s="215">
        <f t="shared" si="13"/>
        <v>0.11313839438010974</v>
      </c>
      <c r="H76" s="123"/>
    </row>
    <row r="77" spans="1:8" ht="15.75" x14ac:dyDescent="0.25">
      <c r="A77" s="130"/>
      <c r="B77" s="131">
        <f>DATE(2021,9,1)</f>
        <v>44440</v>
      </c>
      <c r="C77" s="204">
        <v>7061445</v>
      </c>
      <c r="D77" s="204">
        <v>1135711.5</v>
      </c>
      <c r="E77" s="204">
        <v>277957.5</v>
      </c>
      <c r="F77" s="132">
        <f t="shared" si="12"/>
        <v>3.0859178111761691</v>
      </c>
      <c r="G77" s="215">
        <f t="shared" si="13"/>
        <v>0.16083273324369163</v>
      </c>
      <c r="H77" s="123"/>
    </row>
    <row r="78" spans="1:8" ht="15.75" x14ac:dyDescent="0.25">
      <c r="A78" s="130"/>
      <c r="B78" s="131">
        <f>DATE(2021,10,1)</f>
        <v>44470</v>
      </c>
      <c r="C78" s="204">
        <v>7202787</v>
      </c>
      <c r="D78" s="204">
        <v>1168170.5</v>
      </c>
      <c r="E78" s="204">
        <v>306011.5</v>
      </c>
      <c r="F78" s="132">
        <f t="shared" si="12"/>
        <v>2.8174071889455137</v>
      </c>
      <c r="G78" s="215">
        <f t="shared" si="13"/>
        <v>0.16218312439337718</v>
      </c>
      <c r="H78" s="123"/>
    </row>
    <row r="79" spans="1:8" ht="15.75" x14ac:dyDescent="0.25">
      <c r="A79" s="130"/>
      <c r="B79" s="131">
        <f>DATE(2021,11,1)</f>
        <v>44501</v>
      </c>
      <c r="C79" s="204">
        <v>6938331</v>
      </c>
      <c r="D79" s="204">
        <v>1094072</v>
      </c>
      <c r="E79" s="204">
        <v>264033.5</v>
      </c>
      <c r="F79" s="132">
        <f t="shared" si="12"/>
        <v>3.1436863125323113</v>
      </c>
      <c r="G79" s="215">
        <f t="shared" si="13"/>
        <v>0.15768518394409262</v>
      </c>
      <c r="H79" s="123"/>
    </row>
    <row r="80" spans="1:8" ht="15.75" x14ac:dyDescent="0.25">
      <c r="A80" s="130"/>
      <c r="B80" s="131">
        <f>DATE(2021,12,1)</f>
        <v>44531</v>
      </c>
      <c r="C80" s="204">
        <v>7475553</v>
      </c>
      <c r="D80" s="204">
        <v>924398</v>
      </c>
      <c r="E80" s="204">
        <v>310571</v>
      </c>
      <c r="F80" s="132">
        <f t="shared" si="12"/>
        <v>1.976446609631936</v>
      </c>
      <c r="G80" s="215">
        <f t="shared" si="13"/>
        <v>0.12365613620825108</v>
      </c>
      <c r="H80" s="123"/>
    </row>
    <row r="81" spans="1:8" ht="15.75" x14ac:dyDescent="0.25">
      <c r="A81" s="130"/>
      <c r="B81" s="131">
        <f>DATE(2022,1,1)</f>
        <v>44562</v>
      </c>
      <c r="C81" s="204">
        <v>6391156</v>
      </c>
      <c r="D81" s="204">
        <v>1117761</v>
      </c>
      <c r="E81" s="204">
        <v>371981</v>
      </c>
      <c r="F81" s="132">
        <f t="shared" si="12"/>
        <v>2.0048873463967247</v>
      </c>
      <c r="G81" s="215">
        <f t="shared" si="13"/>
        <v>0.17489183490435847</v>
      </c>
      <c r="H81" s="123"/>
    </row>
    <row r="82" spans="1:8" ht="15.75" x14ac:dyDescent="0.25">
      <c r="A82" s="130"/>
      <c r="B82" s="131">
        <f>DATE(2022,2,1)</f>
        <v>44593</v>
      </c>
      <c r="C82" s="204">
        <v>6103967</v>
      </c>
      <c r="D82" s="204">
        <v>934678</v>
      </c>
      <c r="E82" s="204">
        <v>412016.5</v>
      </c>
      <c r="F82" s="132">
        <f t="shared" si="12"/>
        <v>1.2685450704037338</v>
      </c>
      <c r="G82" s="215">
        <f t="shared" si="13"/>
        <v>0.15312631932643148</v>
      </c>
      <c r="H82" s="123"/>
    </row>
    <row r="83" spans="1:8" ht="15.75" customHeight="1" thickBot="1" x14ac:dyDescent="0.3">
      <c r="A83" s="130"/>
      <c r="B83" s="131"/>
      <c r="C83" s="204"/>
      <c r="D83" s="204"/>
      <c r="E83" s="204"/>
      <c r="F83" s="132"/>
      <c r="G83" s="215"/>
      <c r="H83" s="123"/>
    </row>
    <row r="84" spans="1:8" ht="17.25" thickTop="1" thickBot="1" x14ac:dyDescent="0.3">
      <c r="A84" s="141" t="s">
        <v>14</v>
      </c>
      <c r="B84" s="142"/>
      <c r="C84" s="207">
        <f>SUM(C75:C83)</f>
        <v>53219869</v>
      </c>
      <c r="D84" s="261">
        <f>SUM(D75:D83)</f>
        <v>8109015.5</v>
      </c>
      <c r="E84" s="207">
        <f>SUM(E75:E83)</f>
        <v>2459789.5</v>
      </c>
      <c r="F84" s="269">
        <f>(+D84-E84)/E84</f>
        <v>2.2966298538960346</v>
      </c>
      <c r="G84" s="267">
        <f>D84/C84</f>
        <v>0.15236819729864423</v>
      </c>
      <c r="H84" s="123"/>
    </row>
    <row r="85" spans="1:8" ht="15.75" customHeight="1" thickTop="1" x14ac:dyDescent="0.25">
      <c r="A85" s="130"/>
      <c r="B85" s="139"/>
      <c r="C85" s="205"/>
      <c r="D85" s="205"/>
      <c r="E85" s="205"/>
      <c r="F85" s="140"/>
      <c r="G85" s="216"/>
      <c r="H85" s="123"/>
    </row>
    <row r="86" spans="1:8" ht="15.75" x14ac:dyDescent="0.25">
      <c r="A86" s="130" t="s">
        <v>52</v>
      </c>
      <c r="B86" s="131">
        <f>DATE(2021,7,1)</f>
        <v>44378</v>
      </c>
      <c r="C86" s="204">
        <v>6084758</v>
      </c>
      <c r="D86" s="204">
        <v>1287648</v>
      </c>
      <c r="E86" s="204">
        <v>671384</v>
      </c>
      <c r="F86" s="132">
        <f t="shared" ref="F86:F93" si="14">(+D86-E86)/E86</f>
        <v>0.91790093299810538</v>
      </c>
      <c r="G86" s="215">
        <f t="shared" ref="G86:G93" si="15">D86/C86</f>
        <v>0.21161860504559096</v>
      </c>
      <c r="H86" s="123"/>
    </row>
    <row r="87" spans="1:8" ht="15.75" x14ac:dyDescent="0.25">
      <c r="A87" s="130"/>
      <c r="B87" s="131">
        <f>DATE(2021,8,1)</f>
        <v>44409</v>
      </c>
      <c r="C87" s="204">
        <v>5252172</v>
      </c>
      <c r="D87" s="204">
        <v>1323019.5</v>
      </c>
      <c r="E87" s="204">
        <v>647438.06000000006</v>
      </c>
      <c r="F87" s="132">
        <f t="shared" si="14"/>
        <v>1.043468837775771</v>
      </c>
      <c r="G87" s="215">
        <f t="shared" si="15"/>
        <v>0.25189949986405624</v>
      </c>
      <c r="H87" s="123"/>
    </row>
    <row r="88" spans="1:8" ht="15.75" x14ac:dyDescent="0.25">
      <c r="A88" s="130"/>
      <c r="B88" s="131">
        <f>DATE(2021,9,1)</f>
        <v>44440</v>
      </c>
      <c r="C88" s="204">
        <v>4855923</v>
      </c>
      <c r="D88" s="204">
        <v>858985.36</v>
      </c>
      <c r="E88" s="204">
        <v>476389</v>
      </c>
      <c r="F88" s="132">
        <f t="shared" si="14"/>
        <v>0.80311753629911686</v>
      </c>
      <c r="G88" s="215">
        <f t="shared" si="15"/>
        <v>0.17689435355544147</v>
      </c>
      <c r="H88" s="123"/>
    </row>
    <row r="89" spans="1:8" ht="15.75" x14ac:dyDescent="0.25">
      <c r="A89" s="130"/>
      <c r="B89" s="131">
        <f>DATE(2021,10,1)</f>
        <v>44470</v>
      </c>
      <c r="C89" s="204">
        <v>5531948</v>
      </c>
      <c r="D89" s="204">
        <v>980676.58</v>
      </c>
      <c r="E89" s="204">
        <v>822284.63</v>
      </c>
      <c r="F89" s="132">
        <f t="shared" si="14"/>
        <v>0.19262423766816603</v>
      </c>
      <c r="G89" s="215">
        <f t="shared" si="15"/>
        <v>0.17727509007676862</v>
      </c>
      <c r="H89" s="123"/>
    </row>
    <row r="90" spans="1:8" ht="15.75" x14ac:dyDescent="0.25">
      <c r="A90" s="130"/>
      <c r="B90" s="131">
        <f>DATE(2021,11,1)</f>
        <v>44501</v>
      </c>
      <c r="C90" s="204">
        <v>4904264</v>
      </c>
      <c r="D90" s="204">
        <v>1337612.57</v>
      </c>
      <c r="E90" s="204">
        <v>587592.5</v>
      </c>
      <c r="F90" s="132">
        <f t="shared" si="14"/>
        <v>1.2764289367206016</v>
      </c>
      <c r="G90" s="215">
        <f t="shared" si="15"/>
        <v>0.27274481349291146</v>
      </c>
      <c r="H90" s="123"/>
    </row>
    <row r="91" spans="1:8" ht="15.75" x14ac:dyDescent="0.25">
      <c r="A91" s="130"/>
      <c r="B91" s="131">
        <f>DATE(2021,12,1)</f>
        <v>44531</v>
      </c>
      <c r="C91" s="204">
        <v>5252655</v>
      </c>
      <c r="D91" s="204">
        <v>927044</v>
      </c>
      <c r="E91" s="204">
        <v>844069.86</v>
      </c>
      <c r="F91" s="132">
        <f t="shared" si="14"/>
        <v>9.830245567588447E-2</v>
      </c>
      <c r="G91" s="215">
        <f t="shared" si="15"/>
        <v>0.17649055572848399</v>
      </c>
      <c r="H91" s="123"/>
    </row>
    <row r="92" spans="1:8" ht="15.75" x14ac:dyDescent="0.25">
      <c r="A92" s="130"/>
      <c r="B92" s="131">
        <f>DATE(2022,1,1)</f>
        <v>44562</v>
      </c>
      <c r="C92" s="204">
        <v>4730977</v>
      </c>
      <c r="D92" s="204">
        <v>922135.79</v>
      </c>
      <c r="E92" s="204">
        <v>1044151.5</v>
      </c>
      <c r="F92" s="132">
        <f t="shared" si="14"/>
        <v>-0.11685632784131418</v>
      </c>
      <c r="G92" s="215">
        <f t="shared" si="15"/>
        <v>0.19491445213113487</v>
      </c>
      <c r="H92" s="123"/>
    </row>
    <row r="93" spans="1:8" ht="15.75" x14ac:dyDescent="0.25">
      <c r="A93" s="130"/>
      <c r="B93" s="131">
        <f>DATE(2022,2,1)</f>
        <v>44593</v>
      </c>
      <c r="C93" s="204">
        <v>5193592</v>
      </c>
      <c r="D93" s="204">
        <v>1013590.48</v>
      </c>
      <c r="E93" s="204">
        <v>1000996.5</v>
      </c>
      <c r="F93" s="132">
        <f t="shared" si="14"/>
        <v>1.2581442592456598E-2</v>
      </c>
      <c r="G93" s="215">
        <f t="shared" si="15"/>
        <v>0.195161745474038</v>
      </c>
      <c r="H93" s="123"/>
    </row>
    <row r="94" spans="1:8" ht="15.75" customHeight="1" thickBot="1" x14ac:dyDescent="0.3">
      <c r="A94" s="130"/>
      <c r="B94" s="131"/>
      <c r="C94" s="204"/>
      <c r="D94" s="204"/>
      <c r="E94" s="204"/>
      <c r="F94" s="132"/>
      <c r="G94" s="215"/>
      <c r="H94" s="123"/>
    </row>
    <row r="95" spans="1:8" ht="17.25" thickTop="1" thickBot="1" x14ac:dyDescent="0.3">
      <c r="A95" s="141" t="s">
        <v>14</v>
      </c>
      <c r="B95" s="142"/>
      <c r="C95" s="206">
        <f>SUM(C86:C94)</f>
        <v>41806289</v>
      </c>
      <c r="D95" s="206">
        <f>SUM(D86:D94)</f>
        <v>8650712.2799999993</v>
      </c>
      <c r="E95" s="206">
        <f>SUM(E86:E94)</f>
        <v>6094306.0499999998</v>
      </c>
      <c r="F95" s="143">
        <f>(+D95-E95)/E95</f>
        <v>0.41947454050162114</v>
      </c>
      <c r="G95" s="217">
        <f>D95/C95</f>
        <v>0.20692370662222612</v>
      </c>
      <c r="H95" s="123"/>
    </row>
    <row r="96" spans="1:8" ht="15.75" customHeight="1" thickTop="1" x14ac:dyDescent="0.25">
      <c r="A96" s="138"/>
      <c r="B96" s="139"/>
      <c r="C96" s="205"/>
      <c r="D96" s="205"/>
      <c r="E96" s="205"/>
      <c r="F96" s="140"/>
      <c r="G96" s="216"/>
      <c r="H96" s="123"/>
    </row>
    <row r="97" spans="1:8" ht="15.75" x14ac:dyDescent="0.25">
      <c r="A97" s="130" t="s">
        <v>16</v>
      </c>
      <c r="B97" s="131">
        <f>DATE(2021,7,1)</f>
        <v>44378</v>
      </c>
      <c r="C97" s="204">
        <v>10188404</v>
      </c>
      <c r="D97" s="204">
        <v>1960105</v>
      </c>
      <c r="E97" s="204">
        <v>1702806.5</v>
      </c>
      <c r="F97" s="132">
        <f t="shared" ref="F97:F104" si="16">(+D97-E97)/E97</f>
        <v>0.15110260619747459</v>
      </c>
      <c r="G97" s="215">
        <f t="shared" ref="G97:G104" si="17">D97/C97</f>
        <v>0.19238587319466327</v>
      </c>
      <c r="H97" s="123"/>
    </row>
    <row r="98" spans="1:8" ht="15.75" x14ac:dyDescent="0.25">
      <c r="A98" s="130"/>
      <c r="B98" s="131">
        <f>DATE(2021,8,1)</f>
        <v>44409</v>
      </c>
      <c r="C98" s="204">
        <v>8876957</v>
      </c>
      <c r="D98" s="204">
        <v>2276188.5</v>
      </c>
      <c r="E98" s="204">
        <v>1570570.5</v>
      </c>
      <c r="F98" s="132">
        <f t="shared" si="16"/>
        <v>0.44927496091388447</v>
      </c>
      <c r="G98" s="215">
        <f t="shared" si="17"/>
        <v>0.25641540226003123</v>
      </c>
      <c r="H98" s="123"/>
    </row>
    <row r="99" spans="1:8" ht="15.75" x14ac:dyDescent="0.25">
      <c r="A99" s="130"/>
      <c r="B99" s="131">
        <f>DATE(2021,9,1)</f>
        <v>44440</v>
      </c>
      <c r="C99" s="204">
        <v>8784096</v>
      </c>
      <c r="D99" s="204">
        <v>937001</v>
      </c>
      <c r="E99" s="204">
        <v>1447626.5</v>
      </c>
      <c r="F99" s="132">
        <f t="shared" si="16"/>
        <v>-0.35273290451646194</v>
      </c>
      <c r="G99" s="215">
        <f t="shared" si="17"/>
        <v>0.10667016844988944</v>
      </c>
      <c r="H99" s="123"/>
    </row>
    <row r="100" spans="1:8" ht="15.75" x14ac:dyDescent="0.25">
      <c r="A100" s="130"/>
      <c r="B100" s="131">
        <f>DATE(2021,10,1)</f>
        <v>44470</v>
      </c>
      <c r="C100" s="204">
        <v>9422231</v>
      </c>
      <c r="D100" s="204">
        <v>1775955</v>
      </c>
      <c r="E100" s="204">
        <v>1659455</v>
      </c>
      <c r="F100" s="132">
        <f t="shared" si="16"/>
        <v>7.0203771720233454E-2</v>
      </c>
      <c r="G100" s="215">
        <f t="shared" si="17"/>
        <v>0.18848561450042989</v>
      </c>
      <c r="H100" s="123"/>
    </row>
    <row r="101" spans="1:8" ht="15.75" x14ac:dyDescent="0.25">
      <c r="A101" s="130"/>
      <c r="B101" s="131">
        <f>DATE(2021,11,1)</f>
        <v>44501</v>
      </c>
      <c r="C101" s="204">
        <v>10195584</v>
      </c>
      <c r="D101" s="204">
        <v>2249032.5</v>
      </c>
      <c r="E101" s="204">
        <v>1564224</v>
      </c>
      <c r="F101" s="132">
        <f t="shared" si="16"/>
        <v>0.43779439517613844</v>
      </c>
      <c r="G101" s="215">
        <f t="shared" si="17"/>
        <v>0.22058888436405408</v>
      </c>
      <c r="H101" s="123"/>
    </row>
    <row r="102" spans="1:8" ht="15.75" x14ac:dyDescent="0.25">
      <c r="A102" s="130"/>
      <c r="B102" s="131">
        <f>DATE(2021,12,1)</f>
        <v>44531</v>
      </c>
      <c r="C102" s="204">
        <v>10435449</v>
      </c>
      <c r="D102" s="204">
        <v>1878218</v>
      </c>
      <c r="E102" s="204">
        <v>1930831.5</v>
      </c>
      <c r="F102" s="132">
        <f t="shared" si="16"/>
        <v>-2.7249141108377402E-2</v>
      </c>
      <c r="G102" s="215">
        <f t="shared" si="17"/>
        <v>0.17998439741308686</v>
      </c>
      <c r="H102" s="123"/>
    </row>
    <row r="103" spans="1:8" ht="15.75" x14ac:dyDescent="0.25">
      <c r="A103" s="130"/>
      <c r="B103" s="131">
        <f>DATE(2022,1,1)</f>
        <v>44562</v>
      </c>
      <c r="C103" s="204">
        <v>9421097</v>
      </c>
      <c r="D103" s="204">
        <v>1684861.5</v>
      </c>
      <c r="E103" s="204">
        <v>2028934.5</v>
      </c>
      <c r="F103" s="132">
        <f t="shared" si="16"/>
        <v>-0.16958309891226159</v>
      </c>
      <c r="G103" s="215">
        <f t="shared" si="17"/>
        <v>0.17883920524329597</v>
      </c>
      <c r="H103" s="123"/>
    </row>
    <row r="104" spans="1:8" ht="15.75" x14ac:dyDescent="0.25">
      <c r="A104" s="130"/>
      <c r="B104" s="131">
        <f>DATE(2022,2,1)</f>
        <v>44593</v>
      </c>
      <c r="C104" s="204">
        <v>9395663</v>
      </c>
      <c r="D104" s="204">
        <v>1861049</v>
      </c>
      <c r="E104" s="204">
        <v>1539079.5</v>
      </c>
      <c r="F104" s="132">
        <f t="shared" si="16"/>
        <v>0.20919614613800003</v>
      </c>
      <c r="G104" s="215">
        <f t="shared" si="17"/>
        <v>0.19807532475355916</v>
      </c>
      <c r="H104" s="123"/>
    </row>
    <row r="105" spans="1:8" ht="15.75" customHeight="1" thickBot="1" x14ac:dyDescent="0.3">
      <c r="A105" s="130"/>
      <c r="B105" s="131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1" t="s">
        <v>14</v>
      </c>
      <c r="B106" s="142"/>
      <c r="C106" s="206">
        <f>SUM(C97:C105)</f>
        <v>76719481</v>
      </c>
      <c r="D106" s="206">
        <f>SUM(D97:D105)</f>
        <v>14622410.5</v>
      </c>
      <c r="E106" s="206">
        <f>SUM(E97:E105)</f>
        <v>13443528</v>
      </c>
      <c r="F106" s="143">
        <f>(+D106-E106)/E106</f>
        <v>8.7691452719851515E-2</v>
      </c>
      <c r="G106" s="217">
        <f>D106/C106</f>
        <v>0.19059579534955404</v>
      </c>
      <c r="H106" s="123"/>
    </row>
    <row r="107" spans="1:8" ht="15.75" customHeight="1" thickTop="1" x14ac:dyDescent="0.25">
      <c r="A107" s="138"/>
      <c r="B107" s="139"/>
      <c r="C107" s="205"/>
      <c r="D107" s="205"/>
      <c r="E107" s="205"/>
      <c r="F107" s="140"/>
      <c r="G107" s="216"/>
      <c r="H107" s="123"/>
    </row>
    <row r="108" spans="1:8" ht="15.75" x14ac:dyDescent="0.25">
      <c r="A108" s="130" t="s">
        <v>54</v>
      </c>
      <c r="B108" s="131">
        <f>DATE(2021,7,1)</f>
        <v>44378</v>
      </c>
      <c r="C108" s="204">
        <v>12892239.5</v>
      </c>
      <c r="D108" s="204">
        <v>2503594.66</v>
      </c>
      <c r="E108" s="204">
        <v>1922906.33</v>
      </c>
      <c r="F108" s="132">
        <f t="shared" ref="F108:F115" si="18">(+D108-E108)/E108</f>
        <v>0.30198472018135175</v>
      </c>
      <c r="G108" s="215">
        <f t="shared" ref="G108:G115" si="19">D108/C108</f>
        <v>0.19419393038734661</v>
      </c>
      <c r="H108" s="123"/>
    </row>
    <row r="109" spans="1:8" ht="15.75" x14ac:dyDescent="0.25">
      <c r="A109" s="130"/>
      <c r="B109" s="131">
        <f>DATE(2021,8,1)</f>
        <v>44409</v>
      </c>
      <c r="C109" s="204">
        <v>12937175</v>
      </c>
      <c r="D109" s="204">
        <v>2041955.48</v>
      </c>
      <c r="E109" s="204">
        <v>2698345.86</v>
      </c>
      <c r="F109" s="132">
        <f t="shared" si="18"/>
        <v>-0.24325657793919714</v>
      </c>
      <c r="G109" s="215">
        <f t="shared" si="19"/>
        <v>0.15783627260201705</v>
      </c>
      <c r="H109" s="123"/>
    </row>
    <row r="110" spans="1:8" ht="15.75" x14ac:dyDescent="0.25">
      <c r="A110" s="130"/>
      <c r="B110" s="131">
        <f>DATE(2021,9,1)</f>
        <v>44440</v>
      </c>
      <c r="C110" s="204">
        <v>13265484</v>
      </c>
      <c r="D110" s="204">
        <v>2713567.27</v>
      </c>
      <c r="E110" s="204">
        <v>2773332.44</v>
      </c>
      <c r="F110" s="132">
        <f t="shared" si="18"/>
        <v>-2.1549948047339007E-2</v>
      </c>
      <c r="G110" s="215">
        <f t="shared" si="19"/>
        <v>0.20455848199733986</v>
      </c>
      <c r="H110" s="123"/>
    </row>
    <row r="111" spans="1:8" ht="15.75" x14ac:dyDescent="0.25">
      <c r="A111" s="130"/>
      <c r="B111" s="131">
        <f>DATE(2021,10,1)</f>
        <v>44470</v>
      </c>
      <c r="C111" s="204">
        <v>14843224</v>
      </c>
      <c r="D111" s="204">
        <v>2659301.4700000002</v>
      </c>
      <c r="E111" s="204">
        <v>2099358.0099999998</v>
      </c>
      <c r="F111" s="132">
        <f t="shared" si="18"/>
        <v>0.26672128209328172</v>
      </c>
      <c r="G111" s="215">
        <f t="shared" si="19"/>
        <v>0.17915928978771728</v>
      </c>
      <c r="H111" s="123"/>
    </row>
    <row r="112" spans="1:8" ht="15.75" x14ac:dyDescent="0.25">
      <c r="A112" s="130"/>
      <c r="B112" s="131">
        <f>DATE(2021,11,1)</f>
        <v>44501</v>
      </c>
      <c r="C112" s="204">
        <v>13846501</v>
      </c>
      <c r="D112" s="204">
        <v>2735220.29</v>
      </c>
      <c r="E112" s="204">
        <v>2138602.36</v>
      </c>
      <c r="F112" s="132">
        <f t="shared" si="18"/>
        <v>0.2789756249965048</v>
      </c>
      <c r="G112" s="215">
        <f t="shared" si="19"/>
        <v>0.19753873487605281</v>
      </c>
      <c r="H112" s="123"/>
    </row>
    <row r="113" spans="1:8" ht="15.75" x14ac:dyDescent="0.25">
      <c r="A113" s="130"/>
      <c r="B113" s="131">
        <f>DATE(2021,12,1)</f>
        <v>44531</v>
      </c>
      <c r="C113" s="204">
        <v>15351934</v>
      </c>
      <c r="D113" s="204">
        <v>3180649.5</v>
      </c>
      <c r="E113" s="204">
        <v>1971253.86</v>
      </c>
      <c r="F113" s="132">
        <f t="shared" si="18"/>
        <v>0.61351592737020677</v>
      </c>
      <c r="G113" s="215">
        <f t="shared" si="19"/>
        <v>0.20718233285786664</v>
      </c>
      <c r="H113" s="123"/>
    </row>
    <row r="114" spans="1:8" ht="15.75" x14ac:dyDescent="0.25">
      <c r="A114" s="130"/>
      <c r="B114" s="131">
        <f>DATE(2022,1,1)</f>
        <v>44562</v>
      </c>
      <c r="C114" s="204">
        <v>12615740</v>
      </c>
      <c r="D114" s="204">
        <v>2491683.5699999998</v>
      </c>
      <c r="E114" s="204">
        <v>2332941.5</v>
      </c>
      <c r="F114" s="132">
        <f t="shared" si="18"/>
        <v>6.8043742202708396E-2</v>
      </c>
      <c r="G114" s="215">
        <f t="shared" si="19"/>
        <v>0.19750593861319271</v>
      </c>
      <c r="H114" s="123"/>
    </row>
    <row r="115" spans="1:8" ht="15.75" x14ac:dyDescent="0.25">
      <c r="A115" s="130"/>
      <c r="B115" s="131">
        <f>DATE(2022,2,1)</f>
        <v>44593</v>
      </c>
      <c r="C115" s="204">
        <v>13258339</v>
      </c>
      <c r="D115" s="204">
        <v>2634766.65</v>
      </c>
      <c r="E115" s="204">
        <v>2002620.27</v>
      </c>
      <c r="F115" s="132">
        <f t="shared" si="18"/>
        <v>0.31565963326637053</v>
      </c>
      <c r="G115" s="215">
        <f t="shared" si="19"/>
        <v>0.19872524378807932</v>
      </c>
      <c r="H115" s="123"/>
    </row>
    <row r="116" spans="1:8" ht="15.75" thickBot="1" x14ac:dyDescent="0.25">
      <c r="A116" s="133"/>
      <c r="B116" s="131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1" t="s">
        <v>14</v>
      </c>
      <c r="B117" s="142"/>
      <c r="C117" s="207">
        <f>SUM(C108:C116)</f>
        <v>109010636.5</v>
      </c>
      <c r="D117" s="207">
        <f>SUM(D108:D116)</f>
        <v>20960738.890000001</v>
      </c>
      <c r="E117" s="207">
        <f>SUM(E108:E116)</f>
        <v>17939360.629999999</v>
      </c>
      <c r="F117" s="143">
        <f>(+D117-E117)/E117</f>
        <v>0.16842173599806839</v>
      </c>
      <c r="G117" s="267">
        <f>D117/C117</f>
        <v>0.19228159345716692</v>
      </c>
      <c r="H117" s="123"/>
    </row>
    <row r="118" spans="1:8" ht="15.75" customHeight="1" thickTop="1" x14ac:dyDescent="0.25">
      <c r="A118" s="138"/>
      <c r="B118" s="139"/>
      <c r="C118" s="205"/>
      <c r="D118" s="205"/>
      <c r="E118" s="205"/>
      <c r="F118" s="140"/>
      <c r="G118" s="219"/>
      <c r="H118" s="123"/>
    </row>
    <row r="119" spans="1:8" ht="15.75" x14ac:dyDescent="0.25">
      <c r="A119" s="130" t="s">
        <v>55</v>
      </c>
      <c r="B119" s="131">
        <f>DATE(2021,7,1)</f>
        <v>44378</v>
      </c>
      <c r="C119" s="204">
        <v>371140</v>
      </c>
      <c r="D119" s="204">
        <v>95940.5</v>
      </c>
      <c r="E119" s="204">
        <v>188605.5</v>
      </c>
      <c r="F119" s="132">
        <f t="shared" ref="F119:F126" si="20">(+D119-E119)/E119</f>
        <v>-0.49131653106616724</v>
      </c>
      <c r="G119" s="215">
        <f t="shared" ref="G119:G126" si="21">D119/C119</f>
        <v>0.25850218246483808</v>
      </c>
      <c r="H119" s="123"/>
    </row>
    <row r="120" spans="1:8" ht="15.75" x14ac:dyDescent="0.25">
      <c r="A120" s="130"/>
      <c r="B120" s="131">
        <f>DATE(2021,8,1)</f>
        <v>44409</v>
      </c>
      <c r="C120" s="204">
        <v>365006</v>
      </c>
      <c r="D120" s="204">
        <v>109429</v>
      </c>
      <c r="E120" s="204">
        <v>111546</v>
      </c>
      <c r="F120" s="132">
        <f t="shared" si="20"/>
        <v>-1.8978717300485899E-2</v>
      </c>
      <c r="G120" s="215">
        <f t="shared" si="21"/>
        <v>0.29980055122381549</v>
      </c>
      <c r="H120" s="123"/>
    </row>
    <row r="121" spans="1:8" ht="15.75" x14ac:dyDescent="0.25">
      <c r="A121" s="130"/>
      <c r="B121" s="131">
        <f>DATE(2021,9,1)</f>
        <v>44440</v>
      </c>
      <c r="C121" s="204">
        <v>306911</v>
      </c>
      <c r="D121" s="204">
        <v>101758.5</v>
      </c>
      <c r="E121" s="204">
        <v>108554</v>
      </c>
      <c r="F121" s="132">
        <f t="shared" si="20"/>
        <v>-6.2600180555299673E-2</v>
      </c>
      <c r="G121" s="215">
        <f t="shared" si="21"/>
        <v>0.33155703119145291</v>
      </c>
      <c r="H121" s="123"/>
    </row>
    <row r="122" spans="1:8" ht="15.75" x14ac:dyDescent="0.25">
      <c r="A122" s="130"/>
      <c r="B122" s="131">
        <f>DATE(2021,10,1)</f>
        <v>44470</v>
      </c>
      <c r="C122" s="204">
        <v>384507</v>
      </c>
      <c r="D122" s="204">
        <v>79721.5</v>
      </c>
      <c r="E122" s="204">
        <v>95084.5</v>
      </c>
      <c r="F122" s="132">
        <f t="shared" si="20"/>
        <v>-0.16157207536454418</v>
      </c>
      <c r="G122" s="215">
        <f t="shared" si="21"/>
        <v>0.207334326813296</v>
      </c>
      <c r="H122" s="123"/>
    </row>
    <row r="123" spans="1:8" ht="15.75" x14ac:dyDescent="0.25">
      <c r="A123" s="130"/>
      <c r="B123" s="131">
        <f>DATE(2021,11,1)</f>
        <v>44501</v>
      </c>
      <c r="C123" s="204">
        <v>305940</v>
      </c>
      <c r="D123" s="204">
        <v>65199</v>
      </c>
      <c r="E123" s="204">
        <v>102680.5</v>
      </c>
      <c r="F123" s="132">
        <f t="shared" si="20"/>
        <v>-0.3650303611688685</v>
      </c>
      <c r="G123" s="215">
        <f t="shared" si="21"/>
        <v>0.21311041380662876</v>
      </c>
      <c r="H123" s="123"/>
    </row>
    <row r="124" spans="1:8" ht="15.75" x14ac:dyDescent="0.25">
      <c r="A124" s="130"/>
      <c r="B124" s="131">
        <f>DATE(2021,12,1)</f>
        <v>44531</v>
      </c>
      <c r="C124" s="204">
        <v>301496</v>
      </c>
      <c r="D124" s="204">
        <v>91444</v>
      </c>
      <c r="E124" s="204">
        <v>47733</v>
      </c>
      <c r="F124" s="132">
        <f t="shared" si="20"/>
        <v>0.91573963505331746</v>
      </c>
      <c r="G124" s="215">
        <f t="shared" si="21"/>
        <v>0.30330087298007269</v>
      </c>
      <c r="H124" s="123"/>
    </row>
    <row r="125" spans="1:8" ht="15.75" x14ac:dyDescent="0.25">
      <c r="A125" s="130"/>
      <c r="B125" s="131">
        <f>DATE(2022,1,1)</f>
        <v>44562</v>
      </c>
      <c r="C125" s="204">
        <v>295803</v>
      </c>
      <c r="D125" s="204">
        <v>130796.5</v>
      </c>
      <c r="E125" s="204">
        <v>134105.5</v>
      </c>
      <c r="F125" s="132">
        <f t="shared" si="20"/>
        <v>-2.4674603204193714E-2</v>
      </c>
      <c r="G125" s="215">
        <f t="shared" si="21"/>
        <v>0.44217435252516035</v>
      </c>
      <c r="H125" s="123"/>
    </row>
    <row r="126" spans="1:8" ht="15.75" x14ac:dyDescent="0.25">
      <c r="A126" s="130"/>
      <c r="B126" s="131">
        <f>DATE(2022,2,1)</f>
        <v>44593</v>
      </c>
      <c r="C126" s="204">
        <v>285955</v>
      </c>
      <c r="D126" s="204">
        <v>64197.5</v>
      </c>
      <c r="E126" s="204">
        <v>30769</v>
      </c>
      <c r="F126" s="132">
        <f t="shared" si="20"/>
        <v>1.0864343982579869</v>
      </c>
      <c r="G126" s="215">
        <f t="shared" si="21"/>
        <v>0.22450210697487366</v>
      </c>
      <c r="H126" s="123"/>
    </row>
    <row r="127" spans="1:8" ht="15.75" thickBot="1" x14ac:dyDescent="0.25">
      <c r="A127" s="133"/>
      <c r="B127" s="134"/>
      <c r="C127" s="204"/>
      <c r="D127" s="204"/>
      <c r="E127" s="204"/>
      <c r="F127" s="132"/>
      <c r="G127" s="215"/>
      <c r="H127" s="123"/>
    </row>
    <row r="128" spans="1:8" ht="17.25" thickTop="1" thickBot="1" x14ac:dyDescent="0.3">
      <c r="A128" s="144" t="s">
        <v>14</v>
      </c>
      <c r="B128" s="145"/>
      <c r="C128" s="207">
        <f>SUM(C119:C127)</f>
        <v>2616758</v>
      </c>
      <c r="D128" s="207">
        <f>SUM(D119:D127)</f>
        <v>738486.5</v>
      </c>
      <c r="E128" s="207">
        <f>SUM(E119:E127)</f>
        <v>819078</v>
      </c>
      <c r="F128" s="143">
        <f>(+D128-E128)/E128</f>
        <v>-9.8392949145258451E-2</v>
      </c>
      <c r="G128" s="217">
        <f>D128/C128</f>
        <v>0.28221428959040157</v>
      </c>
      <c r="H128" s="123"/>
    </row>
    <row r="129" spans="1:8" ht="15.75" customHeight="1" thickTop="1" x14ac:dyDescent="0.25">
      <c r="A129" s="130"/>
      <c r="B129" s="134"/>
      <c r="C129" s="204"/>
      <c r="D129" s="204"/>
      <c r="E129" s="204"/>
      <c r="F129" s="132"/>
      <c r="G129" s="218"/>
      <c r="H129" s="123"/>
    </row>
    <row r="130" spans="1:8" ht="15.75" x14ac:dyDescent="0.25">
      <c r="A130" s="130" t="s">
        <v>37</v>
      </c>
      <c r="B130" s="131">
        <f>DATE(2021,7,1)</f>
        <v>44378</v>
      </c>
      <c r="C130" s="204">
        <v>21135748</v>
      </c>
      <c r="D130" s="204">
        <v>4828759.4400000004</v>
      </c>
      <c r="E130" s="204">
        <v>4944391.55</v>
      </c>
      <c r="F130" s="132">
        <f t="shared" ref="F130:F137" si="22">(+D130-E130)/E130</f>
        <v>-2.33865196214081E-2</v>
      </c>
      <c r="G130" s="215">
        <f t="shared" ref="G130:G137" si="23">D130/C130</f>
        <v>0.22846409031750381</v>
      </c>
      <c r="H130" s="123"/>
    </row>
    <row r="131" spans="1:8" ht="15.75" x14ac:dyDescent="0.25">
      <c r="A131" s="130"/>
      <c r="B131" s="131">
        <f>DATE(2021,8,1)</f>
        <v>44409</v>
      </c>
      <c r="C131" s="204">
        <v>21125231</v>
      </c>
      <c r="D131" s="204">
        <v>4617763.22</v>
      </c>
      <c r="E131" s="204">
        <v>3489579.3</v>
      </c>
      <c r="F131" s="132">
        <f t="shared" si="22"/>
        <v>0.32330084030473244</v>
      </c>
      <c r="G131" s="215">
        <f t="shared" si="23"/>
        <v>0.21858995151342958</v>
      </c>
      <c r="H131" s="123"/>
    </row>
    <row r="132" spans="1:8" ht="15.75" x14ac:dyDescent="0.25">
      <c r="A132" s="130"/>
      <c r="B132" s="131">
        <f>DATE(2021,9,1)</f>
        <v>44440</v>
      </c>
      <c r="C132" s="204">
        <v>19406042</v>
      </c>
      <c r="D132" s="204">
        <v>4146063.59</v>
      </c>
      <c r="E132" s="204">
        <v>3694673.89</v>
      </c>
      <c r="F132" s="132">
        <f t="shared" si="22"/>
        <v>0.12217308304847432</v>
      </c>
      <c r="G132" s="215">
        <f t="shared" si="23"/>
        <v>0.21364807877876385</v>
      </c>
      <c r="H132" s="123"/>
    </row>
    <row r="133" spans="1:8" ht="15.75" x14ac:dyDescent="0.25">
      <c r="A133" s="130"/>
      <c r="B133" s="131">
        <f>DATE(2021,10,1)</f>
        <v>44470</v>
      </c>
      <c r="C133" s="204">
        <v>22309255.5</v>
      </c>
      <c r="D133" s="204">
        <v>5459139.5700000003</v>
      </c>
      <c r="E133" s="204">
        <v>4159604.05</v>
      </c>
      <c r="F133" s="132">
        <f t="shared" si="22"/>
        <v>0.31241808219703038</v>
      </c>
      <c r="G133" s="215">
        <f t="shared" si="23"/>
        <v>0.24470290234472417</v>
      </c>
      <c r="H133" s="123"/>
    </row>
    <row r="134" spans="1:8" ht="15.75" x14ac:dyDescent="0.25">
      <c r="A134" s="130"/>
      <c r="B134" s="131">
        <f>DATE(2021,11,1)</f>
        <v>44501</v>
      </c>
      <c r="C134" s="204">
        <v>22481941</v>
      </c>
      <c r="D134" s="204">
        <v>4253233.6500000004</v>
      </c>
      <c r="E134" s="204">
        <v>3752761.48</v>
      </c>
      <c r="F134" s="132">
        <f t="shared" si="22"/>
        <v>0.13336103897549076</v>
      </c>
      <c r="G134" s="215">
        <f t="shared" si="23"/>
        <v>0.18918445031058487</v>
      </c>
      <c r="H134" s="123"/>
    </row>
    <row r="135" spans="1:8" ht="15.75" x14ac:dyDescent="0.25">
      <c r="A135" s="130"/>
      <c r="B135" s="131">
        <f>DATE(2021,12,1)</f>
        <v>44531</v>
      </c>
      <c r="C135" s="204">
        <v>24035711</v>
      </c>
      <c r="D135" s="204">
        <v>5369859.7400000002</v>
      </c>
      <c r="E135" s="204">
        <v>4490962</v>
      </c>
      <c r="F135" s="132">
        <f t="shared" si="22"/>
        <v>0.19570366883531862</v>
      </c>
      <c r="G135" s="215">
        <f t="shared" si="23"/>
        <v>0.223411728490162</v>
      </c>
      <c r="H135" s="123"/>
    </row>
    <row r="136" spans="1:8" ht="15.75" x14ac:dyDescent="0.25">
      <c r="A136" s="130"/>
      <c r="B136" s="131">
        <f>DATE(2022,1,1)</f>
        <v>44562</v>
      </c>
      <c r="C136" s="204">
        <v>21675537</v>
      </c>
      <c r="D136" s="204">
        <v>5388467.7599999998</v>
      </c>
      <c r="E136" s="204">
        <v>4702074.91</v>
      </c>
      <c r="F136" s="132">
        <f t="shared" si="22"/>
        <v>0.14597658759970705</v>
      </c>
      <c r="G136" s="215">
        <f t="shared" si="23"/>
        <v>0.2485967364960785</v>
      </c>
      <c r="H136" s="123"/>
    </row>
    <row r="137" spans="1:8" ht="15.75" x14ac:dyDescent="0.25">
      <c r="A137" s="130"/>
      <c r="B137" s="131">
        <f>DATE(2022,2,1)</f>
        <v>44593</v>
      </c>
      <c r="C137" s="204">
        <v>19782328</v>
      </c>
      <c r="D137" s="204">
        <v>4784841.13</v>
      </c>
      <c r="E137" s="204">
        <v>4573683.54</v>
      </c>
      <c r="F137" s="132">
        <f t="shared" si="22"/>
        <v>4.616794934614122E-2</v>
      </c>
      <c r="G137" s="215">
        <f t="shared" si="23"/>
        <v>0.2418745220481634</v>
      </c>
      <c r="H137" s="123"/>
    </row>
    <row r="138" spans="1:8" ht="15.75" thickBot="1" x14ac:dyDescent="0.25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Top="1" thickBot="1" x14ac:dyDescent="0.3">
      <c r="A139" s="141" t="s">
        <v>14</v>
      </c>
      <c r="B139" s="142"/>
      <c r="C139" s="206">
        <f>SUM(C130:C138)</f>
        <v>171951793.5</v>
      </c>
      <c r="D139" s="207">
        <f>SUM(D130:D138)</f>
        <v>38848128.100000001</v>
      </c>
      <c r="E139" s="206">
        <f>SUM(E130:E138)</f>
        <v>33807730.719999999</v>
      </c>
      <c r="F139" s="143">
        <f>(+D139-E139)/E139</f>
        <v>0.14909008302702201</v>
      </c>
      <c r="G139" s="217">
        <f>D139/C139</f>
        <v>0.22592452983050743</v>
      </c>
      <c r="H139" s="123"/>
    </row>
    <row r="140" spans="1:8" ht="15.75" customHeight="1" thickTop="1" x14ac:dyDescent="0.25">
      <c r="A140" s="130"/>
      <c r="B140" s="134"/>
      <c r="C140" s="204"/>
      <c r="D140" s="204"/>
      <c r="E140" s="204"/>
      <c r="F140" s="132"/>
      <c r="G140" s="218"/>
      <c r="H140" s="123"/>
    </row>
    <row r="141" spans="1:8" ht="15.75" x14ac:dyDescent="0.25">
      <c r="A141" s="130" t="s">
        <v>58</v>
      </c>
      <c r="B141" s="131">
        <f>DATE(2021,7,1)</f>
        <v>44378</v>
      </c>
      <c r="C141" s="204">
        <v>576838</v>
      </c>
      <c r="D141" s="204">
        <v>127439.5</v>
      </c>
      <c r="E141" s="204">
        <v>155770.5</v>
      </c>
      <c r="F141" s="132">
        <f t="shared" ref="F141:F148" si="24">(+D141-E141)/E141</f>
        <v>-0.18187654273434314</v>
      </c>
      <c r="G141" s="215">
        <f t="shared" ref="G141:G148" si="25">D141/C141</f>
        <v>0.22092771280671522</v>
      </c>
      <c r="H141" s="123"/>
    </row>
    <row r="142" spans="1:8" ht="15.75" x14ac:dyDescent="0.25">
      <c r="A142" s="130"/>
      <c r="B142" s="131">
        <f>DATE(2021,8,1)</f>
        <v>44409</v>
      </c>
      <c r="C142" s="204">
        <v>465052</v>
      </c>
      <c r="D142" s="204">
        <v>132624</v>
      </c>
      <c r="E142" s="204">
        <v>187855</v>
      </c>
      <c r="F142" s="132">
        <f t="shared" si="24"/>
        <v>-0.29400867690505977</v>
      </c>
      <c r="G142" s="215">
        <f t="shared" si="25"/>
        <v>0.2851810120158606</v>
      </c>
      <c r="H142" s="123"/>
    </row>
    <row r="143" spans="1:8" ht="15.75" x14ac:dyDescent="0.25">
      <c r="A143" s="130"/>
      <c r="B143" s="131">
        <f>DATE(2021,9,1)</f>
        <v>44440</v>
      </c>
      <c r="C143" s="204">
        <v>546162</v>
      </c>
      <c r="D143" s="204">
        <v>116203.5</v>
      </c>
      <c r="E143" s="204">
        <v>175772.5</v>
      </c>
      <c r="F143" s="132">
        <f t="shared" si="24"/>
        <v>-0.338898291826082</v>
      </c>
      <c r="G143" s="215">
        <f t="shared" si="25"/>
        <v>0.21276379535742143</v>
      </c>
      <c r="H143" s="123"/>
    </row>
    <row r="144" spans="1:8" ht="15.75" x14ac:dyDescent="0.25">
      <c r="A144" s="130"/>
      <c r="B144" s="131">
        <f>DATE(2021,10,1)</f>
        <v>44470</v>
      </c>
      <c r="C144" s="204">
        <v>611813</v>
      </c>
      <c r="D144" s="204">
        <v>167500.5</v>
      </c>
      <c r="E144" s="204">
        <v>128393</v>
      </c>
      <c r="F144" s="132">
        <f t="shared" si="24"/>
        <v>0.30459215066241929</v>
      </c>
      <c r="G144" s="215">
        <f t="shared" si="25"/>
        <v>0.27377728162036441</v>
      </c>
      <c r="H144" s="123"/>
    </row>
    <row r="145" spans="1:8" ht="15.75" x14ac:dyDescent="0.25">
      <c r="A145" s="130"/>
      <c r="B145" s="131">
        <f>DATE(2021,11,1)</f>
        <v>44501</v>
      </c>
      <c r="C145" s="204">
        <v>574384</v>
      </c>
      <c r="D145" s="204">
        <v>144385.5</v>
      </c>
      <c r="E145" s="204">
        <v>162751.5</v>
      </c>
      <c r="F145" s="132">
        <f t="shared" si="24"/>
        <v>-0.11284688620381379</v>
      </c>
      <c r="G145" s="215">
        <f t="shared" si="25"/>
        <v>0.2513745160032313</v>
      </c>
      <c r="H145" s="123"/>
    </row>
    <row r="146" spans="1:8" ht="15.75" x14ac:dyDescent="0.25">
      <c r="A146" s="130"/>
      <c r="B146" s="131">
        <f>DATE(2021,12,1)</f>
        <v>44531</v>
      </c>
      <c r="C146" s="204">
        <v>651978</v>
      </c>
      <c r="D146" s="204">
        <v>189046.5</v>
      </c>
      <c r="E146" s="204">
        <v>165476</v>
      </c>
      <c r="F146" s="132">
        <f t="shared" si="24"/>
        <v>0.14244059561507408</v>
      </c>
      <c r="G146" s="215">
        <f t="shared" si="25"/>
        <v>0.28995840350441271</v>
      </c>
      <c r="H146" s="123"/>
    </row>
    <row r="147" spans="1:8" ht="15.75" x14ac:dyDescent="0.25">
      <c r="A147" s="130"/>
      <c r="B147" s="131">
        <f>DATE(2022,1,1)</f>
        <v>44562</v>
      </c>
      <c r="C147" s="204">
        <v>437094</v>
      </c>
      <c r="D147" s="204">
        <v>129604.5</v>
      </c>
      <c r="E147" s="204">
        <v>104168.5</v>
      </c>
      <c r="F147" s="132">
        <f t="shared" si="24"/>
        <v>0.24418130240907759</v>
      </c>
      <c r="G147" s="215">
        <f t="shared" si="25"/>
        <v>0.29651402215541739</v>
      </c>
      <c r="H147" s="123"/>
    </row>
    <row r="148" spans="1:8" ht="15.75" x14ac:dyDescent="0.25">
      <c r="A148" s="130"/>
      <c r="B148" s="131">
        <f>DATE(2022,2,1)</f>
        <v>44593</v>
      </c>
      <c r="C148" s="204">
        <v>532439</v>
      </c>
      <c r="D148" s="204">
        <v>141185</v>
      </c>
      <c r="E148" s="204">
        <v>114089.5</v>
      </c>
      <c r="F148" s="132">
        <f t="shared" si="24"/>
        <v>0.23749337143207744</v>
      </c>
      <c r="G148" s="215">
        <f t="shared" si="25"/>
        <v>0.26516652611848496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35" t="s">
        <v>14</v>
      </c>
      <c r="B150" s="136"/>
      <c r="C150" s="201">
        <f>SUM(C141:C149)</f>
        <v>4395760</v>
      </c>
      <c r="D150" s="207">
        <f>SUM(D141:D149)</f>
        <v>1147989</v>
      </c>
      <c r="E150" s="207">
        <f>SUM(E141:E149)</f>
        <v>1194276.5</v>
      </c>
      <c r="F150" s="143">
        <f>(+D150-E150)/E150</f>
        <v>-3.8757775104843809E-2</v>
      </c>
      <c r="G150" s="217">
        <f>D150/C150</f>
        <v>0.26115825249786156</v>
      </c>
      <c r="H150" s="123"/>
    </row>
    <row r="151" spans="1:8" ht="16.5" thickTop="1" thickBot="1" x14ac:dyDescent="0.25">
      <c r="A151" s="146"/>
      <c r="B151" s="139"/>
      <c r="C151" s="205"/>
      <c r="D151" s="205"/>
      <c r="E151" s="205"/>
      <c r="F151" s="140"/>
      <c r="G151" s="216"/>
      <c r="H151" s="123"/>
    </row>
    <row r="152" spans="1:8" ht="17.25" thickTop="1" thickBot="1" x14ac:dyDescent="0.3">
      <c r="A152" s="147" t="s">
        <v>38</v>
      </c>
      <c r="B152" s="121"/>
      <c r="C152" s="201">
        <f>C150+C139+C106+C84+C62+C40+C18+C51+C128+C29+C95+C117+C73</f>
        <v>832681995.30999994</v>
      </c>
      <c r="D152" s="201">
        <f>D150+D139+D106+D84+D62+D40+D18+D51+D128+D29+D95+D117+D73</f>
        <v>171902636.88999999</v>
      </c>
      <c r="E152" s="201">
        <f>E150+E139+E106+E84+E62+E40+E18+E51+E128+E29+E95+E117+E73</f>
        <v>139888141.31</v>
      </c>
      <c r="F152" s="137">
        <f>(+D152-E152)/E152</f>
        <v>0.22885782368824287</v>
      </c>
      <c r="G152" s="212">
        <f>D152/C152</f>
        <v>0.20644452246863126</v>
      </c>
      <c r="H152" s="123"/>
    </row>
    <row r="153" spans="1:8" ht="17.25" thickTop="1" thickBot="1" x14ac:dyDescent="0.3">
      <c r="A153" s="147"/>
      <c r="B153" s="121"/>
      <c r="C153" s="201"/>
      <c r="D153" s="201"/>
      <c r="E153" s="201"/>
      <c r="F153" s="137"/>
      <c r="G153" s="212"/>
      <c r="H153" s="123"/>
    </row>
    <row r="154" spans="1:8" ht="17.25" thickTop="1" thickBot="1" x14ac:dyDescent="0.3">
      <c r="A154" s="265" t="s">
        <v>39</v>
      </c>
      <c r="B154" s="266"/>
      <c r="C154" s="206">
        <f>SUM(C16+C27+C38+C49+C60+C71+C82+C93+C104+C115+C126+C137+C148)</f>
        <v>98770766.25</v>
      </c>
      <c r="D154" s="206">
        <f>SUM(D16+D27+D38+D49+D60+D71+D82+D93+D104+D115+D126+D137+D148)</f>
        <v>19594807.859999999</v>
      </c>
      <c r="E154" s="206">
        <f>SUM(E16+E27+E38+E49+E60+E71+E82+E93+E104+E115+E126+E137+E148)</f>
        <v>17019261.309999999</v>
      </c>
      <c r="F154" s="268">
        <f>(+D154-E154)/E154</f>
        <v>0.15133127713872566</v>
      </c>
      <c r="G154" s="217">
        <f>D154/C154</f>
        <v>0.19838671505699693</v>
      </c>
      <c r="H154" s="123"/>
    </row>
    <row r="155" spans="1:8" ht="16.5" thickTop="1" x14ac:dyDescent="0.25">
      <c r="A155" s="256"/>
      <c r="B155" s="258"/>
      <c r="C155" s="259"/>
      <c r="D155" s="259"/>
      <c r="E155" s="259"/>
      <c r="F155" s="260"/>
      <c r="G155" s="257"/>
      <c r="H155" s="257"/>
    </row>
    <row r="156" spans="1:8" ht="18.75" x14ac:dyDescent="0.3">
      <c r="A156" s="263" t="s">
        <v>40</v>
      </c>
      <c r="B156" s="117"/>
      <c r="C156" s="208"/>
      <c r="D156" s="208"/>
      <c r="E156" s="208"/>
      <c r="F156" s="148"/>
      <c r="G156" s="220"/>
    </row>
    <row r="157" spans="1:8" ht="15.75" x14ac:dyDescent="0.25">
      <c r="A157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3" manualBreakCount="3">
    <brk id="51" max="7" man="1"/>
    <brk id="95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>+D14/C14</f>
        <v>4.6645198441424555E-2</v>
      </c>
      <c r="H14" s="289">
        <f>1-G14</f>
        <v>0.95335480155857544</v>
      </c>
    </row>
    <row r="15" spans="1:8" ht="15.75" x14ac:dyDescent="0.2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>+D15/C15</f>
        <v>3.204154159493143E-2</v>
      </c>
      <c r="H15" s="289">
        <f>1-G15</f>
        <v>0.96795845840506856</v>
      </c>
    </row>
    <row r="16" spans="1:8" ht="15.75" x14ac:dyDescent="0.25">
      <c r="A16" s="164"/>
      <c r="B16" s="165">
        <f>DATE(22,1,1)</f>
        <v>8037</v>
      </c>
      <c r="C16" s="226">
        <v>2639798.91</v>
      </c>
      <c r="D16" s="226">
        <v>119559.87</v>
      </c>
      <c r="E16" s="226">
        <v>0</v>
      </c>
      <c r="F16" s="166">
        <v>1</v>
      </c>
      <c r="G16" s="241">
        <f>+D16/C16</f>
        <v>4.5291279402793594E-2</v>
      </c>
      <c r="H16" s="289">
        <f>1-G16</f>
        <v>0.95470872059720646</v>
      </c>
    </row>
    <row r="17" spans="1:8" ht="15.75" x14ac:dyDescent="0.25">
      <c r="A17" s="164"/>
      <c r="B17" s="165">
        <f>DATE(22,2,1)</f>
        <v>8068</v>
      </c>
      <c r="C17" s="226">
        <v>2750043.44</v>
      </c>
      <c r="D17" s="226">
        <v>134655.35</v>
      </c>
      <c r="E17" s="226">
        <v>0</v>
      </c>
      <c r="F17" s="166">
        <v>1</v>
      </c>
      <c r="G17" s="241">
        <f>+D17/C17</f>
        <v>4.8964808352263703E-2</v>
      </c>
      <c r="H17" s="289">
        <f>1-G17</f>
        <v>0.95103519164773631</v>
      </c>
    </row>
    <row r="18" spans="1:8" ht="15.75" thickBot="1" x14ac:dyDescent="0.25">
      <c r="A18" s="167"/>
      <c r="B18" s="168"/>
      <c r="C18" s="226"/>
      <c r="D18" s="226"/>
      <c r="E18" s="226"/>
      <c r="F18" s="166"/>
      <c r="G18" s="241"/>
      <c r="H18" s="242"/>
    </row>
    <row r="19" spans="1:8" ht="17.25" thickTop="1" thickBot="1" x14ac:dyDescent="0.3">
      <c r="A19" s="169" t="s">
        <v>14</v>
      </c>
      <c r="B19" s="155"/>
      <c r="C19" s="223">
        <f>SUM(C10:C18)</f>
        <v>9300326.2799999993</v>
      </c>
      <c r="D19" s="223">
        <f>SUM(D10:D18)</f>
        <v>395511.83999999997</v>
      </c>
      <c r="E19" s="223">
        <f>SUM(E10:E18)</f>
        <v>0</v>
      </c>
      <c r="F19" s="170">
        <v>1</v>
      </c>
      <c r="G19" s="245">
        <f>+D19/C19</f>
        <v>4.2526662838757952E-2</v>
      </c>
      <c r="H19" s="246">
        <f>1-G19</f>
        <v>0.95747333716124206</v>
      </c>
    </row>
    <row r="20" spans="1:8" ht="15.75" thickTop="1" x14ac:dyDescent="0.2">
      <c r="A20" s="171"/>
      <c r="B20" s="172"/>
      <c r="C20" s="227"/>
      <c r="D20" s="227"/>
      <c r="E20" s="227"/>
      <c r="F20" s="173"/>
      <c r="G20" s="243"/>
      <c r="H20" s="244"/>
    </row>
    <row r="21" spans="1:8" ht="15.75" x14ac:dyDescent="0.25">
      <c r="A21" s="19" t="s">
        <v>48</v>
      </c>
      <c r="B21" s="165">
        <f>DATE(21,7,1)</f>
        <v>7853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DATE(21,8,1)</f>
        <v>7884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DATE(21,9,1)</f>
        <v>7915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DATE(21,10,1)</f>
        <v>7945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DATE(21,11,1)</f>
        <v>7976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DATE(21,12,1)</f>
        <v>8006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DATE(22,1,1)</f>
        <v>8037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DATE(22,2,1)</f>
        <v>8068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thickBot="1" x14ac:dyDescent="0.25">
      <c r="A29" s="167"/>
      <c r="B29" s="165"/>
      <c r="C29" s="226"/>
      <c r="D29" s="226"/>
      <c r="E29" s="226"/>
      <c r="F29" s="166"/>
      <c r="G29" s="241"/>
      <c r="H29" s="242"/>
    </row>
    <row r="30" spans="1:8" ht="17.25" thickTop="1" thickBot="1" x14ac:dyDescent="0.3">
      <c r="A30" s="169" t="s">
        <v>14</v>
      </c>
      <c r="B30" s="155"/>
      <c r="C30" s="223">
        <f>SUM(C21:C29)</f>
        <v>0</v>
      </c>
      <c r="D30" s="223">
        <f>SUM(D21:D29)</f>
        <v>0</v>
      </c>
      <c r="E30" s="223">
        <f>SUM(E21:E29)</f>
        <v>0</v>
      </c>
      <c r="F30" s="170">
        <v>0</v>
      </c>
      <c r="G30" s="236">
        <v>0</v>
      </c>
      <c r="H30" s="237">
        <v>0</v>
      </c>
    </row>
    <row r="31" spans="1:8" ht="15.75" thickTop="1" x14ac:dyDescent="0.2">
      <c r="A31" s="171"/>
      <c r="B31" s="172"/>
      <c r="C31" s="227"/>
      <c r="D31" s="227"/>
      <c r="E31" s="227"/>
      <c r="F31" s="173"/>
      <c r="G31" s="243"/>
      <c r="H31" s="244"/>
    </row>
    <row r="32" spans="1:8" ht="15.75" x14ac:dyDescent="0.25">
      <c r="A32" s="19" t="s">
        <v>64</v>
      </c>
      <c r="B32" s="165">
        <f>DATE(21,7,1)</f>
        <v>7853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DATE(21,8,1)</f>
        <v>7884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DATE(21,9,1)</f>
        <v>7915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DATE(21,10,1)</f>
        <v>7945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DATE(21,11,1)</f>
        <v>7976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x14ac:dyDescent="0.25">
      <c r="A37" s="19"/>
      <c r="B37" s="165">
        <f>DATE(21,12,1)</f>
        <v>8006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9"/>
      <c r="B38" s="165">
        <f>DATE(22,1,1)</f>
        <v>8037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DATE(22,2,1)</f>
        <v>8068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thickBot="1" x14ac:dyDescent="0.25">
      <c r="A40" s="167"/>
      <c r="B40" s="165"/>
      <c r="C40" s="226"/>
      <c r="D40" s="226"/>
      <c r="E40" s="226"/>
      <c r="F40" s="166"/>
      <c r="G40" s="241"/>
      <c r="H40" s="242"/>
    </row>
    <row r="41" spans="1:8" ht="17.25" thickTop="1" thickBot="1" x14ac:dyDescent="0.3">
      <c r="A41" s="174" t="s">
        <v>14</v>
      </c>
      <c r="B41" s="175"/>
      <c r="C41" s="228">
        <f>SUM(C32:C40)</f>
        <v>0</v>
      </c>
      <c r="D41" s="228">
        <f>SUM(D32:D40)</f>
        <v>0</v>
      </c>
      <c r="E41" s="228">
        <f>SUM(E32:E40)</f>
        <v>0</v>
      </c>
      <c r="F41" s="176">
        <v>0</v>
      </c>
      <c r="G41" s="245">
        <v>0</v>
      </c>
      <c r="H41" s="246">
        <v>0</v>
      </c>
    </row>
    <row r="42" spans="1:8" ht="15.75" thickTop="1" x14ac:dyDescent="0.2">
      <c r="A42" s="167"/>
      <c r="B42" s="168"/>
      <c r="C42" s="226"/>
      <c r="D42" s="226"/>
      <c r="E42" s="226"/>
      <c r="F42" s="166"/>
      <c r="G42" s="241"/>
      <c r="H42" s="242"/>
    </row>
    <row r="43" spans="1:8" ht="15.75" x14ac:dyDescent="0.25">
      <c r="A43" s="177" t="s">
        <v>59</v>
      </c>
      <c r="B43" s="165">
        <f>DATE(21,7,1)</f>
        <v>7853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77"/>
      <c r="B44" s="165">
        <f>DATE(21,8,1)</f>
        <v>7884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77"/>
      <c r="B45" s="165">
        <f>DATE(21,9,1)</f>
        <v>7915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77"/>
      <c r="B46" s="165">
        <f>DATE(21,10,1)</f>
        <v>7945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77"/>
      <c r="B47" s="165">
        <f>DATE(21,11,1)</f>
        <v>7976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77"/>
      <c r="B48" s="165">
        <f>DATE(21,12,1)</f>
        <v>8006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77"/>
      <c r="B49" s="165">
        <f>DATE(22,1,1)</f>
        <v>8037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77"/>
      <c r="B50" s="165">
        <f>DATE(22,2,1)</f>
        <v>8068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thickBot="1" x14ac:dyDescent="0.25">
      <c r="A51" s="167"/>
      <c r="B51" s="168"/>
      <c r="C51" s="226"/>
      <c r="D51" s="226"/>
      <c r="E51" s="226"/>
      <c r="F51" s="166"/>
      <c r="G51" s="241"/>
      <c r="H51" s="242"/>
    </row>
    <row r="52" spans="1:8" ht="17.25" thickTop="1" thickBot="1" x14ac:dyDescent="0.3">
      <c r="A52" s="174" t="s">
        <v>14</v>
      </c>
      <c r="B52" s="178"/>
      <c r="C52" s="228">
        <f>SUM(C43:C51)</f>
        <v>0</v>
      </c>
      <c r="D52" s="228">
        <f>SUM(D43:D51)</f>
        <v>0</v>
      </c>
      <c r="E52" s="228">
        <f>SUM(E43:E51)</f>
        <v>0</v>
      </c>
      <c r="F52" s="176">
        <v>0</v>
      </c>
      <c r="G52" s="245">
        <v>0</v>
      </c>
      <c r="H52" s="246">
        <v>0</v>
      </c>
    </row>
    <row r="53" spans="1:8" ht="15.75" thickTop="1" x14ac:dyDescent="0.2">
      <c r="A53" s="167"/>
      <c r="B53" s="168"/>
      <c r="C53" s="226"/>
      <c r="D53" s="226"/>
      <c r="E53" s="226"/>
      <c r="F53" s="166"/>
      <c r="G53" s="241"/>
      <c r="H53" s="242"/>
    </row>
    <row r="54" spans="1:8" ht="15.75" x14ac:dyDescent="0.25">
      <c r="A54" s="164" t="s">
        <v>62</v>
      </c>
      <c r="B54" s="165">
        <f>DATE(21,7,1)</f>
        <v>7853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DATE(21,8,1)</f>
        <v>7884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DATE(21,9,1)</f>
        <v>7915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DATE(21,10,1)</f>
        <v>7945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DATE(21,11,1)</f>
        <v>7976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DATE(21,12,1)</f>
        <v>8006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DATE(22,1,1)</f>
        <v>8037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DATE(22,2,1)</f>
        <v>8068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5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74" t="s">
        <v>14</v>
      </c>
      <c r="B63" s="175"/>
      <c r="C63" s="228">
        <f>SUM(C54:C62)</f>
        <v>0</v>
      </c>
      <c r="D63" s="230">
        <f>SUM(D54:D62)</f>
        <v>0</v>
      </c>
      <c r="E63" s="271">
        <f>SUM(E54:E62)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66</v>
      </c>
      <c r="B65" s="165">
        <f>DATE(21,7,1)</f>
        <v>7853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DATE(21,8,1)</f>
        <v>7884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DATE(21,9,1)</f>
        <v>7915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DATE(21,10,1)</f>
        <v>7945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DATE(21,11,1)</f>
        <v>7976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DATE(21,12,1)</f>
        <v>8006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DATE(22,1,1)</f>
        <v>8037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DATE(22,2,1)</f>
        <v>8068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thickBot="1" x14ac:dyDescent="0.25">
      <c r="A73" s="167"/>
      <c r="B73" s="165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74" t="s">
        <v>14</v>
      </c>
      <c r="B74" s="175"/>
      <c r="C74" s="228">
        <f>SUM(C65:C73)</f>
        <v>0</v>
      </c>
      <c r="D74" s="230">
        <f>SUM(D65:D73)</f>
        <v>0</v>
      </c>
      <c r="E74" s="271">
        <f>SUM(E65:E73)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70</v>
      </c>
      <c r="B76" s="165">
        <f>DATE(21,7,1)</f>
        <v>7853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DATE(21,8,1)</f>
        <v>7884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DATE(21,9,1)</f>
        <v>7915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x14ac:dyDescent="0.25">
      <c r="A79" s="164"/>
      <c r="B79" s="165">
        <f>DATE(21,10,1)</f>
        <v>7945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.75" x14ac:dyDescent="0.25">
      <c r="A80" s="164"/>
      <c r="B80" s="165">
        <f>DATE(21,11,1)</f>
        <v>7976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DATE(21,12,1)</f>
        <v>8006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DATE(22,1,1)</f>
        <v>8037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DATE(22,2,1)</f>
        <v>8068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 x14ac:dyDescent="0.25">
      <c r="A84" s="167"/>
      <c r="B84" s="165"/>
      <c r="C84" s="226"/>
      <c r="D84" s="226"/>
      <c r="E84" s="226"/>
      <c r="F84" s="166"/>
      <c r="G84" s="241"/>
      <c r="H84" s="242"/>
    </row>
    <row r="85" spans="1:8" ht="17.25" thickTop="1" thickBot="1" x14ac:dyDescent="0.3">
      <c r="A85" s="174" t="s">
        <v>14</v>
      </c>
      <c r="B85" s="175"/>
      <c r="C85" s="228">
        <f>SUM(C76:C84)</f>
        <v>0</v>
      </c>
      <c r="D85" s="230">
        <f>SUM(D76:D84)</f>
        <v>0</v>
      </c>
      <c r="E85" s="271">
        <f>SUM(E76:E84)</f>
        <v>0</v>
      </c>
      <c r="F85" s="176">
        <v>0</v>
      </c>
      <c r="G85" s="245">
        <v>0</v>
      </c>
      <c r="H85" s="246">
        <v>0</v>
      </c>
    </row>
    <row r="86" spans="1:8" ht="15.75" thickTop="1" x14ac:dyDescent="0.2">
      <c r="A86" s="167"/>
      <c r="B86" s="168"/>
      <c r="C86" s="226"/>
      <c r="D86" s="226"/>
      <c r="E86" s="226"/>
      <c r="F86" s="166"/>
      <c r="G86" s="241"/>
      <c r="H86" s="242"/>
    </row>
    <row r="87" spans="1:8" ht="15.75" x14ac:dyDescent="0.25">
      <c r="A87" s="164" t="s">
        <v>60</v>
      </c>
      <c r="B87" s="165">
        <f>DATE(21,7,1)</f>
        <v>7853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DATE(21,8,1)</f>
        <v>7884</v>
      </c>
      <c r="C88" s="226">
        <v>0</v>
      </c>
      <c r="D88" s="226">
        <v>0</v>
      </c>
      <c r="E88" s="226">
        <v>118455</v>
      </c>
      <c r="F88" s="166">
        <v>-1</v>
      </c>
      <c r="G88" s="241">
        <v>0</v>
      </c>
      <c r="H88" s="242">
        <v>0</v>
      </c>
    </row>
    <row r="89" spans="1:8" ht="15.75" x14ac:dyDescent="0.25">
      <c r="A89" s="164"/>
      <c r="B89" s="165">
        <f>DATE(21,9,1)</f>
        <v>7915</v>
      </c>
      <c r="C89" s="226">
        <v>0</v>
      </c>
      <c r="D89" s="226">
        <v>0</v>
      </c>
      <c r="E89" s="226">
        <v>106241</v>
      </c>
      <c r="F89" s="166">
        <v>-1</v>
      </c>
      <c r="G89" s="241">
        <v>0</v>
      </c>
      <c r="H89" s="242">
        <v>0</v>
      </c>
    </row>
    <row r="90" spans="1:8" ht="15.75" x14ac:dyDescent="0.25">
      <c r="A90" s="164"/>
      <c r="B90" s="165">
        <f>DATE(21,10,1)</f>
        <v>7945</v>
      </c>
      <c r="C90" s="226">
        <v>0</v>
      </c>
      <c r="D90" s="226">
        <v>0</v>
      </c>
      <c r="E90" s="226">
        <v>82618</v>
      </c>
      <c r="F90" s="166">
        <v>-1</v>
      </c>
      <c r="G90" s="241">
        <v>0</v>
      </c>
      <c r="H90" s="242">
        <v>0</v>
      </c>
    </row>
    <row r="91" spans="1:8" ht="15.75" x14ac:dyDescent="0.25">
      <c r="A91" s="164"/>
      <c r="B91" s="165">
        <f>DATE(21,11,1)</f>
        <v>7976</v>
      </c>
      <c r="C91" s="226">
        <v>0</v>
      </c>
      <c r="D91" s="226">
        <v>0</v>
      </c>
      <c r="E91" s="226">
        <v>81702.080000000002</v>
      </c>
      <c r="F91" s="166">
        <v>-1</v>
      </c>
      <c r="G91" s="241">
        <v>0</v>
      </c>
      <c r="H91" s="242">
        <v>0</v>
      </c>
    </row>
    <row r="92" spans="1:8" ht="15.75" x14ac:dyDescent="0.25">
      <c r="A92" s="164"/>
      <c r="B92" s="165">
        <f>DATE(21,12,1)</f>
        <v>8006</v>
      </c>
      <c r="C92" s="226">
        <v>0</v>
      </c>
      <c r="D92" s="226">
        <v>0</v>
      </c>
      <c r="E92" s="226">
        <v>84775</v>
      </c>
      <c r="F92" s="166">
        <v>-1</v>
      </c>
      <c r="G92" s="241">
        <v>0</v>
      </c>
      <c r="H92" s="242">
        <v>0</v>
      </c>
    </row>
    <row r="93" spans="1:8" ht="15.75" x14ac:dyDescent="0.25">
      <c r="A93" s="164"/>
      <c r="B93" s="165">
        <f>DATE(22,1,1)</f>
        <v>8037</v>
      </c>
      <c r="C93" s="226">
        <v>0</v>
      </c>
      <c r="D93" s="226">
        <v>0</v>
      </c>
      <c r="E93" s="226">
        <v>127657</v>
      </c>
      <c r="F93" s="166">
        <v>-1</v>
      </c>
      <c r="G93" s="241">
        <v>0</v>
      </c>
      <c r="H93" s="242">
        <v>0</v>
      </c>
    </row>
    <row r="94" spans="1:8" ht="15.75" x14ac:dyDescent="0.25">
      <c r="A94" s="164"/>
      <c r="B94" s="165">
        <f>DATE(22,2,1)</f>
        <v>8068</v>
      </c>
      <c r="C94" s="226">
        <v>0</v>
      </c>
      <c r="D94" s="226">
        <v>0</v>
      </c>
      <c r="E94" s="226">
        <v>94650</v>
      </c>
      <c r="F94" s="166">
        <v>-1</v>
      </c>
      <c r="G94" s="241">
        <v>0</v>
      </c>
      <c r="H94" s="242">
        <v>0</v>
      </c>
    </row>
    <row r="95" spans="1:8" ht="15.75" thickBot="1" x14ac:dyDescent="0.25">
      <c r="A95" s="167"/>
      <c r="B95" s="165"/>
      <c r="C95" s="226"/>
      <c r="D95" s="226"/>
      <c r="E95" s="226"/>
      <c r="F95" s="166"/>
      <c r="G95" s="241"/>
      <c r="H95" s="242"/>
    </row>
    <row r="96" spans="1:8" ht="17.25" thickTop="1" thickBot="1" x14ac:dyDescent="0.3">
      <c r="A96" s="174" t="s">
        <v>14</v>
      </c>
      <c r="B96" s="175"/>
      <c r="C96" s="228">
        <f>SUM(C87:C95)</f>
        <v>0</v>
      </c>
      <c r="D96" s="230">
        <f>SUM(D87:D95)</f>
        <v>0</v>
      </c>
      <c r="E96" s="271">
        <f>SUM(E87:E95)</f>
        <v>696098.08000000007</v>
      </c>
      <c r="F96" s="176">
        <f>+(D96-E96)/E96</f>
        <v>-1</v>
      </c>
      <c r="G96" s="249">
        <v>0</v>
      </c>
      <c r="H96" s="270">
        <v>0</v>
      </c>
    </row>
    <row r="97" spans="1:8" ht="15.75" thickTop="1" x14ac:dyDescent="0.2">
      <c r="A97" s="167"/>
      <c r="B97" s="179"/>
      <c r="C97" s="229"/>
      <c r="D97" s="229"/>
      <c r="E97" s="229"/>
      <c r="F97" s="180"/>
      <c r="G97" s="247"/>
      <c r="H97" s="248"/>
    </row>
    <row r="98" spans="1:8" ht="15.75" x14ac:dyDescent="0.25">
      <c r="A98" s="164" t="s">
        <v>16</v>
      </c>
      <c r="B98" s="165">
        <f>DATE(21,7,1)</f>
        <v>7853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DATE(21,8,1)</f>
        <v>7884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DATE(21,9,1)</f>
        <v>7915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DATE(21,10,1)</f>
        <v>7945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DATE(21,11,1)</f>
        <v>7976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DATE(21,12,1)</f>
        <v>8006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DATE(22,1,1)</f>
        <v>8037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DATE(22,2,1)</f>
        <v>8068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6.5" thickBot="1" x14ac:dyDescent="0.3">
      <c r="A106" s="164"/>
      <c r="B106" s="165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74" t="s">
        <v>14</v>
      </c>
      <c r="B107" s="181"/>
      <c r="C107" s="228">
        <f>SUM(C98:C106)</f>
        <v>0</v>
      </c>
      <c r="D107" s="228">
        <f>SUM(D98:D106)</f>
        <v>0</v>
      </c>
      <c r="E107" s="228">
        <f>SUM(E98:E106)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71"/>
      <c r="B108" s="172"/>
      <c r="C108" s="227"/>
      <c r="D108" s="227"/>
      <c r="E108" s="227"/>
      <c r="F108" s="173"/>
      <c r="G108" s="243"/>
      <c r="H108" s="244"/>
    </row>
    <row r="109" spans="1:8" ht="15.75" x14ac:dyDescent="0.25">
      <c r="A109" s="164" t="s">
        <v>54</v>
      </c>
      <c r="B109" s="165">
        <f>DATE(21,7,1)</f>
        <v>7853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DATE(21,8,1)</f>
        <v>7884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DATE(21,9,1)</f>
        <v>7915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DATE(21,10,1)</f>
        <v>7945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DATE(21,11,1)</f>
        <v>7976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DATE(21,12,1)</f>
        <v>8006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DATE(22,1,1)</f>
        <v>8037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DATE(22,2,1)</f>
        <v>8068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thickBot="1" x14ac:dyDescent="0.25">
      <c r="A117" s="167"/>
      <c r="B117" s="168"/>
      <c r="C117" s="226"/>
      <c r="D117" s="226"/>
      <c r="E117" s="226"/>
      <c r="F117" s="166"/>
      <c r="G117" s="241"/>
      <c r="H117" s="242"/>
    </row>
    <row r="118" spans="1:8" ht="17.25" thickTop="1" thickBot="1" x14ac:dyDescent="0.3">
      <c r="A118" s="174" t="s">
        <v>14</v>
      </c>
      <c r="B118" s="175"/>
      <c r="C118" s="228">
        <f>SUM(C109:C117)</f>
        <v>0</v>
      </c>
      <c r="D118" s="228">
        <f>SUM(D109:D117)</f>
        <v>0</v>
      </c>
      <c r="E118" s="228">
        <f>SUM(E109:E117)</f>
        <v>0</v>
      </c>
      <c r="F118" s="176">
        <v>0</v>
      </c>
      <c r="G118" s="245">
        <v>0</v>
      </c>
      <c r="H118" s="246">
        <v>0</v>
      </c>
    </row>
    <row r="119" spans="1:8" ht="15.75" thickTop="1" x14ac:dyDescent="0.2">
      <c r="A119" s="167"/>
      <c r="B119" s="168"/>
      <c r="C119" s="226"/>
      <c r="D119" s="226"/>
      <c r="E119" s="226"/>
      <c r="F119" s="166"/>
      <c r="G119" s="241"/>
      <c r="H119" s="242"/>
    </row>
    <row r="120" spans="1:8" ht="15.75" x14ac:dyDescent="0.25">
      <c r="A120" s="164" t="s">
        <v>55</v>
      </c>
      <c r="B120" s="165">
        <f>DATE(21,7,1)</f>
        <v>7853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DATE(21,8,1)</f>
        <v>7884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DATE(21,9,1)</f>
        <v>7915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DATE(21,10,1)</f>
        <v>7945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DATE(21,11,1)</f>
        <v>7976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DATE(21,12,1)</f>
        <v>8006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DATE(22,1,1)</f>
        <v>8037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DATE(22,2,1)</f>
        <v>8068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thickBot="1" x14ac:dyDescent="0.25">
      <c r="A128" s="167"/>
      <c r="B128" s="168"/>
      <c r="C128" s="226"/>
      <c r="D128" s="226"/>
      <c r="E128" s="226"/>
      <c r="F128" s="166"/>
      <c r="G128" s="241"/>
      <c r="H128" s="242"/>
    </row>
    <row r="129" spans="1:8" ht="17.25" thickTop="1" thickBot="1" x14ac:dyDescent="0.3">
      <c r="A129" s="182" t="s">
        <v>14</v>
      </c>
      <c r="B129" s="183"/>
      <c r="C129" s="230">
        <f>SUM(C120:C128)</f>
        <v>0</v>
      </c>
      <c r="D129" s="230">
        <f>SUM(D120:D128)</f>
        <v>0</v>
      </c>
      <c r="E129" s="230">
        <f>SUM(E120:E128)</f>
        <v>0</v>
      </c>
      <c r="F129" s="176">
        <v>0</v>
      </c>
      <c r="G129" s="245">
        <v>0</v>
      </c>
      <c r="H129" s="246">
        <v>0</v>
      </c>
    </row>
    <row r="130" spans="1:8" ht="15.75" thickTop="1" x14ac:dyDescent="0.2">
      <c r="A130" s="167"/>
      <c r="B130" s="168"/>
      <c r="C130" s="226"/>
      <c r="D130" s="226"/>
      <c r="E130" s="226"/>
      <c r="F130" s="166"/>
      <c r="G130" s="241"/>
      <c r="H130" s="242"/>
    </row>
    <row r="131" spans="1:8" ht="15.75" x14ac:dyDescent="0.25">
      <c r="A131" s="164" t="s">
        <v>37</v>
      </c>
      <c r="B131" s="165">
        <f>DATE(21,7,1)</f>
        <v>7853</v>
      </c>
      <c r="C131" s="226">
        <v>4521310.28</v>
      </c>
      <c r="D131" s="226">
        <v>209181.95</v>
      </c>
      <c r="E131" s="226">
        <v>0</v>
      </c>
      <c r="F131" s="166">
        <v>1</v>
      </c>
      <c r="G131" s="241">
        <f t="shared" ref="G131:G138" si="0">+D131/C131</f>
        <v>4.6265780724078068E-2</v>
      </c>
      <c r="H131" s="289">
        <f t="shared" ref="H131:H138" si="1">1-G131</f>
        <v>0.95373421927592195</v>
      </c>
    </row>
    <row r="132" spans="1:8" ht="15.75" x14ac:dyDescent="0.25">
      <c r="A132" s="164"/>
      <c r="B132" s="165">
        <f>DATE(21,8,1)</f>
        <v>7884</v>
      </c>
      <c r="C132" s="226">
        <v>3704866.99</v>
      </c>
      <c r="D132" s="226">
        <v>126701.54</v>
      </c>
      <c r="E132" s="226">
        <v>0</v>
      </c>
      <c r="F132" s="166">
        <v>1</v>
      </c>
      <c r="G132" s="241">
        <f t="shared" si="0"/>
        <v>3.4198674430684486E-2</v>
      </c>
      <c r="H132" s="289">
        <f t="shared" si="1"/>
        <v>0.96580132556931553</v>
      </c>
    </row>
    <row r="133" spans="1:8" ht="15.75" x14ac:dyDescent="0.25">
      <c r="A133" s="164"/>
      <c r="B133" s="165">
        <f>DATE(21,9,1)</f>
        <v>7915</v>
      </c>
      <c r="C133" s="226">
        <v>3225792.95</v>
      </c>
      <c r="D133" s="226">
        <v>145306.89000000001</v>
      </c>
      <c r="E133" s="226">
        <v>0</v>
      </c>
      <c r="F133" s="166">
        <v>1</v>
      </c>
      <c r="G133" s="241">
        <f t="shared" si="0"/>
        <v>4.5045324437205436E-2</v>
      </c>
      <c r="H133" s="289">
        <f t="shared" si="1"/>
        <v>0.95495467556279456</v>
      </c>
    </row>
    <row r="134" spans="1:8" ht="15.75" x14ac:dyDescent="0.25">
      <c r="A134" s="164"/>
      <c r="B134" s="165">
        <f>DATE(21,10,1)</f>
        <v>7945</v>
      </c>
      <c r="C134" s="226">
        <v>4369745.4400000004</v>
      </c>
      <c r="D134" s="226">
        <v>179665.17</v>
      </c>
      <c r="E134" s="226">
        <v>0</v>
      </c>
      <c r="F134" s="166">
        <v>1</v>
      </c>
      <c r="G134" s="241">
        <f t="shared" si="0"/>
        <v>4.1115706273269777E-2</v>
      </c>
      <c r="H134" s="289">
        <f t="shared" si="1"/>
        <v>0.95888429372673023</v>
      </c>
    </row>
    <row r="135" spans="1:8" ht="15.75" x14ac:dyDescent="0.25">
      <c r="A135" s="164"/>
      <c r="B135" s="165">
        <f>DATE(21,11,1)</f>
        <v>7976</v>
      </c>
      <c r="C135" s="226">
        <v>5826637.7300000004</v>
      </c>
      <c r="D135" s="226">
        <v>200635.43</v>
      </c>
      <c r="E135" s="226">
        <v>0</v>
      </c>
      <c r="F135" s="166">
        <v>1</v>
      </c>
      <c r="G135" s="241">
        <f t="shared" si="0"/>
        <v>3.4434169292347612E-2</v>
      </c>
      <c r="H135" s="289">
        <f t="shared" si="1"/>
        <v>0.96556583070765234</v>
      </c>
    </row>
    <row r="136" spans="1:8" ht="15.75" x14ac:dyDescent="0.25">
      <c r="A136" s="164"/>
      <c r="B136" s="165">
        <f>DATE(21,12,1)</f>
        <v>8006</v>
      </c>
      <c r="C136" s="226">
        <v>6300712.0499999998</v>
      </c>
      <c r="D136" s="226">
        <v>258639.24</v>
      </c>
      <c r="E136" s="226">
        <v>0</v>
      </c>
      <c r="F136" s="166">
        <v>1</v>
      </c>
      <c r="G136" s="241">
        <f t="shared" si="0"/>
        <v>4.104920808117235E-2</v>
      </c>
      <c r="H136" s="289">
        <f t="shared" si="1"/>
        <v>0.95895079191882759</v>
      </c>
    </row>
    <row r="137" spans="1:8" ht="15.75" x14ac:dyDescent="0.25">
      <c r="A137" s="164"/>
      <c r="B137" s="165">
        <f>DATE(22,1,1)</f>
        <v>8037</v>
      </c>
      <c r="C137" s="226">
        <v>6265473.4800000004</v>
      </c>
      <c r="D137" s="226">
        <v>255321.86</v>
      </c>
      <c r="E137" s="226">
        <v>13801.5</v>
      </c>
      <c r="F137" s="166">
        <f>+(D137-E137)/E137</f>
        <v>17.499573234793317</v>
      </c>
      <c r="G137" s="241">
        <f t="shared" si="0"/>
        <v>4.0750609002657527E-2</v>
      </c>
      <c r="H137" s="289">
        <f t="shared" si="1"/>
        <v>0.95924939099734252</v>
      </c>
    </row>
    <row r="138" spans="1:8" ht="15.75" x14ac:dyDescent="0.25">
      <c r="A138" s="164"/>
      <c r="B138" s="165">
        <f>DATE(22,2,1)</f>
        <v>8068</v>
      </c>
      <c r="C138" s="226">
        <v>5041575</v>
      </c>
      <c r="D138" s="226">
        <v>283659.46000000002</v>
      </c>
      <c r="E138" s="226">
        <v>31538.07</v>
      </c>
      <c r="F138" s="166">
        <f>+(D138-E138)/E138</f>
        <v>7.9941920986287371</v>
      </c>
      <c r="G138" s="241">
        <f t="shared" si="0"/>
        <v>5.6264056371272873E-2</v>
      </c>
      <c r="H138" s="289">
        <f t="shared" si="1"/>
        <v>0.94373594362872715</v>
      </c>
    </row>
    <row r="139" spans="1:8" ht="15.75" thickBot="1" x14ac:dyDescent="0.25">
      <c r="A139" s="167"/>
      <c r="B139" s="168"/>
      <c r="C139" s="226"/>
      <c r="D139" s="226"/>
      <c r="E139" s="226"/>
      <c r="F139" s="166"/>
      <c r="G139" s="241"/>
      <c r="H139" s="242"/>
    </row>
    <row r="140" spans="1:8" ht="17.25" thickTop="1" thickBot="1" x14ac:dyDescent="0.3">
      <c r="A140" s="174" t="s">
        <v>14</v>
      </c>
      <c r="B140" s="175"/>
      <c r="C140" s="228">
        <f>SUM(C131:C139)</f>
        <v>39256113.920000002</v>
      </c>
      <c r="D140" s="228">
        <f>SUM(D131:D139)</f>
        <v>1659111.54</v>
      </c>
      <c r="E140" s="228">
        <f>SUM(E131:E139)</f>
        <v>45339.57</v>
      </c>
      <c r="F140" s="176">
        <v>1</v>
      </c>
      <c r="G140" s="245">
        <f>+D140/C140</f>
        <v>4.2263774335409302E-2</v>
      </c>
      <c r="H140" s="246">
        <f>1-G140</f>
        <v>0.95773622566459071</v>
      </c>
    </row>
    <row r="141" spans="1:8" ht="15.75" thickTop="1" x14ac:dyDescent="0.2">
      <c r="A141" s="167"/>
      <c r="B141" s="168"/>
      <c r="C141" s="226"/>
      <c r="D141" s="226"/>
      <c r="E141" s="226"/>
      <c r="F141" s="166"/>
      <c r="G141" s="241"/>
      <c r="H141" s="242"/>
    </row>
    <row r="142" spans="1:8" ht="15.75" x14ac:dyDescent="0.25">
      <c r="A142" s="164" t="s">
        <v>58</v>
      </c>
      <c r="B142" s="165">
        <f>DATE(21,7,1)</f>
        <v>7853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DATE(21,8,1)</f>
        <v>7884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DATE(21,9,1)</f>
        <v>7915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DATE(21,10,1)</f>
        <v>7945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DATE(21,11,1)</f>
        <v>7976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x14ac:dyDescent="0.25">
      <c r="A147" s="164"/>
      <c r="B147" s="165">
        <f>DATE(21,12,1)</f>
        <v>8006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.75" x14ac:dyDescent="0.25">
      <c r="A148" s="164"/>
      <c r="B148" s="165">
        <f>DATE(22,1,1)</f>
        <v>8037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.75" x14ac:dyDescent="0.25">
      <c r="A149" s="164"/>
      <c r="B149" s="165">
        <f>DATE(22,2,1)</f>
        <v>8068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.75" thickBot="1" x14ac:dyDescent="0.25">
      <c r="A150" s="167"/>
      <c r="B150" s="168"/>
      <c r="C150" s="226"/>
      <c r="D150" s="226"/>
      <c r="E150" s="226"/>
      <c r="F150" s="166"/>
      <c r="G150" s="241"/>
      <c r="H150" s="242"/>
    </row>
    <row r="151" spans="1:8" ht="17.25" thickTop="1" thickBot="1" x14ac:dyDescent="0.3">
      <c r="A151" s="169" t="s">
        <v>14</v>
      </c>
      <c r="B151" s="155"/>
      <c r="C151" s="223">
        <f>SUM(C142:C150)</f>
        <v>0</v>
      </c>
      <c r="D151" s="223">
        <f>SUM(D142:D150)</f>
        <v>0</v>
      </c>
      <c r="E151" s="223">
        <f>SUM(E142:E150)</f>
        <v>0</v>
      </c>
      <c r="F151" s="176">
        <v>0</v>
      </c>
      <c r="G151" s="245">
        <v>0</v>
      </c>
      <c r="H151" s="246">
        <v>0</v>
      </c>
    </row>
    <row r="152" spans="1:8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</row>
    <row r="153" spans="1:8" ht="17.25" thickTop="1" thickBot="1" x14ac:dyDescent="0.3">
      <c r="A153" s="184" t="s">
        <v>38</v>
      </c>
      <c r="B153" s="155"/>
      <c r="C153" s="223">
        <f>C151+C140+C107+C85+C63+C41+C19+C52+C129+C30+C96+C118+C74</f>
        <v>48556440.200000003</v>
      </c>
      <c r="D153" s="223">
        <f>D151+D140+D107+D85+D63+D41+D19+D52+D129+D30+D96+D118+D74</f>
        <v>2054623.38</v>
      </c>
      <c r="E153" s="223">
        <f>E151+E140+E107+E85+E63+E41+E19+E52+E129+E30+E96+E118+E74</f>
        <v>741437.65</v>
      </c>
      <c r="F153" s="176">
        <f>+(D153-E153)/E153</f>
        <v>1.771134403546947</v>
      </c>
      <c r="G153" s="236">
        <f>D153/C153</f>
        <v>4.2314127055796805E-2</v>
      </c>
      <c r="H153" s="237">
        <f>1-G153</f>
        <v>0.95768587294420315</v>
      </c>
    </row>
    <row r="154" spans="1:8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</row>
    <row r="155" spans="1:8" ht="17.25" thickTop="1" thickBot="1" x14ac:dyDescent="0.3">
      <c r="A155" s="184" t="s">
        <v>39</v>
      </c>
      <c r="B155" s="155"/>
      <c r="C155" s="223">
        <f>SUM(C17+C28+C39+C50+C61+C72+C83+C94+C105+C116+C127+C138+C149)</f>
        <v>7791618.4399999995</v>
      </c>
      <c r="D155" s="223">
        <f>SUM(D17+D28+D39+D50+D61+D72+D83+D94+D105+D116+D127+D138+D149)</f>
        <v>418314.81000000006</v>
      </c>
      <c r="E155" s="223">
        <f>SUM(E17+E28+E39+E50+E61+E72+E83+E94+E105+E116+E127+E138+E149)</f>
        <v>126188.07</v>
      </c>
      <c r="F155" s="176">
        <f>+(D155-E155)/E155</f>
        <v>2.3150107613184039</v>
      </c>
      <c r="G155" s="236">
        <f>D155/C155</f>
        <v>5.3687794547598519E-2</v>
      </c>
      <c r="H155" s="246">
        <f>1-G155</f>
        <v>0.94631220545240147</v>
      </c>
    </row>
    <row r="156" spans="1:8" ht="16.5" thickTop="1" x14ac:dyDescent="0.25">
      <c r="A156" s="185"/>
      <c r="B156" s="186"/>
      <c r="C156" s="231"/>
      <c r="D156" s="231"/>
      <c r="E156" s="231"/>
      <c r="F156" s="187"/>
      <c r="G156" s="250"/>
      <c r="H156" s="250"/>
    </row>
    <row r="157" spans="1:8" ht="18.75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</row>
    <row r="158" spans="1:8" ht="15.75" x14ac:dyDescent="0.25">
      <c r="A158" s="191"/>
      <c r="B158" s="189"/>
      <c r="C158" s="232"/>
      <c r="D158" s="232"/>
      <c r="E158" s="232"/>
      <c r="F158" s="190"/>
      <c r="G158" s="257"/>
      <c r="H158" s="257"/>
    </row>
  </sheetData>
  <printOptions horizontalCentered="1"/>
  <pageMargins left="0.7" right="0.45" top="0.25" bottom="0.25" header="0.3" footer="0.3"/>
  <pageSetup scale="65" orientation="landscape" r:id="rId1"/>
  <rowBreaks count="3" manualBreakCount="3">
    <brk id="52" max="16383" man="1"/>
    <brk id="96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59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 t="shared" ref="F10:F17" si="0">(+D10-E10)/E10</f>
        <v>0.16144317870147099</v>
      </c>
      <c r="G10" s="241">
        <f t="shared" ref="G10:G17" si="1">D10/C10</f>
        <v>9.830481246354357E-2</v>
      </c>
      <c r="H10" s="242">
        <f t="shared" ref="H10:H17" si="2"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12571995.619999999</v>
      </c>
      <c r="E11" s="226">
        <v>11056944.539999999</v>
      </c>
      <c r="F11" s="166">
        <f t="shared" si="0"/>
        <v>0.1370225811044902</v>
      </c>
      <c r="G11" s="241">
        <f t="shared" si="1"/>
        <v>9.7919120794531814E-2</v>
      </c>
      <c r="H11" s="242">
        <f t="shared" si="2"/>
        <v>0.9020808792054682</v>
      </c>
      <c r="I11" s="157"/>
    </row>
    <row r="12" spans="1:9" ht="15.75" x14ac:dyDescent="0.25">
      <c r="A12" s="164"/>
      <c r="B12" s="165">
        <f>DATE(21,9,1)</f>
        <v>7915</v>
      </c>
      <c r="C12" s="226">
        <v>124375181.01000001</v>
      </c>
      <c r="D12" s="226">
        <v>11932276.220000001</v>
      </c>
      <c r="E12" s="226">
        <v>11050997.59</v>
      </c>
      <c r="F12" s="166">
        <f t="shared" si="0"/>
        <v>7.9746522684745316E-2</v>
      </c>
      <c r="G12" s="241">
        <f t="shared" si="1"/>
        <v>9.5937759632612099E-2</v>
      </c>
      <c r="H12" s="242">
        <f t="shared" si="2"/>
        <v>0.90406224036738791</v>
      </c>
      <c r="I12" s="157"/>
    </row>
    <row r="13" spans="1:9" ht="15.75" x14ac:dyDescent="0.25">
      <c r="A13" s="164"/>
      <c r="B13" s="165">
        <f>DATE(21,10,1)</f>
        <v>7945</v>
      </c>
      <c r="C13" s="226">
        <v>130707452.04000001</v>
      </c>
      <c r="D13" s="226">
        <v>12592302.91</v>
      </c>
      <c r="E13" s="226">
        <v>11431719.140000001</v>
      </c>
      <c r="F13" s="166">
        <f t="shared" si="0"/>
        <v>0.10152311789563433</v>
      </c>
      <c r="G13" s="241">
        <f t="shared" si="1"/>
        <v>9.6339594364875353E-2</v>
      </c>
      <c r="H13" s="242">
        <f t="shared" si="2"/>
        <v>0.90366040563512462</v>
      </c>
      <c r="I13" s="157"/>
    </row>
    <row r="14" spans="1:9" ht="15.75" x14ac:dyDescent="0.25">
      <c r="A14" s="164"/>
      <c r="B14" s="165">
        <f>DATE(21,11,1)</f>
        <v>7976</v>
      </c>
      <c r="C14" s="226">
        <v>116416163.67</v>
      </c>
      <c r="D14" s="226">
        <v>11228260.109999999</v>
      </c>
      <c r="E14" s="226">
        <v>9830852.8200000003</v>
      </c>
      <c r="F14" s="166">
        <f t="shared" si="0"/>
        <v>0.14214507282187133</v>
      </c>
      <c r="G14" s="241">
        <f t="shared" si="1"/>
        <v>9.6449322465463436E-2</v>
      </c>
      <c r="H14" s="242">
        <f t="shared" si="2"/>
        <v>0.90355067753453655</v>
      </c>
      <c r="I14" s="157"/>
    </row>
    <row r="15" spans="1:9" ht="15.75" x14ac:dyDescent="0.25">
      <c r="A15" s="164"/>
      <c r="B15" s="165">
        <f>DATE(21,12,1)</f>
        <v>8006</v>
      </c>
      <c r="C15" s="226">
        <v>125465546.67</v>
      </c>
      <c r="D15" s="226">
        <v>12242955.609999999</v>
      </c>
      <c r="E15" s="226">
        <v>10848180.109999999</v>
      </c>
      <c r="F15" s="166">
        <f t="shared" si="0"/>
        <v>0.1285723029906442</v>
      </c>
      <c r="G15" s="241">
        <f t="shared" si="1"/>
        <v>9.7580219709251903E-2</v>
      </c>
      <c r="H15" s="242">
        <f t="shared" si="2"/>
        <v>0.9024197802907481</v>
      </c>
      <c r="I15" s="157"/>
    </row>
    <row r="16" spans="1:9" ht="15.75" x14ac:dyDescent="0.25">
      <c r="A16" s="164"/>
      <c r="B16" s="165">
        <f>DATE(22,1,1)</f>
        <v>8037</v>
      </c>
      <c r="C16" s="226">
        <v>107197391.36</v>
      </c>
      <c r="D16" s="226">
        <v>10440396.67</v>
      </c>
      <c r="E16" s="226">
        <v>11373635.939999999</v>
      </c>
      <c r="F16" s="166">
        <f t="shared" si="0"/>
        <v>-8.2052852308898472E-2</v>
      </c>
      <c r="G16" s="241">
        <f t="shared" si="1"/>
        <v>9.7394130002082913E-2</v>
      </c>
      <c r="H16" s="242">
        <f t="shared" si="2"/>
        <v>0.90260586999791714</v>
      </c>
      <c r="I16" s="157"/>
    </row>
    <row r="17" spans="1:9" ht="15.75" x14ac:dyDescent="0.25">
      <c r="A17" s="164"/>
      <c r="B17" s="165">
        <f>DATE(22,2,1)</f>
        <v>8068</v>
      </c>
      <c r="C17" s="226">
        <v>119422740.73999999</v>
      </c>
      <c r="D17" s="226">
        <v>11511927.220000001</v>
      </c>
      <c r="E17" s="226">
        <v>9994364.9199999999</v>
      </c>
      <c r="F17" s="166">
        <f t="shared" si="0"/>
        <v>0.15184179406569046</v>
      </c>
      <c r="G17" s="241">
        <f t="shared" si="1"/>
        <v>9.6396441319857792E-2</v>
      </c>
      <c r="H17" s="242">
        <f t="shared" si="2"/>
        <v>0.90360355868014219</v>
      </c>
      <c r="I17" s="157"/>
    </row>
    <row r="18" spans="1:9" ht="15.75" thickBot="1" x14ac:dyDescent="0.25">
      <c r="A18" s="167"/>
      <c r="B18" s="168"/>
      <c r="C18" s="226"/>
      <c r="D18" s="226"/>
      <c r="E18" s="226"/>
      <c r="F18" s="166"/>
      <c r="G18" s="241"/>
      <c r="H18" s="242"/>
      <c r="I18" s="157"/>
    </row>
    <row r="19" spans="1:9" ht="17.25" thickTop="1" thickBot="1" x14ac:dyDescent="0.3">
      <c r="A19" s="169" t="s">
        <v>14</v>
      </c>
      <c r="B19" s="155"/>
      <c r="C19" s="223">
        <f>SUM(C10:C18)</f>
        <v>989686786.22000003</v>
      </c>
      <c r="D19" s="223">
        <f>SUM(D10:D18)</f>
        <v>96057736.909999996</v>
      </c>
      <c r="E19" s="223">
        <f>SUM(E10:E18)</f>
        <v>87242558.040000007</v>
      </c>
      <c r="F19" s="170">
        <f>(+D19-E19)/E19</f>
        <v>0.10104218707065309</v>
      </c>
      <c r="G19" s="236">
        <f>D19/C19</f>
        <v>9.7058724282741995E-2</v>
      </c>
      <c r="H19" s="237">
        <f>1-G19</f>
        <v>0.90294127571725802</v>
      </c>
      <c r="I19" s="157"/>
    </row>
    <row r="20" spans="1:9" ht="15.75" thickTop="1" x14ac:dyDescent="0.2">
      <c r="A20" s="171"/>
      <c r="B20" s="172"/>
      <c r="C20" s="227"/>
      <c r="D20" s="227"/>
      <c r="E20" s="227"/>
      <c r="F20" s="173"/>
      <c r="G20" s="243"/>
      <c r="H20" s="244"/>
      <c r="I20" s="157"/>
    </row>
    <row r="21" spans="1:9" ht="15.75" x14ac:dyDescent="0.25">
      <c r="A21" s="19" t="s">
        <v>48</v>
      </c>
      <c r="B21" s="165">
        <f>DATE(21,7,1)</f>
        <v>7853</v>
      </c>
      <c r="C21" s="226">
        <v>73584363.370000005</v>
      </c>
      <c r="D21" s="226">
        <v>7305624.1500000004</v>
      </c>
      <c r="E21" s="226">
        <v>5066109.03</v>
      </c>
      <c r="F21" s="166">
        <f t="shared" ref="F21:F28" si="3">(+D21-E21)/E21</f>
        <v>0.44205821602698508</v>
      </c>
      <c r="G21" s="241">
        <f t="shared" ref="G21:G28" si="4">D21/C21</f>
        <v>9.928229063103465E-2</v>
      </c>
      <c r="H21" s="242">
        <f t="shared" ref="H21:H28" si="5">1-G21</f>
        <v>0.90071770936896534</v>
      </c>
      <c r="I21" s="157"/>
    </row>
    <row r="22" spans="1:9" ht="15.75" x14ac:dyDescent="0.25">
      <c r="A22" s="19"/>
      <c r="B22" s="165">
        <f>DATE(21,8,1)</f>
        <v>7884</v>
      </c>
      <c r="C22" s="226">
        <v>67816496.489999995</v>
      </c>
      <c r="D22" s="226">
        <v>6574172.1100000003</v>
      </c>
      <c r="E22" s="226">
        <v>5468550.7300000004</v>
      </c>
      <c r="F22" s="166">
        <f t="shared" si="3"/>
        <v>0.20217813358384989</v>
      </c>
      <c r="G22" s="241">
        <f t="shared" si="4"/>
        <v>9.6940603691749352E-2</v>
      </c>
      <c r="H22" s="242">
        <f t="shared" si="5"/>
        <v>0.90305939630825061</v>
      </c>
      <c r="I22" s="157"/>
    </row>
    <row r="23" spans="1:9" ht="15.75" x14ac:dyDescent="0.25">
      <c r="A23" s="19"/>
      <c r="B23" s="165">
        <f>DATE(21,9,1)</f>
        <v>7915</v>
      </c>
      <c r="C23" s="226">
        <v>67990554.870000005</v>
      </c>
      <c r="D23" s="226">
        <v>6771046.1100000003</v>
      </c>
      <c r="E23" s="226">
        <v>5506925.1600000001</v>
      </c>
      <c r="F23" s="166">
        <f t="shared" si="3"/>
        <v>0.22955114029550389</v>
      </c>
      <c r="G23" s="241">
        <f t="shared" si="4"/>
        <v>9.9588040176263382E-2</v>
      </c>
      <c r="H23" s="242">
        <f t="shared" si="5"/>
        <v>0.90041195982373656</v>
      </c>
      <c r="I23" s="157"/>
    </row>
    <row r="24" spans="1:9" ht="15.75" x14ac:dyDescent="0.25">
      <c r="A24" s="19"/>
      <c r="B24" s="165">
        <f>DATE(21,10,1)</f>
        <v>7945</v>
      </c>
      <c r="C24" s="226">
        <v>70153959.480000004</v>
      </c>
      <c r="D24" s="226">
        <v>7189129.7599999998</v>
      </c>
      <c r="E24" s="226">
        <v>5104255.3899999997</v>
      </c>
      <c r="F24" s="166">
        <f t="shared" si="3"/>
        <v>0.40845808265875194</v>
      </c>
      <c r="G24" s="241">
        <f t="shared" si="4"/>
        <v>0.10247646481093528</v>
      </c>
      <c r="H24" s="242">
        <f t="shared" si="5"/>
        <v>0.89752353518906469</v>
      </c>
      <c r="I24" s="157"/>
    </row>
    <row r="25" spans="1:9" ht="15.75" x14ac:dyDescent="0.25">
      <c r="A25" s="19"/>
      <c r="B25" s="165">
        <f>DATE(21,11,1)</f>
        <v>7976</v>
      </c>
      <c r="C25" s="226">
        <v>61861650.840000004</v>
      </c>
      <c r="D25" s="226">
        <v>6088324.1399999997</v>
      </c>
      <c r="E25" s="226">
        <v>4814628.37</v>
      </c>
      <c r="F25" s="166">
        <f t="shared" si="3"/>
        <v>0.26454705786565197</v>
      </c>
      <c r="G25" s="241">
        <f t="shared" si="4"/>
        <v>9.8418390995528751E-2</v>
      </c>
      <c r="H25" s="242">
        <f t="shared" si="5"/>
        <v>0.90158160900447126</v>
      </c>
      <c r="I25" s="157"/>
    </row>
    <row r="26" spans="1:9" ht="15.75" x14ac:dyDescent="0.25">
      <c r="A26" s="19"/>
      <c r="B26" s="165">
        <f>DATE(21,12,1)</f>
        <v>8006</v>
      </c>
      <c r="C26" s="226">
        <v>69301193.799999997</v>
      </c>
      <c r="D26" s="226">
        <v>6682194.9000000004</v>
      </c>
      <c r="E26" s="226">
        <v>5255704.49</v>
      </c>
      <c r="F26" s="166">
        <f t="shared" si="3"/>
        <v>0.27141754501497861</v>
      </c>
      <c r="G26" s="241">
        <f t="shared" si="4"/>
        <v>9.6422507803898758E-2</v>
      </c>
      <c r="H26" s="242">
        <f t="shared" si="5"/>
        <v>0.90357749219610128</v>
      </c>
      <c r="I26" s="157"/>
    </row>
    <row r="27" spans="1:9" ht="15.75" x14ac:dyDescent="0.25">
      <c r="A27" s="19"/>
      <c r="B27" s="165">
        <f>DATE(22,1,1)</f>
        <v>8037</v>
      </c>
      <c r="C27" s="226">
        <v>57247161.740000002</v>
      </c>
      <c r="D27" s="226">
        <v>5978134.71</v>
      </c>
      <c r="E27" s="226">
        <v>6374309.2999999998</v>
      </c>
      <c r="F27" s="166">
        <f t="shared" si="3"/>
        <v>-6.2151767564840296E-2</v>
      </c>
      <c r="G27" s="241">
        <f t="shared" si="4"/>
        <v>0.10442674410918315</v>
      </c>
      <c r="H27" s="242">
        <f t="shared" si="5"/>
        <v>0.89557325589081682</v>
      </c>
      <c r="I27" s="157"/>
    </row>
    <row r="28" spans="1:9" ht="15.75" x14ac:dyDescent="0.25">
      <c r="A28" s="19"/>
      <c r="B28" s="165">
        <f>DATE(22,2,1)</f>
        <v>8068</v>
      </c>
      <c r="C28" s="226">
        <v>61471456.630000003</v>
      </c>
      <c r="D28" s="226">
        <v>6104570.21</v>
      </c>
      <c r="E28" s="226">
        <v>5505403.3499999996</v>
      </c>
      <c r="F28" s="166">
        <f t="shared" si="3"/>
        <v>0.10883250906584353</v>
      </c>
      <c r="G28" s="241">
        <f t="shared" si="4"/>
        <v>9.9307394759550527E-2</v>
      </c>
      <c r="H28" s="242">
        <f t="shared" si="5"/>
        <v>0.90069260524044947</v>
      </c>
      <c r="I28" s="157"/>
    </row>
    <row r="29" spans="1:9" ht="15.75" thickBot="1" x14ac:dyDescent="0.25">
      <c r="A29" s="167"/>
      <c r="B29" s="165"/>
      <c r="C29" s="226"/>
      <c r="D29" s="226"/>
      <c r="E29" s="226"/>
      <c r="F29" s="166"/>
      <c r="G29" s="241"/>
      <c r="H29" s="242"/>
      <c r="I29" s="157"/>
    </row>
    <row r="30" spans="1:9" ht="17.25" thickTop="1" thickBot="1" x14ac:dyDescent="0.3">
      <c r="A30" s="169" t="s">
        <v>14</v>
      </c>
      <c r="B30" s="155"/>
      <c r="C30" s="223">
        <f>SUM(C21:C29)</f>
        <v>529426837.22000009</v>
      </c>
      <c r="D30" s="223">
        <f>SUM(D21:D29)</f>
        <v>52693196.090000004</v>
      </c>
      <c r="E30" s="223">
        <f>SUM(E21:E29)</f>
        <v>43095885.82</v>
      </c>
      <c r="F30" s="170">
        <f>(+D30-E30)/E30</f>
        <v>0.22269667016673944</v>
      </c>
      <c r="G30" s="236">
        <f>D30/C30</f>
        <v>9.9528759000374722E-2</v>
      </c>
      <c r="H30" s="237">
        <f>1-G30</f>
        <v>0.90047124099962528</v>
      </c>
      <c r="I30" s="157"/>
    </row>
    <row r="31" spans="1:9" ht="15.75" thickTop="1" x14ac:dyDescent="0.2">
      <c r="A31" s="171"/>
      <c r="B31" s="172"/>
      <c r="C31" s="227"/>
      <c r="D31" s="227"/>
      <c r="E31" s="227"/>
      <c r="F31" s="173"/>
      <c r="G31" s="243"/>
      <c r="H31" s="244"/>
      <c r="I31" s="157"/>
    </row>
    <row r="32" spans="1:9" ht="15.75" x14ac:dyDescent="0.25">
      <c r="A32" s="19" t="s">
        <v>64</v>
      </c>
      <c r="B32" s="165">
        <f>DATE(21,7,1)</f>
        <v>7853</v>
      </c>
      <c r="C32" s="226">
        <v>41344494.670000002</v>
      </c>
      <c r="D32" s="226">
        <v>4179858.95</v>
      </c>
      <c r="E32" s="226">
        <v>3105687.6</v>
      </c>
      <c r="F32" s="166">
        <f t="shared" ref="F32:F39" si="6">(+D32-E32)/E32</f>
        <v>0.34587231181912825</v>
      </c>
      <c r="G32" s="241">
        <f t="shared" ref="G32:G39" si="7">D32/C32</f>
        <v>0.10109831994229088</v>
      </c>
      <c r="H32" s="242">
        <f t="shared" ref="H32:H39" si="8">1-G32</f>
        <v>0.8989016800577091</v>
      </c>
      <c r="I32" s="157"/>
    </row>
    <row r="33" spans="1:9" ht="15.75" x14ac:dyDescent="0.25">
      <c r="A33" s="19"/>
      <c r="B33" s="165">
        <f>DATE(21,8,1)</f>
        <v>7884</v>
      </c>
      <c r="C33" s="226">
        <v>34738721.109999999</v>
      </c>
      <c r="D33" s="226">
        <v>3554355.99</v>
      </c>
      <c r="E33" s="226">
        <v>3031801</v>
      </c>
      <c r="F33" s="166">
        <f t="shared" si="6"/>
        <v>0.17235794499704968</v>
      </c>
      <c r="G33" s="241">
        <f t="shared" si="7"/>
        <v>0.10231683482950188</v>
      </c>
      <c r="H33" s="242">
        <f t="shared" si="8"/>
        <v>0.89768316517049818</v>
      </c>
      <c r="I33" s="157"/>
    </row>
    <row r="34" spans="1:9" ht="15.75" x14ac:dyDescent="0.25">
      <c r="A34" s="19"/>
      <c r="B34" s="165">
        <f>DATE(21,9,1)</f>
        <v>7915</v>
      </c>
      <c r="C34" s="226">
        <v>35864944.780000001</v>
      </c>
      <c r="D34" s="226">
        <v>3815155.29</v>
      </c>
      <c r="E34" s="226">
        <v>2818231.18</v>
      </c>
      <c r="F34" s="166">
        <f t="shared" si="6"/>
        <v>0.35374106889272294</v>
      </c>
      <c r="G34" s="241">
        <f t="shared" si="7"/>
        <v>0.10637560752993303</v>
      </c>
      <c r="H34" s="242">
        <f t="shared" si="8"/>
        <v>0.89362439247006697</v>
      </c>
      <c r="I34" s="157"/>
    </row>
    <row r="35" spans="1:9" ht="15.75" x14ac:dyDescent="0.25">
      <c r="A35" s="19"/>
      <c r="B35" s="165">
        <f>DATE(21,10,1)</f>
        <v>7945</v>
      </c>
      <c r="C35" s="226">
        <v>35456144.609999999</v>
      </c>
      <c r="D35" s="226">
        <v>3758784.61</v>
      </c>
      <c r="E35" s="226">
        <v>2969140.93</v>
      </c>
      <c r="F35" s="166">
        <f t="shared" si="6"/>
        <v>0.26595021880621872</v>
      </c>
      <c r="G35" s="241">
        <f t="shared" si="7"/>
        <v>0.10601222020455878</v>
      </c>
      <c r="H35" s="242">
        <f t="shared" si="8"/>
        <v>0.8939877797954412</v>
      </c>
      <c r="I35" s="157"/>
    </row>
    <row r="36" spans="1:9" ht="15.75" x14ac:dyDescent="0.25">
      <c r="A36" s="19"/>
      <c r="B36" s="165">
        <f>DATE(21,11,1)</f>
        <v>7976</v>
      </c>
      <c r="C36" s="226">
        <v>31753102.989999998</v>
      </c>
      <c r="D36" s="226">
        <v>3347078.48</v>
      </c>
      <c r="E36" s="226">
        <v>2745164.62</v>
      </c>
      <c r="F36" s="166">
        <f t="shared" si="6"/>
        <v>0.21926330232246685</v>
      </c>
      <c r="G36" s="241">
        <f t="shared" si="7"/>
        <v>0.10540949276844204</v>
      </c>
      <c r="H36" s="242">
        <f t="shared" si="8"/>
        <v>0.89459050723155797</v>
      </c>
      <c r="I36" s="157"/>
    </row>
    <row r="37" spans="1:9" ht="15.75" x14ac:dyDescent="0.25">
      <c r="A37" s="19"/>
      <c r="B37" s="165">
        <f>DATE(21,12,1)</f>
        <v>8006</v>
      </c>
      <c r="C37" s="226">
        <v>36776952.969999999</v>
      </c>
      <c r="D37" s="226">
        <v>3599731.36</v>
      </c>
      <c r="E37" s="226">
        <v>2957388.53</v>
      </c>
      <c r="F37" s="166">
        <f t="shared" si="6"/>
        <v>0.21719933768729405</v>
      </c>
      <c r="G37" s="241">
        <f t="shared" si="7"/>
        <v>9.7880087100647037E-2</v>
      </c>
      <c r="H37" s="242">
        <f t="shared" si="8"/>
        <v>0.902119912899353</v>
      </c>
      <c r="I37" s="157"/>
    </row>
    <row r="38" spans="1:9" ht="15.75" x14ac:dyDescent="0.25">
      <c r="A38" s="19"/>
      <c r="B38" s="165">
        <f>DATE(22,1,1)</f>
        <v>8037</v>
      </c>
      <c r="C38" s="226">
        <v>30780937.68</v>
      </c>
      <c r="D38" s="226">
        <v>3120845.46</v>
      </c>
      <c r="E38" s="226">
        <v>3739186.99</v>
      </c>
      <c r="F38" s="166">
        <f t="shared" si="6"/>
        <v>-0.16536790795798106</v>
      </c>
      <c r="G38" s="241">
        <f t="shared" si="7"/>
        <v>0.101388901548239</v>
      </c>
      <c r="H38" s="242">
        <f t="shared" si="8"/>
        <v>0.89861109845176101</v>
      </c>
      <c r="I38" s="157"/>
    </row>
    <row r="39" spans="1:9" ht="15.75" x14ac:dyDescent="0.25">
      <c r="A39" s="19"/>
      <c r="B39" s="165">
        <f>DATE(22,2,1)</f>
        <v>8068</v>
      </c>
      <c r="C39" s="226">
        <v>33531797.129999999</v>
      </c>
      <c r="D39" s="226">
        <v>3529009.1</v>
      </c>
      <c r="E39" s="226">
        <v>2745767.52</v>
      </c>
      <c r="F39" s="166">
        <f t="shared" si="6"/>
        <v>0.2852541499944613</v>
      </c>
      <c r="G39" s="241">
        <f t="shared" si="7"/>
        <v>0.10524366130208662</v>
      </c>
      <c r="H39" s="242">
        <f t="shared" si="8"/>
        <v>0.89475633869791338</v>
      </c>
      <c r="I39" s="157"/>
    </row>
    <row r="40" spans="1:9" ht="15.75" thickBot="1" x14ac:dyDescent="0.25">
      <c r="A40" s="167"/>
      <c r="B40" s="165"/>
      <c r="C40" s="226"/>
      <c r="D40" s="226"/>
      <c r="E40" s="226"/>
      <c r="F40" s="166"/>
      <c r="G40" s="241"/>
      <c r="H40" s="242"/>
      <c r="I40" s="157"/>
    </row>
    <row r="41" spans="1:9" ht="17.25" thickTop="1" thickBot="1" x14ac:dyDescent="0.3">
      <c r="A41" s="174" t="s">
        <v>14</v>
      </c>
      <c r="B41" s="175"/>
      <c r="C41" s="228">
        <f>SUM(C32:C40)</f>
        <v>280247095.94000006</v>
      </c>
      <c r="D41" s="228">
        <f>SUM(D32:D40)</f>
        <v>28904819.240000002</v>
      </c>
      <c r="E41" s="228">
        <f>SUM(E32:E40)</f>
        <v>24112368.370000001</v>
      </c>
      <c r="F41" s="176">
        <f>(+D41-E41)/E41</f>
        <v>0.19875487950667869</v>
      </c>
      <c r="G41" s="245">
        <f>D41/C41</f>
        <v>0.1031404773100251</v>
      </c>
      <c r="H41" s="246">
        <f>1-G41</f>
        <v>0.89685952268997493</v>
      </c>
      <c r="I41" s="157"/>
    </row>
    <row r="42" spans="1:9" ht="15.75" thickTop="1" x14ac:dyDescent="0.2">
      <c r="A42" s="167"/>
      <c r="B42" s="168"/>
      <c r="C42" s="226"/>
      <c r="D42" s="226"/>
      <c r="E42" s="226"/>
      <c r="F42" s="166"/>
      <c r="G42" s="241"/>
      <c r="H42" s="242"/>
      <c r="I42" s="157"/>
    </row>
    <row r="43" spans="1:9" ht="15.75" x14ac:dyDescent="0.25">
      <c r="A43" s="177" t="s">
        <v>59</v>
      </c>
      <c r="B43" s="165">
        <f>DATE(21,7,1)</f>
        <v>7853</v>
      </c>
      <c r="C43" s="226">
        <v>184241191.87</v>
      </c>
      <c r="D43" s="226">
        <v>16788708.57</v>
      </c>
      <c r="E43" s="226">
        <v>12870761.890000001</v>
      </c>
      <c r="F43" s="166">
        <f t="shared" ref="F43:F50" si="9">(+D43-E43)/E43</f>
        <v>0.30440674091283337</v>
      </c>
      <c r="G43" s="241">
        <f t="shared" ref="G43:G50" si="10">D43/C43</f>
        <v>9.1123534317157806E-2</v>
      </c>
      <c r="H43" s="242">
        <f t="shared" ref="H43:H50" si="11">1-G43</f>
        <v>0.90887646568284219</v>
      </c>
      <c r="I43" s="157"/>
    </row>
    <row r="44" spans="1:9" ht="15.75" x14ac:dyDescent="0.25">
      <c r="A44" s="177"/>
      <c r="B44" s="165">
        <f>DATE(21,8,1)</f>
        <v>7884</v>
      </c>
      <c r="C44" s="226">
        <v>171470115.47</v>
      </c>
      <c r="D44" s="226">
        <v>15228470.93</v>
      </c>
      <c r="E44" s="226">
        <v>13070251.67</v>
      </c>
      <c r="F44" s="166">
        <f t="shared" si="9"/>
        <v>0.16512453734565311</v>
      </c>
      <c r="G44" s="241">
        <f t="shared" si="10"/>
        <v>8.8811224558044563E-2</v>
      </c>
      <c r="H44" s="242">
        <f t="shared" si="11"/>
        <v>0.91118877544195542</v>
      </c>
      <c r="I44" s="157"/>
    </row>
    <row r="45" spans="1:9" ht="15.75" x14ac:dyDescent="0.25">
      <c r="A45" s="177"/>
      <c r="B45" s="165">
        <f>DATE(21,9,1)</f>
        <v>7915</v>
      </c>
      <c r="C45" s="226">
        <v>183696506.80000001</v>
      </c>
      <c r="D45" s="226">
        <v>16699713.119999999</v>
      </c>
      <c r="E45" s="226">
        <v>12783360.18</v>
      </c>
      <c r="F45" s="166">
        <f t="shared" si="9"/>
        <v>0.30636334147318062</v>
      </c>
      <c r="G45" s="241">
        <f t="shared" si="10"/>
        <v>9.0909257943493998E-2</v>
      </c>
      <c r="H45" s="242">
        <f t="shared" si="11"/>
        <v>0.90909074205650597</v>
      </c>
      <c r="I45" s="157"/>
    </row>
    <row r="46" spans="1:9" ht="15.75" x14ac:dyDescent="0.25">
      <c r="A46" s="177"/>
      <c r="B46" s="165">
        <f>DATE(21,10,1)</f>
        <v>7945</v>
      </c>
      <c r="C46" s="226">
        <v>184731805.90000001</v>
      </c>
      <c r="D46" s="226">
        <v>16704308.949999999</v>
      </c>
      <c r="E46" s="226">
        <v>13822122.460000001</v>
      </c>
      <c r="F46" s="166">
        <f t="shared" si="9"/>
        <v>0.20851982018975673</v>
      </c>
      <c r="G46" s="241">
        <f t="shared" si="10"/>
        <v>9.0424650311936347E-2</v>
      </c>
      <c r="H46" s="242">
        <f t="shared" si="11"/>
        <v>0.90957534968806364</v>
      </c>
      <c r="I46" s="157"/>
    </row>
    <row r="47" spans="1:9" ht="15.75" x14ac:dyDescent="0.25">
      <c r="A47" s="177"/>
      <c r="B47" s="165">
        <f>DATE(21,11,1)</f>
        <v>7976</v>
      </c>
      <c r="C47" s="226">
        <v>168594729.13</v>
      </c>
      <c r="D47" s="226">
        <v>15419780.210000001</v>
      </c>
      <c r="E47" s="226">
        <v>11508836.74</v>
      </c>
      <c r="F47" s="166">
        <f t="shared" si="9"/>
        <v>0.33982091833896327</v>
      </c>
      <c r="G47" s="241">
        <f t="shared" si="10"/>
        <v>9.146063040980433E-2</v>
      </c>
      <c r="H47" s="242">
        <f t="shared" si="11"/>
        <v>0.90853936959019566</v>
      </c>
      <c r="I47" s="157"/>
    </row>
    <row r="48" spans="1:9" ht="15.75" x14ac:dyDescent="0.25">
      <c r="A48" s="177"/>
      <c r="B48" s="165">
        <f>DATE(21,12,1)</f>
        <v>8006</v>
      </c>
      <c r="C48" s="226">
        <v>190132607.16999999</v>
      </c>
      <c r="D48" s="226">
        <v>17100191.719999999</v>
      </c>
      <c r="E48" s="226">
        <v>12101151.109999999</v>
      </c>
      <c r="F48" s="166">
        <f t="shared" si="9"/>
        <v>0.41310455216685577</v>
      </c>
      <c r="G48" s="241">
        <f t="shared" si="10"/>
        <v>8.9938238235541049E-2</v>
      </c>
      <c r="H48" s="242">
        <f t="shared" si="11"/>
        <v>0.91006176176445897</v>
      </c>
      <c r="I48" s="157"/>
    </row>
    <row r="49" spans="1:9" ht="15.75" x14ac:dyDescent="0.25">
      <c r="A49" s="177"/>
      <c r="B49" s="165">
        <f>DATE(22,1,1)</f>
        <v>8037</v>
      </c>
      <c r="C49" s="226">
        <v>171922425.78</v>
      </c>
      <c r="D49" s="226">
        <v>15681818.640000001</v>
      </c>
      <c r="E49" s="226">
        <v>12204646.310000001</v>
      </c>
      <c r="F49" s="166">
        <f t="shared" si="9"/>
        <v>0.28490562050544177</v>
      </c>
      <c r="G49" s="241">
        <f t="shared" si="10"/>
        <v>9.121450310425E-2</v>
      </c>
      <c r="H49" s="242">
        <f t="shared" si="11"/>
        <v>0.90878549689575006</v>
      </c>
      <c r="I49" s="157"/>
    </row>
    <row r="50" spans="1:9" ht="15.75" x14ac:dyDescent="0.25">
      <c r="A50" s="177"/>
      <c r="B50" s="165">
        <f>DATE(22,2,1)</f>
        <v>8068</v>
      </c>
      <c r="C50" s="226">
        <v>165948421.02000001</v>
      </c>
      <c r="D50" s="226">
        <v>15007235.039999999</v>
      </c>
      <c r="E50" s="226">
        <v>10252818.6</v>
      </c>
      <c r="F50" s="166">
        <f t="shared" si="9"/>
        <v>0.4637179906801433</v>
      </c>
      <c r="G50" s="241">
        <f t="shared" si="10"/>
        <v>9.0433129449248181E-2</v>
      </c>
      <c r="H50" s="242">
        <f t="shared" si="11"/>
        <v>0.9095668705507518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74" t="s">
        <v>14</v>
      </c>
      <c r="B52" s="178"/>
      <c r="C52" s="228">
        <f>SUM(C43:C51)</f>
        <v>1420737803.1400001</v>
      </c>
      <c r="D52" s="228">
        <f>SUM(D43:D51)</f>
        <v>128630227.18000001</v>
      </c>
      <c r="E52" s="228">
        <f>SUM(E43:E51)</f>
        <v>98613948.960000008</v>
      </c>
      <c r="F52" s="176">
        <f>(+D52-E52)/E52</f>
        <v>0.30438166746750261</v>
      </c>
      <c r="G52" s="245">
        <f>D52/C52</f>
        <v>9.0537625518031448E-2</v>
      </c>
      <c r="H52" s="246">
        <f>1-G52</f>
        <v>0.90946237448196854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62</v>
      </c>
      <c r="B54" s="165">
        <f>DATE(21,7,1)</f>
        <v>7853</v>
      </c>
      <c r="C54" s="226">
        <v>134033453.04000001</v>
      </c>
      <c r="D54" s="226">
        <v>12735420.67</v>
      </c>
      <c r="E54" s="226">
        <v>13388447.99</v>
      </c>
      <c r="F54" s="166">
        <f t="shared" ref="F54:F61" si="12">(+D54-E54)/E54</f>
        <v>-4.8775430915349902E-2</v>
      </c>
      <c r="G54" s="241">
        <f t="shared" ref="G54:G61" si="13">D54/C54</f>
        <v>9.5016731876625835E-2</v>
      </c>
      <c r="H54" s="242">
        <f t="shared" ref="H54:H61" si="14">1-G54</f>
        <v>0.90498326812337415</v>
      </c>
      <c r="I54" s="157"/>
    </row>
    <row r="55" spans="1:9" ht="15.75" x14ac:dyDescent="0.25">
      <c r="A55" s="164"/>
      <c r="B55" s="165">
        <f>DATE(21,8,1)</f>
        <v>7884</v>
      </c>
      <c r="C55" s="226">
        <v>120007751.62</v>
      </c>
      <c r="D55" s="226">
        <v>11645905.550000001</v>
      </c>
      <c r="E55" s="226">
        <v>12503132.880000001</v>
      </c>
      <c r="F55" s="166">
        <f t="shared" si="12"/>
        <v>-6.8561002928411649E-2</v>
      </c>
      <c r="G55" s="241">
        <f t="shared" si="13"/>
        <v>9.7042944249770793E-2</v>
      </c>
      <c r="H55" s="242">
        <f t="shared" si="14"/>
        <v>0.90295705575022922</v>
      </c>
      <c r="I55" s="157"/>
    </row>
    <row r="56" spans="1:9" ht="15.75" x14ac:dyDescent="0.25">
      <c r="A56" s="164"/>
      <c r="B56" s="165">
        <f>DATE(21,9,1)</f>
        <v>7915</v>
      </c>
      <c r="C56" s="226">
        <v>117022540.7</v>
      </c>
      <c r="D56" s="226">
        <v>11184280.18</v>
      </c>
      <c r="E56" s="226">
        <v>11218535.91</v>
      </c>
      <c r="F56" s="166">
        <f t="shared" si="12"/>
        <v>-3.053493813703935E-3</v>
      </c>
      <c r="G56" s="241">
        <f t="shared" si="13"/>
        <v>9.5573725481419153E-2</v>
      </c>
      <c r="H56" s="242">
        <f t="shared" si="14"/>
        <v>0.90442627451858082</v>
      </c>
      <c r="I56" s="157"/>
    </row>
    <row r="57" spans="1:9" ht="15.75" x14ac:dyDescent="0.25">
      <c r="A57" s="164"/>
      <c r="B57" s="165">
        <f>DATE(21,10,1)</f>
        <v>7945</v>
      </c>
      <c r="C57" s="226">
        <v>120771341.03</v>
      </c>
      <c r="D57" s="226">
        <v>11396005.27</v>
      </c>
      <c r="E57" s="226">
        <v>11439504.380000001</v>
      </c>
      <c r="F57" s="166">
        <f t="shared" si="12"/>
        <v>-3.8025344940688125E-3</v>
      </c>
      <c r="G57" s="241">
        <f t="shared" si="13"/>
        <v>9.436017827415856E-2</v>
      </c>
      <c r="H57" s="242">
        <f t="shared" si="14"/>
        <v>0.90563982172584145</v>
      </c>
      <c r="I57" s="157"/>
    </row>
    <row r="58" spans="1:9" ht="15.75" x14ac:dyDescent="0.25">
      <c r="A58" s="164"/>
      <c r="B58" s="165">
        <f>DATE(21,11,1)</f>
        <v>7976</v>
      </c>
      <c r="C58" s="226">
        <v>113934737.93000001</v>
      </c>
      <c r="D58" s="226">
        <v>11134846.92</v>
      </c>
      <c r="E58" s="226">
        <v>10067796.140000001</v>
      </c>
      <c r="F58" s="166">
        <f t="shared" si="12"/>
        <v>0.10598653023580186</v>
      </c>
      <c r="G58" s="241">
        <f t="shared" si="13"/>
        <v>9.7730043727674187E-2</v>
      </c>
      <c r="H58" s="242">
        <f t="shared" si="14"/>
        <v>0.90226995627232576</v>
      </c>
      <c r="I58" s="157"/>
    </row>
    <row r="59" spans="1:9" ht="15.75" x14ac:dyDescent="0.25">
      <c r="A59" s="164"/>
      <c r="B59" s="165">
        <f>DATE(21,12,1)</f>
        <v>8006</v>
      </c>
      <c r="C59" s="226">
        <v>123312951.98999999</v>
      </c>
      <c r="D59" s="226">
        <v>11993406.699999999</v>
      </c>
      <c r="E59" s="226">
        <v>10607281.23</v>
      </c>
      <c r="F59" s="166">
        <f t="shared" si="12"/>
        <v>0.13067679077648051</v>
      </c>
      <c r="G59" s="241">
        <f t="shared" si="13"/>
        <v>9.7259910710535899E-2</v>
      </c>
      <c r="H59" s="242">
        <f t="shared" si="14"/>
        <v>0.90274008928946414</v>
      </c>
      <c r="I59" s="157"/>
    </row>
    <row r="60" spans="1:9" ht="15.75" x14ac:dyDescent="0.25">
      <c r="A60" s="164"/>
      <c r="B60" s="165">
        <f>DATE(22,1,1)</f>
        <v>8037</v>
      </c>
      <c r="C60" s="226">
        <v>107371536.31999999</v>
      </c>
      <c r="D60" s="226">
        <v>10442254.630000001</v>
      </c>
      <c r="E60" s="226">
        <v>11913560.08</v>
      </c>
      <c r="F60" s="166">
        <f t="shared" si="12"/>
        <v>-0.12349838672236747</v>
      </c>
      <c r="G60" s="241">
        <f t="shared" si="13"/>
        <v>9.7253471337868269E-2</v>
      </c>
      <c r="H60" s="242">
        <f t="shared" si="14"/>
        <v>0.90274652866213168</v>
      </c>
      <c r="I60" s="157"/>
    </row>
    <row r="61" spans="1:9" ht="15.75" x14ac:dyDescent="0.25">
      <c r="A61" s="164"/>
      <c r="B61" s="165">
        <f>DATE(22,2,1)</f>
        <v>8068</v>
      </c>
      <c r="C61" s="226">
        <v>107183986.48999999</v>
      </c>
      <c r="D61" s="226">
        <v>10124033.77</v>
      </c>
      <c r="E61" s="226">
        <v>10274207.17</v>
      </c>
      <c r="F61" s="166">
        <f t="shared" si="12"/>
        <v>-1.4616543886568367E-2</v>
      </c>
      <c r="G61" s="241">
        <f t="shared" si="13"/>
        <v>9.4454723149754713E-2</v>
      </c>
      <c r="H61" s="242">
        <f t="shared" si="14"/>
        <v>0.90554527685024533</v>
      </c>
      <c r="I61" s="157"/>
    </row>
    <row r="62" spans="1:9" ht="15.75" thickBot="1" x14ac:dyDescent="0.25">
      <c r="A62" s="167"/>
      <c r="B62" s="165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74" t="s">
        <v>14</v>
      </c>
      <c r="B63" s="175"/>
      <c r="C63" s="228">
        <f>SUM(C54:C62)</f>
        <v>943638299.11999989</v>
      </c>
      <c r="D63" s="230">
        <f>SUM(D54:D62)</f>
        <v>90656153.689999998</v>
      </c>
      <c r="E63" s="271">
        <f>SUM(E54:E62)</f>
        <v>91412465.780000001</v>
      </c>
      <c r="F63" s="272">
        <f>(+D63-E63)/E63</f>
        <v>-8.2736209284650537E-3</v>
      </c>
      <c r="G63" s="249">
        <f>D63/C63</f>
        <v>9.6070871407553479E-2</v>
      </c>
      <c r="H63" s="270">
        <f>1-G63</f>
        <v>0.90392912859244656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66</v>
      </c>
      <c r="B65" s="165">
        <f>DATE(21,7,1)</f>
        <v>7853</v>
      </c>
      <c r="C65" s="226">
        <v>55925733.850000001</v>
      </c>
      <c r="D65" s="226">
        <v>5744094.3399999999</v>
      </c>
      <c r="E65" s="226">
        <v>4434379.57</v>
      </c>
      <c r="F65" s="166">
        <f t="shared" ref="F65:F72" si="15">(+D65-E65)/E65</f>
        <v>0.29535468250409591</v>
      </c>
      <c r="G65" s="241">
        <f t="shared" ref="G65:G72" si="16">D65/C65</f>
        <v>0.10270932439449786</v>
      </c>
      <c r="H65" s="242">
        <f t="shared" ref="H65:H72" si="17">1-G65</f>
        <v>0.89729067560550213</v>
      </c>
      <c r="I65" s="157"/>
    </row>
    <row r="66" spans="1:9" ht="15.75" x14ac:dyDescent="0.25">
      <c r="A66" s="164"/>
      <c r="B66" s="165">
        <f>DATE(21,8,1)</f>
        <v>7884</v>
      </c>
      <c r="C66" s="226">
        <v>50658517.549999997</v>
      </c>
      <c r="D66" s="226">
        <v>5022432.17</v>
      </c>
      <c r="E66" s="226">
        <v>4333573.3</v>
      </c>
      <c r="F66" s="166">
        <f t="shared" si="15"/>
        <v>0.15895862889869664</v>
      </c>
      <c r="G66" s="241">
        <f t="shared" si="16"/>
        <v>9.9142896651937262E-2</v>
      </c>
      <c r="H66" s="242">
        <f t="shared" si="17"/>
        <v>0.90085710334806279</v>
      </c>
      <c r="I66" s="157"/>
    </row>
    <row r="67" spans="1:9" ht="15.75" x14ac:dyDescent="0.25">
      <c r="A67" s="164"/>
      <c r="B67" s="165">
        <f>DATE(21,9,1)</f>
        <v>7915</v>
      </c>
      <c r="C67" s="226">
        <v>50731057.32</v>
      </c>
      <c r="D67" s="226">
        <v>5281548.16</v>
      </c>
      <c r="E67" s="226">
        <v>4417017.5599999996</v>
      </c>
      <c r="F67" s="166">
        <f t="shared" si="15"/>
        <v>0.19572722731036654</v>
      </c>
      <c r="G67" s="241">
        <f t="shared" si="16"/>
        <v>0.10410877357996291</v>
      </c>
      <c r="H67" s="242">
        <f t="shared" si="17"/>
        <v>0.89589122642003705</v>
      </c>
      <c r="I67" s="157"/>
    </row>
    <row r="68" spans="1:9" ht="15.75" x14ac:dyDescent="0.25">
      <c r="A68" s="164"/>
      <c r="B68" s="165">
        <f>DATE(21,10,1)</f>
        <v>7945</v>
      </c>
      <c r="C68" s="226">
        <v>50383468.32</v>
      </c>
      <c r="D68" s="226">
        <v>5329338.8099999996</v>
      </c>
      <c r="E68" s="226">
        <v>4440838.8899999997</v>
      </c>
      <c r="F68" s="166">
        <f t="shared" si="15"/>
        <v>0.20007479262549874</v>
      </c>
      <c r="G68" s="241">
        <f t="shared" si="16"/>
        <v>0.10577554479083943</v>
      </c>
      <c r="H68" s="242">
        <f t="shared" si="17"/>
        <v>0.89422445520916061</v>
      </c>
      <c r="I68" s="157"/>
    </row>
    <row r="69" spans="1:9" ht="15.75" x14ac:dyDescent="0.25">
      <c r="A69" s="164"/>
      <c r="B69" s="165">
        <f>DATE(21,11,1)</f>
        <v>7976</v>
      </c>
      <c r="C69" s="226">
        <v>48521452.539999999</v>
      </c>
      <c r="D69" s="226">
        <v>4979381.55</v>
      </c>
      <c r="E69" s="226">
        <v>4093288.05</v>
      </c>
      <c r="F69" s="166">
        <f t="shared" si="15"/>
        <v>0.21647474821616819</v>
      </c>
      <c r="G69" s="241">
        <f t="shared" si="16"/>
        <v>0.10262226890044376</v>
      </c>
      <c r="H69" s="242">
        <f t="shared" si="17"/>
        <v>0.89737773109955621</v>
      </c>
      <c r="I69" s="157"/>
    </row>
    <row r="70" spans="1:9" ht="15.75" x14ac:dyDescent="0.25">
      <c r="A70" s="164"/>
      <c r="B70" s="165">
        <f>DATE(21,12,1)</f>
        <v>8006</v>
      </c>
      <c r="C70" s="226">
        <v>54263223.82</v>
      </c>
      <c r="D70" s="226">
        <v>5568235.3899999997</v>
      </c>
      <c r="E70" s="226">
        <v>5522096.1299999999</v>
      </c>
      <c r="F70" s="166">
        <f t="shared" si="15"/>
        <v>8.3553887715460285E-3</v>
      </c>
      <c r="G70" s="241">
        <f t="shared" si="16"/>
        <v>0.10261527049094518</v>
      </c>
      <c r="H70" s="242">
        <f t="shared" si="17"/>
        <v>0.89738472950905479</v>
      </c>
      <c r="I70" s="157"/>
    </row>
    <row r="71" spans="1:9" ht="15.75" x14ac:dyDescent="0.25">
      <c r="A71" s="164"/>
      <c r="B71" s="165">
        <f>DATE(22,1,1)</f>
        <v>8037</v>
      </c>
      <c r="C71" s="226">
        <v>47452534.899999999</v>
      </c>
      <c r="D71" s="226">
        <v>4884841.6900000004</v>
      </c>
      <c r="E71" s="226">
        <v>6117314.9299999997</v>
      </c>
      <c r="F71" s="166">
        <f t="shared" si="15"/>
        <v>-0.20147290994547495</v>
      </c>
      <c r="G71" s="241">
        <f t="shared" si="16"/>
        <v>0.10294163842446277</v>
      </c>
      <c r="H71" s="242">
        <f t="shared" si="17"/>
        <v>0.8970583615755372</v>
      </c>
      <c r="I71" s="157"/>
    </row>
    <row r="72" spans="1:9" ht="15.75" x14ac:dyDescent="0.25">
      <c r="A72" s="164"/>
      <c r="B72" s="165">
        <f>DATE(22,2,1)</f>
        <v>8068</v>
      </c>
      <c r="C72" s="226">
        <v>49042930.520000003</v>
      </c>
      <c r="D72" s="226">
        <v>4926896.7</v>
      </c>
      <c r="E72" s="226">
        <v>4347455.3600000003</v>
      </c>
      <c r="F72" s="166">
        <f t="shared" si="15"/>
        <v>0.13328287285737647</v>
      </c>
      <c r="G72" s="241">
        <f t="shared" si="16"/>
        <v>0.10046089513331145</v>
      </c>
      <c r="H72" s="242">
        <f t="shared" si="17"/>
        <v>0.89953910486668853</v>
      </c>
      <c r="I72" s="157"/>
    </row>
    <row r="73" spans="1:9" ht="15.75" thickBot="1" x14ac:dyDescent="0.25">
      <c r="A73" s="167"/>
      <c r="B73" s="165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74" t="s">
        <v>14</v>
      </c>
      <c r="B74" s="175"/>
      <c r="C74" s="228">
        <f>SUM(C65:C73)</f>
        <v>406978918.81999993</v>
      </c>
      <c r="D74" s="230">
        <f>SUM(D65:D73)</f>
        <v>41736768.810000002</v>
      </c>
      <c r="E74" s="271">
        <f>SUM(E65:E73)</f>
        <v>37705963.789999999</v>
      </c>
      <c r="F74" s="272">
        <f>(+D74-E74)/E74</f>
        <v>0.10690099429493997</v>
      </c>
      <c r="G74" s="249">
        <f>D74/C74</f>
        <v>0.10255265538326197</v>
      </c>
      <c r="H74" s="270">
        <f>1-G74</f>
        <v>0.89744734461673803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290" t="s">
        <v>70</v>
      </c>
      <c r="B76" s="165">
        <f>DATE(21,7,1)</f>
        <v>7853</v>
      </c>
      <c r="C76" s="226">
        <v>75548562.819999993</v>
      </c>
      <c r="D76" s="226">
        <v>8446672.5700000003</v>
      </c>
      <c r="E76" s="226">
        <v>4303428.05</v>
      </c>
      <c r="F76" s="166">
        <f t="shared" ref="F76:F83" si="18">(+D76-E76)/E76</f>
        <v>0.96277769068312891</v>
      </c>
      <c r="G76" s="241">
        <f t="shared" ref="G76:G83" si="19">D76/C76</f>
        <v>0.11180454339184213</v>
      </c>
      <c r="H76" s="242">
        <f t="shared" ref="H76:H83" si="20">1-G76</f>
        <v>0.88819545660815791</v>
      </c>
      <c r="I76" s="157"/>
    </row>
    <row r="77" spans="1:9" ht="15.75" x14ac:dyDescent="0.25">
      <c r="A77" s="290"/>
      <c r="B77" s="165">
        <f>DATE(21,8,1)</f>
        <v>7884</v>
      </c>
      <c r="C77" s="226">
        <v>78426771.269999996</v>
      </c>
      <c r="D77" s="226">
        <v>8803736.4399999995</v>
      </c>
      <c r="E77" s="226">
        <v>4134795.6</v>
      </c>
      <c r="F77" s="166">
        <f t="shared" si="18"/>
        <v>1.1291829854902622</v>
      </c>
      <c r="G77" s="241">
        <f t="shared" si="19"/>
        <v>0.11225422515089088</v>
      </c>
      <c r="H77" s="242">
        <f t="shared" si="20"/>
        <v>0.8877457748491091</v>
      </c>
      <c r="I77" s="157"/>
    </row>
    <row r="78" spans="1:9" ht="15.75" x14ac:dyDescent="0.25">
      <c r="A78" s="290"/>
      <c r="B78" s="165">
        <f>DATE(21,9,1)</f>
        <v>7915</v>
      </c>
      <c r="C78" s="226">
        <v>81538936.450000003</v>
      </c>
      <c r="D78" s="226">
        <v>8914995.2300000004</v>
      </c>
      <c r="E78" s="226">
        <v>5078159.95</v>
      </c>
      <c r="F78" s="166">
        <f t="shared" si="18"/>
        <v>0.75555620889806752</v>
      </c>
      <c r="G78" s="241">
        <f t="shared" si="19"/>
        <v>0.1093342103556466</v>
      </c>
      <c r="H78" s="242">
        <f t="shared" si="20"/>
        <v>0.89066578964435339</v>
      </c>
      <c r="I78" s="157"/>
    </row>
    <row r="79" spans="1:9" ht="15.75" x14ac:dyDescent="0.25">
      <c r="A79" s="290"/>
      <c r="B79" s="165">
        <f>DATE(21,10,1)</f>
        <v>7945</v>
      </c>
      <c r="C79" s="226">
        <v>82353659.939999998</v>
      </c>
      <c r="D79" s="226">
        <v>9230867.6699999999</v>
      </c>
      <c r="E79" s="226">
        <v>5823943.8200000003</v>
      </c>
      <c r="F79" s="166">
        <f t="shared" si="18"/>
        <v>0.5849856996044992</v>
      </c>
      <c r="G79" s="241">
        <f t="shared" si="19"/>
        <v>0.11208812913385134</v>
      </c>
      <c r="H79" s="242">
        <f t="shared" si="20"/>
        <v>0.88791187086614864</v>
      </c>
      <c r="I79" s="157"/>
    </row>
    <row r="80" spans="1:9" ht="15.75" x14ac:dyDescent="0.25">
      <c r="A80" s="290"/>
      <c r="B80" s="165">
        <f>DATE(21,11,1)</f>
        <v>7976</v>
      </c>
      <c r="C80" s="226">
        <v>77184349.209999993</v>
      </c>
      <c r="D80" s="226">
        <v>8512217.6799999997</v>
      </c>
      <c r="E80" s="226">
        <v>5498815.8099999996</v>
      </c>
      <c r="F80" s="166">
        <f t="shared" si="18"/>
        <v>0.5480092394656878</v>
      </c>
      <c r="G80" s="241">
        <f t="shared" si="19"/>
        <v>0.11028424502019586</v>
      </c>
      <c r="H80" s="242">
        <f t="shared" si="20"/>
        <v>0.88971575497980415</v>
      </c>
      <c r="I80" s="157"/>
    </row>
    <row r="81" spans="1:9" ht="15.75" x14ac:dyDescent="0.25">
      <c r="A81" s="290"/>
      <c r="B81" s="165">
        <f>DATE(21,12,1)</f>
        <v>8006</v>
      </c>
      <c r="C81" s="226">
        <v>81671033.459999993</v>
      </c>
      <c r="D81" s="226">
        <v>9265401.0800000001</v>
      </c>
      <c r="E81" s="226">
        <v>6073396.25</v>
      </c>
      <c r="F81" s="166">
        <f t="shared" si="18"/>
        <v>0.52557164041453741</v>
      </c>
      <c r="G81" s="241">
        <f t="shared" si="19"/>
        <v>0.11344782461382608</v>
      </c>
      <c r="H81" s="242">
        <f t="shared" si="20"/>
        <v>0.88655217538617392</v>
      </c>
      <c r="I81" s="157"/>
    </row>
    <row r="82" spans="1:9" ht="15.75" x14ac:dyDescent="0.25">
      <c r="A82" s="290"/>
      <c r="B82" s="165">
        <f>DATE(22,1,1)</f>
        <v>8037</v>
      </c>
      <c r="C82" s="226">
        <v>72620256.519999996</v>
      </c>
      <c r="D82" s="226">
        <v>8004296.7699999996</v>
      </c>
      <c r="E82" s="226">
        <v>6544399.04</v>
      </c>
      <c r="F82" s="166">
        <f t="shared" si="18"/>
        <v>0.22307590369672806</v>
      </c>
      <c r="G82" s="241">
        <f t="shared" si="19"/>
        <v>0.11022126819113583</v>
      </c>
      <c r="H82" s="242">
        <f t="shared" si="20"/>
        <v>0.88977873180886413</v>
      </c>
      <c r="I82" s="157"/>
    </row>
    <row r="83" spans="1:9" ht="15.75" x14ac:dyDescent="0.25">
      <c r="A83" s="290"/>
      <c r="B83" s="165">
        <f>DATE(22,2,1)</f>
        <v>8068</v>
      </c>
      <c r="C83" s="226">
        <v>76264752.709999993</v>
      </c>
      <c r="D83" s="226">
        <v>8308096.3399999999</v>
      </c>
      <c r="E83" s="226">
        <v>5959695.79</v>
      </c>
      <c r="F83" s="166">
        <f t="shared" si="18"/>
        <v>0.39404705084787556</v>
      </c>
      <c r="G83" s="241">
        <f t="shared" si="19"/>
        <v>0.10893756348482364</v>
      </c>
      <c r="H83" s="242">
        <f t="shared" si="20"/>
        <v>0.89106243651517636</v>
      </c>
      <c r="I83" s="157"/>
    </row>
    <row r="84" spans="1:9" ht="15.75" thickBot="1" x14ac:dyDescent="0.25">
      <c r="A84" s="167"/>
      <c r="B84" s="165"/>
      <c r="C84" s="226"/>
      <c r="D84" s="226"/>
      <c r="E84" s="226"/>
      <c r="F84" s="166"/>
      <c r="G84" s="241"/>
      <c r="H84" s="242"/>
      <c r="I84" s="157"/>
    </row>
    <row r="85" spans="1:9" ht="17.25" thickTop="1" thickBot="1" x14ac:dyDescent="0.3">
      <c r="A85" s="174" t="s">
        <v>14</v>
      </c>
      <c r="B85" s="175"/>
      <c r="C85" s="228">
        <f>SUM(C76:C84)</f>
        <v>625608322.38</v>
      </c>
      <c r="D85" s="230">
        <f>SUM(D76:D84)</f>
        <v>69486283.780000001</v>
      </c>
      <c r="E85" s="271">
        <f>SUM(E76:E84)</f>
        <v>43416634.310000002</v>
      </c>
      <c r="F85" s="272">
        <f>(+D85-E85)/E85</f>
        <v>0.60045302645662391</v>
      </c>
      <c r="G85" s="249">
        <f>D85/C85</f>
        <v>0.11106994791190361</v>
      </c>
      <c r="H85" s="270">
        <f>1-G85</f>
        <v>0.88893005208809639</v>
      </c>
      <c r="I85" s="157"/>
    </row>
    <row r="86" spans="1:9" ht="15.75" thickTop="1" x14ac:dyDescent="0.2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 x14ac:dyDescent="0.25">
      <c r="A87" s="164" t="s">
        <v>60</v>
      </c>
      <c r="B87" s="165">
        <f>DATE(21,7,1)</f>
        <v>7853</v>
      </c>
      <c r="C87" s="226">
        <v>132221883.15000001</v>
      </c>
      <c r="D87" s="226">
        <v>13534455.82</v>
      </c>
      <c r="E87" s="226">
        <v>10751795.77</v>
      </c>
      <c r="F87" s="166">
        <f t="shared" ref="F87:F94" si="21">(+D87-E87)/E87</f>
        <v>0.25880886407499171</v>
      </c>
      <c r="G87" s="241">
        <f t="shared" ref="G87:G94" si="22">D87/C87</f>
        <v>0.10236169306895854</v>
      </c>
      <c r="H87" s="242">
        <f t="shared" ref="H87:H94" si="23">1-G87</f>
        <v>0.89763830693104141</v>
      </c>
      <c r="I87" s="157"/>
    </row>
    <row r="88" spans="1:9" ht="15.75" x14ac:dyDescent="0.25">
      <c r="A88" s="164"/>
      <c r="B88" s="165">
        <f>DATE(21,8,1)</f>
        <v>7884</v>
      </c>
      <c r="C88" s="226">
        <v>113338502.33</v>
      </c>
      <c r="D88" s="226">
        <v>11799607.16</v>
      </c>
      <c r="E88" s="226">
        <v>11312353.68</v>
      </c>
      <c r="F88" s="166">
        <f t="shared" si="21"/>
        <v>4.3072687946581284E-2</v>
      </c>
      <c r="G88" s="241">
        <f t="shared" si="22"/>
        <v>0.104109432517856</v>
      </c>
      <c r="H88" s="242">
        <f t="shared" si="23"/>
        <v>0.89589056748214402</v>
      </c>
      <c r="I88" s="157"/>
    </row>
    <row r="89" spans="1:9" ht="15.75" x14ac:dyDescent="0.25">
      <c r="A89" s="164"/>
      <c r="B89" s="165">
        <f>DATE(21,9,1)</f>
        <v>7915</v>
      </c>
      <c r="C89" s="226">
        <v>111073381.84999999</v>
      </c>
      <c r="D89" s="226">
        <v>11262305.48</v>
      </c>
      <c r="E89" s="226">
        <v>10956999.039999999</v>
      </c>
      <c r="F89" s="166">
        <f t="shared" si="21"/>
        <v>2.7864056470703256E-2</v>
      </c>
      <c r="G89" s="241">
        <f t="shared" si="22"/>
        <v>0.10139517940679323</v>
      </c>
      <c r="H89" s="242">
        <f t="shared" si="23"/>
        <v>0.89860482059320679</v>
      </c>
      <c r="I89" s="157"/>
    </row>
    <row r="90" spans="1:9" ht="15.75" x14ac:dyDescent="0.25">
      <c r="A90" s="164"/>
      <c r="B90" s="165">
        <f>DATE(21,10,1)</f>
        <v>7945</v>
      </c>
      <c r="C90" s="226">
        <v>116016618.26000001</v>
      </c>
      <c r="D90" s="226">
        <v>11850584.039999999</v>
      </c>
      <c r="E90" s="226">
        <v>10410650.699999999</v>
      </c>
      <c r="F90" s="166">
        <f t="shared" si="21"/>
        <v>0.13831348121208215</v>
      </c>
      <c r="G90" s="241">
        <f t="shared" si="22"/>
        <v>0.10214557377842327</v>
      </c>
      <c r="H90" s="242">
        <f t="shared" si="23"/>
        <v>0.89785442622157674</v>
      </c>
      <c r="I90" s="157"/>
    </row>
    <row r="91" spans="1:9" ht="15.75" x14ac:dyDescent="0.25">
      <c r="A91" s="164"/>
      <c r="B91" s="165">
        <f>DATE(21,11,1)</f>
        <v>7976</v>
      </c>
      <c r="C91" s="226">
        <v>102366140.34999999</v>
      </c>
      <c r="D91" s="226">
        <v>10537202.82</v>
      </c>
      <c r="E91" s="226">
        <v>9890840.5199999996</v>
      </c>
      <c r="F91" s="166">
        <f t="shared" si="21"/>
        <v>6.5349582645985352E-2</v>
      </c>
      <c r="G91" s="241">
        <f t="shared" si="22"/>
        <v>0.10293640830817942</v>
      </c>
      <c r="H91" s="242">
        <f t="shared" si="23"/>
        <v>0.89706359169182059</v>
      </c>
      <c r="I91" s="157"/>
    </row>
    <row r="92" spans="1:9" ht="15.75" x14ac:dyDescent="0.25">
      <c r="A92" s="164"/>
      <c r="B92" s="165">
        <f>DATE(21,12,1)</f>
        <v>8006</v>
      </c>
      <c r="C92" s="226">
        <v>112755235.06999999</v>
      </c>
      <c r="D92" s="226">
        <v>11616287.57</v>
      </c>
      <c r="E92" s="226">
        <v>12890871.199999999</v>
      </c>
      <c r="F92" s="166">
        <f t="shared" si="21"/>
        <v>-9.8874902264169631E-2</v>
      </c>
      <c r="G92" s="241">
        <f t="shared" si="22"/>
        <v>0.1030221573551636</v>
      </c>
      <c r="H92" s="242">
        <f t="shared" si="23"/>
        <v>0.89697784264483638</v>
      </c>
      <c r="I92" s="157"/>
    </row>
    <row r="93" spans="1:9" ht="15.75" x14ac:dyDescent="0.25">
      <c r="A93" s="164"/>
      <c r="B93" s="165">
        <f>DATE(22,1,1)</f>
        <v>8037</v>
      </c>
      <c r="C93" s="226">
        <v>96959535.670000002</v>
      </c>
      <c r="D93" s="226">
        <v>9767141.9800000004</v>
      </c>
      <c r="E93" s="226">
        <v>14761434.99</v>
      </c>
      <c r="F93" s="166">
        <f t="shared" si="21"/>
        <v>-0.33833384175612591</v>
      </c>
      <c r="G93" s="241">
        <f t="shared" si="22"/>
        <v>0.10073420744548828</v>
      </c>
      <c r="H93" s="242">
        <f t="shared" si="23"/>
        <v>0.89926579255451178</v>
      </c>
      <c r="I93" s="157"/>
    </row>
    <row r="94" spans="1:9" ht="15.75" x14ac:dyDescent="0.25">
      <c r="A94" s="164"/>
      <c r="B94" s="165">
        <f>DATE(22,2,1)</f>
        <v>8068</v>
      </c>
      <c r="C94" s="226">
        <v>100151252.09</v>
      </c>
      <c r="D94" s="226">
        <v>10322075.949999999</v>
      </c>
      <c r="E94" s="226">
        <v>10549814.82</v>
      </c>
      <c r="F94" s="166">
        <f t="shared" si="21"/>
        <v>-2.158700165696378E-2</v>
      </c>
      <c r="G94" s="241">
        <f t="shared" si="22"/>
        <v>0.10306487172745639</v>
      </c>
      <c r="H94" s="242">
        <f t="shared" si="23"/>
        <v>0.89693512827254362</v>
      </c>
      <c r="I94" s="157"/>
    </row>
    <row r="95" spans="1:9" ht="15.75" thickBot="1" x14ac:dyDescent="0.25">
      <c r="A95" s="167"/>
      <c r="B95" s="165"/>
      <c r="C95" s="226"/>
      <c r="D95" s="226"/>
      <c r="E95" s="226"/>
      <c r="F95" s="166"/>
      <c r="G95" s="241"/>
      <c r="H95" s="242"/>
      <c r="I95" s="157"/>
    </row>
    <row r="96" spans="1:9" ht="17.25" thickTop="1" thickBot="1" x14ac:dyDescent="0.3">
      <c r="A96" s="174" t="s">
        <v>14</v>
      </c>
      <c r="B96" s="175"/>
      <c r="C96" s="228">
        <f>SUM(C87:C95)</f>
        <v>884882548.76999998</v>
      </c>
      <c r="D96" s="230">
        <f>SUM(D87:D95)</f>
        <v>90689660.820000008</v>
      </c>
      <c r="E96" s="271">
        <f>SUM(E87:E95)</f>
        <v>91524760.719999999</v>
      </c>
      <c r="F96" s="176">
        <f>(+D96-E96)/E96</f>
        <v>-9.1243057444836892E-3</v>
      </c>
      <c r="G96" s="249">
        <f>D96/C96</f>
        <v>0.10248779450567762</v>
      </c>
      <c r="H96" s="270">
        <f>1-G96</f>
        <v>0.89751220549432242</v>
      </c>
      <c r="I96" s="157"/>
    </row>
    <row r="97" spans="1:9" ht="15.75" thickTop="1" x14ac:dyDescent="0.2">
      <c r="A97" s="167"/>
      <c r="B97" s="179"/>
      <c r="C97" s="229"/>
      <c r="D97" s="229"/>
      <c r="E97" s="229"/>
      <c r="F97" s="180"/>
      <c r="G97" s="247"/>
      <c r="H97" s="248"/>
      <c r="I97" s="157"/>
    </row>
    <row r="98" spans="1:9" ht="15.75" x14ac:dyDescent="0.25">
      <c r="A98" s="164" t="s">
        <v>16</v>
      </c>
      <c r="B98" s="165">
        <f>DATE(21,7,1)</f>
        <v>7853</v>
      </c>
      <c r="C98" s="226">
        <v>163880399.77000001</v>
      </c>
      <c r="D98" s="226">
        <v>16148799.359999999</v>
      </c>
      <c r="E98" s="226">
        <v>12124639.109999999</v>
      </c>
      <c r="F98" s="166">
        <f t="shared" ref="F98:F105" si="24">(+D98-E98)/E98</f>
        <v>0.33189938384895978</v>
      </c>
      <c r="G98" s="241">
        <f t="shared" ref="G98:G105" si="25">D98/C98</f>
        <v>9.854015112645706E-2</v>
      </c>
      <c r="H98" s="242">
        <f t="shared" ref="H98:H105" si="26">1-G98</f>
        <v>0.90145984887354291</v>
      </c>
      <c r="I98" s="157"/>
    </row>
    <row r="99" spans="1:9" ht="15.75" x14ac:dyDescent="0.25">
      <c r="A99" s="164"/>
      <c r="B99" s="165">
        <f>DATE(21,8,1)</f>
        <v>7884</v>
      </c>
      <c r="C99" s="226">
        <v>145844596.15000001</v>
      </c>
      <c r="D99" s="226">
        <v>14007269.199999999</v>
      </c>
      <c r="E99" s="226">
        <v>12772714.18</v>
      </c>
      <c r="F99" s="166">
        <f t="shared" si="24"/>
        <v>9.6655652244462861E-2</v>
      </c>
      <c r="G99" s="241">
        <f t="shared" si="25"/>
        <v>9.6042428514757139E-2</v>
      </c>
      <c r="H99" s="242">
        <f t="shared" si="26"/>
        <v>0.90395757148524281</v>
      </c>
      <c r="I99" s="157"/>
    </row>
    <row r="100" spans="1:9" ht="15.75" x14ac:dyDescent="0.25">
      <c r="A100" s="164"/>
      <c r="B100" s="165">
        <f>DATE(21,9,1)</f>
        <v>7915</v>
      </c>
      <c r="C100" s="226">
        <v>143094986.72999999</v>
      </c>
      <c r="D100" s="226">
        <v>13534117.949999999</v>
      </c>
      <c r="E100" s="226">
        <v>12144964.720000001</v>
      </c>
      <c r="F100" s="166">
        <f t="shared" si="24"/>
        <v>0.11438100167655312</v>
      </c>
      <c r="G100" s="241">
        <f t="shared" si="25"/>
        <v>9.4581356477127787E-2</v>
      </c>
      <c r="H100" s="242">
        <f t="shared" si="26"/>
        <v>0.90541864352287216</v>
      </c>
      <c r="I100" s="157"/>
    </row>
    <row r="101" spans="1:9" ht="15.75" x14ac:dyDescent="0.25">
      <c r="A101" s="164"/>
      <c r="B101" s="165">
        <f>DATE(21,10,1)</f>
        <v>7945</v>
      </c>
      <c r="C101" s="226">
        <v>155067360.19</v>
      </c>
      <c r="D101" s="226">
        <v>14717532.77</v>
      </c>
      <c r="E101" s="226">
        <v>12789406.33</v>
      </c>
      <c r="F101" s="166">
        <f t="shared" si="24"/>
        <v>0.15075965140596165</v>
      </c>
      <c r="G101" s="241">
        <f t="shared" si="25"/>
        <v>9.4910577906059598E-2</v>
      </c>
      <c r="H101" s="242">
        <f t="shared" si="26"/>
        <v>0.90508942209394039</v>
      </c>
      <c r="I101" s="157"/>
    </row>
    <row r="102" spans="1:9" ht="15.75" x14ac:dyDescent="0.25">
      <c r="A102" s="164"/>
      <c r="B102" s="165">
        <f>DATE(21,11,1)</f>
        <v>7976</v>
      </c>
      <c r="C102" s="226">
        <v>143453865.59</v>
      </c>
      <c r="D102" s="226">
        <v>13812980.33</v>
      </c>
      <c r="E102" s="226">
        <v>11020143.83</v>
      </c>
      <c r="F102" s="166">
        <f t="shared" si="24"/>
        <v>0.25343013150128729</v>
      </c>
      <c r="G102" s="241">
        <f t="shared" si="25"/>
        <v>9.6288658888275272E-2</v>
      </c>
      <c r="H102" s="242">
        <f t="shared" si="26"/>
        <v>0.90371134111172469</v>
      </c>
      <c r="I102" s="157"/>
    </row>
    <row r="103" spans="1:9" ht="15.75" x14ac:dyDescent="0.25">
      <c r="A103" s="164"/>
      <c r="B103" s="165">
        <f>DATE(21,12,1)</f>
        <v>8006</v>
      </c>
      <c r="C103" s="226">
        <v>153813418.13999999</v>
      </c>
      <c r="D103" s="226">
        <v>14881396.939999999</v>
      </c>
      <c r="E103" s="226">
        <v>12188714.869999999</v>
      </c>
      <c r="F103" s="166">
        <f t="shared" si="24"/>
        <v>0.22091599473111642</v>
      </c>
      <c r="G103" s="241">
        <f t="shared" si="25"/>
        <v>9.6749666706288567E-2</v>
      </c>
      <c r="H103" s="242">
        <f t="shared" si="26"/>
        <v>0.9032503332937114</v>
      </c>
      <c r="I103" s="157"/>
    </row>
    <row r="104" spans="1:9" ht="15.75" x14ac:dyDescent="0.25">
      <c r="A104" s="164"/>
      <c r="B104" s="165">
        <f>DATE(22,1,1)</f>
        <v>8037</v>
      </c>
      <c r="C104" s="226">
        <v>138402939.88</v>
      </c>
      <c r="D104" s="226">
        <v>13218577.91</v>
      </c>
      <c r="E104" s="226">
        <v>13712800.539999999</v>
      </c>
      <c r="F104" s="166">
        <f t="shared" si="24"/>
        <v>-3.6040969790114001E-2</v>
      </c>
      <c r="G104" s="241">
        <f t="shared" si="25"/>
        <v>9.5507927226552783E-2</v>
      </c>
      <c r="H104" s="242">
        <f t="shared" si="26"/>
        <v>0.90449207277344723</v>
      </c>
      <c r="I104" s="157"/>
    </row>
    <row r="105" spans="1:9" ht="15.75" x14ac:dyDescent="0.25">
      <c r="A105" s="164"/>
      <c r="B105" s="165">
        <f>DATE(22,2,1)</f>
        <v>8068</v>
      </c>
      <c r="C105" s="226">
        <v>143362877.96000001</v>
      </c>
      <c r="D105" s="226">
        <v>14111261.68</v>
      </c>
      <c r="E105" s="226">
        <v>11801663.460000001</v>
      </c>
      <c r="F105" s="166">
        <f t="shared" si="24"/>
        <v>0.19570107449920443</v>
      </c>
      <c r="G105" s="241">
        <f t="shared" si="25"/>
        <v>9.8430373893144171E-2</v>
      </c>
      <c r="H105" s="242">
        <f t="shared" si="26"/>
        <v>0.90156962610685587</v>
      </c>
      <c r="I105" s="157"/>
    </row>
    <row r="106" spans="1:9" ht="15.75" customHeight="1" thickBot="1" x14ac:dyDescent="0.3">
      <c r="A106" s="164"/>
      <c r="B106" s="165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74" t="s">
        <v>14</v>
      </c>
      <c r="B107" s="181"/>
      <c r="C107" s="228">
        <f>SUM(C98:C106)</f>
        <v>1186920444.4099998</v>
      </c>
      <c r="D107" s="228">
        <f>SUM(D98:D106)</f>
        <v>114431936.13999999</v>
      </c>
      <c r="E107" s="228">
        <f>SUM(E98:E106)</f>
        <v>98555047.039999992</v>
      </c>
      <c r="F107" s="176">
        <f>(+D107-E107)/E107</f>
        <v>0.16109666198582534</v>
      </c>
      <c r="G107" s="245">
        <f>D107/C107</f>
        <v>9.6410788674958212E-2</v>
      </c>
      <c r="H107" s="246">
        <f>1-G107</f>
        <v>0.90358921132504177</v>
      </c>
      <c r="I107" s="157"/>
    </row>
    <row r="108" spans="1:9" ht="15.75" thickTop="1" x14ac:dyDescent="0.2">
      <c r="A108" s="171"/>
      <c r="B108" s="172"/>
      <c r="C108" s="227"/>
      <c r="D108" s="227"/>
      <c r="E108" s="227"/>
      <c r="F108" s="173"/>
      <c r="G108" s="243"/>
      <c r="H108" s="244"/>
      <c r="I108" s="157"/>
    </row>
    <row r="109" spans="1:9" ht="15.75" x14ac:dyDescent="0.25">
      <c r="A109" s="164" t="s">
        <v>54</v>
      </c>
      <c r="B109" s="165">
        <f>DATE(21,7,1)</f>
        <v>7853</v>
      </c>
      <c r="C109" s="226">
        <v>200357166.28999999</v>
      </c>
      <c r="D109" s="226">
        <v>17635283.719999999</v>
      </c>
      <c r="E109" s="226">
        <v>13113665.15</v>
      </c>
      <c r="F109" s="166">
        <f t="shared" ref="F109:F116" si="27">(+D109-E109)/E109</f>
        <v>0.34480204567370687</v>
      </c>
      <c r="G109" s="241">
        <f t="shared" ref="G109:G116" si="28">D109/C109</f>
        <v>8.80192310889166E-2</v>
      </c>
      <c r="H109" s="242">
        <f t="shared" ref="H109:H116" si="29">1-G109</f>
        <v>0.91198076891108337</v>
      </c>
      <c r="I109" s="157"/>
    </row>
    <row r="110" spans="1:9" ht="15.75" x14ac:dyDescent="0.25">
      <c r="A110" s="164"/>
      <c r="B110" s="165">
        <f>DATE(21,8,1)</f>
        <v>7884</v>
      </c>
      <c r="C110" s="226">
        <v>187880345.88999999</v>
      </c>
      <c r="D110" s="226">
        <v>17152915.09</v>
      </c>
      <c r="E110" s="226">
        <v>13163225.939999999</v>
      </c>
      <c r="F110" s="166">
        <f t="shared" si="27"/>
        <v>0.30309357054156899</v>
      </c>
      <c r="G110" s="241">
        <f t="shared" si="28"/>
        <v>9.1297016772806411E-2</v>
      </c>
      <c r="H110" s="242">
        <f t="shared" si="29"/>
        <v>0.90870298322719356</v>
      </c>
      <c r="I110" s="157"/>
    </row>
    <row r="111" spans="1:9" ht="15.75" x14ac:dyDescent="0.25">
      <c r="A111" s="164"/>
      <c r="B111" s="165">
        <f>DATE(21,9,1)</f>
        <v>7915</v>
      </c>
      <c r="C111" s="226">
        <v>188989871.88999999</v>
      </c>
      <c r="D111" s="226">
        <v>16762718.67</v>
      </c>
      <c r="E111" s="226">
        <v>13632742.51</v>
      </c>
      <c r="F111" s="166">
        <f t="shared" si="27"/>
        <v>0.22959255320080127</v>
      </c>
      <c r="G111" s="241">
        <f t="shared" si="28"/>
        <v>8.869638622622382E-2</v>
      </c>
      <c r="H111" s="242">
        <f t="shared" si="29"/>
        <v>0.91130361377377622</v>
      </c>
      <c r="I111" s="157"/>
    </row>
    <row r="112" spans="1:9" ht="15.75" x14ac:dyDescent="0.25">
      <c r="A112" s="164"/>
      <c r="B112" s="165">
        <f>DATE(21,10,1)</f>
        <v>7945</v>
      </c>
      <c r="C112" s="226">
        <v>196390014.61000001</v>
      </c>
      <c r="D112" s="226">
        <v>18368300.02</v>
      </c>
      <c r="E112" s="226">
        <v>14284849.609999999</v>
      </c>
      <c r="F112" s="166">
        <f t="shared" si="27"/>
        <v>0.2858588309632194</v>
      </c>
      <c r="G112" s="241">
        <f t="shared" si="28"/>
        <v>9.3529704432664673E-2</v>
      </c>
      <c r="H112" s="242">
        <f t="shared" si="29"/>
        <v>0.90647029556733538</v>
      </c>
      <c r="I112" s="157"/>
    </row>
    <row r="113" spans="1:9" ht="15.75" x14ac:dyDescent="0.25">
      <c r="A113" s="164"/>
      <c r="B113" s="165">
        <f>DATE(21,11,1)</f>
        <v>7976</v>
      </c>
      <c r="C113" s="226">
        <v>186554423.28999999</v>
      </c>
      <c r="D113" s="226">
        <v>17099113.550000001</v>
      </c>
      <c r="E113" s="226">
        <v>12348288.83</v>
      </c>
      <c r="F113" s="166">
        <f t="shared" si="27"/>
        <v>0.38473547107660266</v>
      </c>
      <c r="G113" s="241">
        <f t="shared" si="28"/>
        <v>9.1657508026059098E-2</v>
      </c>
      <c r="H113" s="242">
        <f t="shared" si="29"/>
        <v>0.9083424919739409</v>
      </c>
      <c r="I113" s="157"/>
    </row>
    <row r="114" spans="1:9" ht="15.75" x14ac:dyDescent="0.25">
      <c r="A114" s="164"/>
      <c r="B114" s="165">
        <f>DATE(21,12,1)</f>
        <v>8006</v>
      </c>
      <c r="C114" s="226">
        <v>206769172.86000001</v>
      </c>
      <c r="D114" s="226">
        <v>18695924.300000001</v>
      </c>
      <c r="E114" s="226">
        <v>12123166.43</v>
      </c>
      <c r="F114" s="166">
        <f t="shared" si="27"/>
        <v>0.54216511073666762</v>
      </c>
      <c r="G114" s="241">
        <f t="shared" si="28"/>
        <v>9.0419302071971352E-2</v>
      </c>
      <c r="H114" s="242">
        <f t="shared" si="29"/>
        <v>0.90958069792802865</v>
      </c>
      <c r="I114" s="157"/>
    </row>
    <row r="115" spans="1:9" ht="15.75" x14ac:dyDescent="0.25">
      <c r="A115" s="164"/>
      <c r="B115" s="165">
        <f>DATE(22,1,1)</f>
        <v>8037</v>
      </c>
      <c r="C115" s="226">
        <v>188729424.12</v>
      </c>
      <c r="D115" s="226">
        <v>16268714.699999999</v>
      </c>
      <c r="E115" s="226">
        <v>13355551.67</v>
      </c>
      <c r="F115" s="166">
        <f t="shared" si="27"/>
        <v>0.21812375122951394</v>
      </c>
      <c r="G115" s="241">
        <f t="shared" si="28"/>
        <v>8.6201262870679071E-2</v>
      </c>
      <c r="H115" s="242">
        <f t="shared" si="29"/>
        <v>0.91379873712932091</v>
      </c>
      <c r="I115" s="157"/>
    </row>
    <row r="116" spans="1:9" ht="15.75" x14ac:dyDescent="0.25">
      <c r="A116" s="164"/>
      <c r="B116" s="165">
        <f>DATE(22,2,1)</f>
        <v>8068</v>
      </c>
      <c r="C116" s="226">
        <v>187783165.44</v>
      </c>
      <c r="D116" s="226">
        <v>16850587.23</v>
      </c>
      <c r="E116" s="226">
        <v>11342744.4</v>
      </c>
      <c r="F116" s="166">
        <f t="shared" si="27"/>
        <v>0.4855829097233294</v>
      </c>
      <c r="G116" s="241">
        <f t="shared" si="28"/>
        <v>8.9734280442642006E-2</v>
      </c>
      <c r="H116" s="242">
        <f t="shared" si="29"/>
        <v>0.91026571955735802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74" t="s">
        <v>14</v>
      </c>
      <c r="B118" s="175"/>
      <c r="C118" s="228">
        <f>SUM(C109:C117)</f>
        <v>1543453584.3899999</v>
      </c>
      <c r="D118" s="228">
        <f>SUM(D109:D117)</f>
        <v>138833557.28</v>
      </c>
      <c r="E118" s="228">
        <f>SUM(E109:E117)</f>
        <v>103364234.54000001</v>
      </c>
      <c r="F118" s="176">
        <f>(+D118-E118)/E118</f>
        <v>0.34314889379144037</v>
      </c>
      <c r="G118" s="249">
        <f>D118/C118</f>
        <v>8.9949939981427737E-2</v>
      </c>
      <c r="H118" s="270">
        <f>1-G118</f>
        <v>0.91005006001857225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55</v>
      </c>
      <c r="B120" s="165">
        <f>DATE(21,7,1)</f>
        <v>7853</v>
      </c>
      <c r="C120" s="226">
        <v>32852563.390000001</v>
      </c>
      <c r="D120" s="226">
        <v>3540868.12</v>
      </c>
      <c r="E120" s="226">
        <v>2784731.95</v>
      </c>
      <c r="F120" s="166">
        <f t="shared" ref="F120:F127" si="30">(+D120-E120)/E120</f>
        <v>0.27152924718660976</v>
      </c>
      <c r="G120" s="241">
        <f t="shared" ref="G120:G127" si="31">D120/C120</f>
        <v>0.10778057340505143</v>
      </c>
      <c r="H120" s="242">
        <f t="shared" ref="H120:H127" si="32">1-G120</f>
        <v>0.89221942659494857</v>
      </c>
      <c r="I120" s="157"/>
    </row>
    <row r="121" spans="1:9" ht="15.75" x14ac:dyDescent="0.25">
      <c r="A121" s="164"/>
      <c r="B121" s="165">
        <f>DATE(21,8,1)</f>
        <v>7884</v>
      </c>
      <c r="C121" s="226">
        <v>29251271.52</v>
      </c>
      <c r="D121" s="226">
        <v>3115295.59</v>
      </c>
      <c r="E121" s="226">
        <v>2961173.82</v>
      </c>
      <c r="F121" s="166">
        <f t="shared" si="30"/>
        <v>5.2047525531615034E-2</v>
      </c>
      <c r="G121" s="241">
        <f t="shared" si="31"/>
        <v>0.10650120244755773</v>
      </c>
      <c r="H121" s="242">
        <f t="shared" si="32"/>
        <v>0.89349879755244221</v>
      </c>
      <c r="I121" s="157"/>
    </row>
    <row r="122" spans="1:9" ht="15.75" x14ac:dyDescent="0.25">
      <c r="A122" s="164"/>
      <c r="B122" s="165">
        <f>DATE(21,9,1)</f>
        <v>7915</v>
      </c>
      <c r="C122" s="226">
        <v>28714079.039999999</v>
      </c>
      <c r="D122" s="226">
        <v>3042841.65</v>
      </c>
      <c r="E122" s="226">
        <v>2707604.99</v>
      </c>
      <c r="F122" s="166">
        <f t="shared" si="30"/>
        <v>0.1238129864725946</v>
      </c>
      <c r="G122" s="241">
        <f t="shared" si="31"/>
        <v>0.1059703724351105</v>
      </c>
      <c r="H122" s="242">
        <f t="shared" si="32"/>
        <v>0.89402962756488946</v>
      </c>
      <c r="I122" s="157"/>
    </row>
    <row r="123" spans="1:9" ht="15.75" x14ac:dyDescent="0.25">
      <c r="A123" s="164"/>
      <c r="B123" s="165">
        <f>DATE(21,10,1)</f>
        <v>7945</v>
      </c>
      <c r="C123" s="226">
        <v>30764540.789999999</v>
      </c>
      <c r="D123" s="226">
        <v>3415416.93</v>
      </c>
      <c r="E123" s="226">
        <v>2777127.87</v>
      </c>
      <c r="F123" s="166">
        <f t="shared" si="30"/>
        <v>0.22983783602301325</v>
      </c>
      <c r="G123" s="241">
        <f t="shared" si="31"/>
        <v>0.1110179720644548</v>
      </c>
      <c r="H123" s="242">
        <f t="shared" si="32"/>
        <v>0.88898202793554515</v>
      </c>
      <c r="I123" s="157"/>
    </row>
    <row r="124" spans="1:9" ht="15.75" x14ac:dyDescent="0.25">
      <c r="A124" s="164"/>
      <c r="B124" s="165">
        <f>DATE(21,11,1)</f>
        <v>7976</v>
      </c>
      <c r="C124" s="226">
        <v>26364208.16</v>
      </c>
      <c r="D124" s="226">
        <v>3126811.29</v>
      </c>
      <c r="E124" s="226">
        <v>2545068.2999999998</v>
      </c>
      <c r="F124" s="166">
        <f t="shared" si="30"/>
        <v>0.22857657297448569</v>
      </c>
      <c r="G124" s="241">
        <f t="shared" si="31"/>
        <v>0.11860061455378829</v>
      </c>
      <c r="H124" s="242">
        <f t="shared" si="32"/>
        <v>0.88139938544621166</v>
      </c>
      <c r="I124" s="157"/>
    </row>
    <row r="125" spans="1:9" ht="15.75" x14ac:dyDescent="0.25">
      <c r="A125" s="164"/>
      <c r="B125" s="165">
        <f>DATE(21,12,1)</f>
        <v>8006</v>
      </c>
      <c r="C125" s="226">
        <v>28863732.34</v>
      </c>
      <c r="D125" s="226">
        <v>3080901.79</v>
      </c>
      <c r="E125" s="226">
        <v>3275319.33</v>
      </c>
      <c r="F125" s="166">
        <f t="shared" si="30"/>
        <v>-5.9358346595170017E-2</v>
      </c>
      <c r="G125" s="241">
        <f t="shared" si="31"/>
        <v>0.10673954960878078</v>
      </c>
      <c r="H125" s="242">
        <f t="shared" si="32"/>
        <v>0.89326045039121926</v>
      </c>
      <c r="I125" s="157"/>
    </row>
    <row r="126" spans="1:9" ht="15.75" x14ac:dyDescent="0.25">
      <c r="A126" s="164"/>
      <c r="B126" s="165">
        <f>DATE(22,1,1)</f>
        <v>8037</v>
      </c>
      <c r="C126" s="226">
        <v>25072068.109999999</v>
      </c>
      <c r="D126" s="226">
        <v>2697598.25</v>
      </c>
      <c r="E126" s="226">
        <v>3376789.13</v>
      </c>
      <c r="F126" s="166">
        <f t="shared" si="30"/>
        <v>-0.20113511796337721</v>
      </c>
      <c r="G126" s="241">
        <f t="shared" si="31"/>
        <v>0.10759376682309117</v>
      </c>
      <c r="H126" s="242">
        <f t="shared" si="32"/>
        <v>0.89240623317690881</v>
      </c>
      <c r="I126" s="157"/>
    </row>
    <row r="127" spans="1:9" ht="15.75" x14ac:dyDescent="0.25">
      <c r="A127" s="164"/>
      <c r="B127" s="165">
        <f>DATE(22,2,1)</f>
        <v>8068</v>
      </c>
      <c r="C127" s="226">
        <v>25705348.329999998</v>
      </c>
      <c r="D127" s="226">
        <v>2911358.37</v>
      </c>
      <c r="E127" s="226">
        <v>2596549.7000000002</v>
      </c>
      <c r="F127" s="166">
        <f t="shared" si="30"/>
        <v>0.12124114936063034</v>
      </c>
      <c r="G127" s="241">
        <f t="shared" si="31"/>
        <v>0.11325885697499903</v>
      </c>
      <c r="H127" s="242">
        <f t="shared" si="32"/>
        <v>0.88674114302500096</v>
      </c>
      <c r="I127" s="157"/>
    </row>
    <row r="128" spans="1:9" ht="15.75" thickBot="1" x14ac:dyDescent="0.25">
      <c r="A128" s="167"/>
      <c r="B128" s="168"/>
      <c r="C128" s="226"/>
      <c r="D128" s="226"/>
      <c r="E128" s="226"/>
      <c r="F128" s="166"/>
      <c r="G128" s="241"/>
      <c r="H128" s="242"/>
      <c r="I128" s="157"/>
    </row>
    <row r="129" spans="1:9" ht="17.25" thickTop="1" thickBot="1" x14ac:dyDescent="0.3">
      <c r="A129" s="182" t="s">
        <v>14</v>
      </c>
      <c r="B129" s="183"/>
      <c r="C129" s="230">
        <f>SUM(C120:C128)</f>
        <v>227587811.67999995</v>
      </c>
      <c r="D129" s="230">
        <f>SUM(D120:D128)</f>
        <v>24931091.989999998</v>
      </c>
      <c r="E129" s="230">
        <f>SUM(E120:E128)</f>
        <v>23024365.089999996</v>
      </c>
      <c r="F129" s="176">
        <f>(+D129-E129)/E129</f>
        <v>8.2813441002468166E-2</v>
      </c>
      <c r="G129" s="249">
        <f>D129/C129</f>
        <v>0.10954493479226551</v>
      </c>
      <c r="H129" s="246">
        <f>1-G129</f>
        <v>0.89045506520773454</v>
      </c>
      <c r="I129" s="157"/>
    </row>
    <row r="130" spans="1:9" ht="15.75" thickTop="1" x14ac:dyDescent="0.2">
      <c r="A130" s="167"/>
      <c r="B130" s="168"/>
      <c r="C130" s="226"/>
      <c r="D130" s="226"/>
      <c r="E130" s="226"/>
      <c r="F130" s="166"/>
      <c r="G130" s="241"/>
      <c r="H130" s="242"/>
      <c r="I130" s="157"/>
    </row>
    <row r="131" spans="1:9" ht="15.75" x14ac:dyDescent="0.25">
      <c r="A131" s="164" t="s">
        <v>37</v>
      </c>
      <c r="B131" s="165">
        <f>DATE(21,7,1)</f>
        <v>7853</v>
      </c>
      <c r="C131" s="226">
        <v>233748610.44</v>
      </c>
      <c r="D131" s="226">
        <v>21441670.739999998</v>
      </c>
      <c r="E131" s="226">
        <v>17781520.260000002</v>
      </c>
      <c r="F131" s="166">
        <f t="shared" ref="F131:F138" si="33">(+D131-E131)/E131</f>
        <v>0.20584013214177202</v>
      </c>
      <c r="G131" s="241">
        <f t="shared" ref="G131:G138" si="34">D131/C131</f>
        <v>9.1729617984205203E-2</v>
      </c>
      <c r="H131" s="242">
        <f t="shared" ref="H131:H138" si="35">1-G131</f>
        <v>0.9082703820157948</v>
      </c>
      <c r="I131" s="157"/>
    </row>
    <row r="132" spans="1:9" ht="15.75" x14ac:dyDescent="0.25">
      <c r="A132" s="164"/>
      <c r="B132" s="165">
        <f>DATE(21,8,1)</f>
        <v>7884</v>
      </c>
      <c r="C132" s="226">
        <v>213172987.47</v>
      </c>
      <c r="D132" s="226">
        <v>19679228.600000001</v>
      </c>
      <c r="E132" s="226">
        <v>17286123.989999998</v>
      </c>
      <c r="F132" s="166">
        <f t="shared" si="33"/>
        <v>0.13844078703730295</v>
      </c>
      <c r="G132" s="241">
        <f t="shared" si="34"/>
        <v>9.2315770555917526E-2</v>
      </c>
      <c r="H132" s="242">
        <f t="shared" si="35"/>
        <v>0.90768422944408245</v>
      </c>
      <c r="I132" s="157"/>
    </row>
    <row r="133" spans="1:9" ht="15.75" x14ac:dyDescent="0.25">
      <c r="A133" s="164"/>
      <c r="B133" s="165">
        <f>DATE(21,9,1)</f>
        <v>7915</v>
      </c>
      <c r="C133" s="226">
        <v>211086159.19</v>
      </c>
      <c r="D133" s="226">
        <v>19466571.379999999</v>
      </c>
      <c r="E133" s="226">
        <v>16702603.76</v>
      </c>
      <c r="F133" s="166">
        <f t="shared" si="33"/>
        <v>0.16548124230901345</v>
      </c>
      <c r="G133" s="241">
        <f t="shared" si="34"/>
        <v>9.2220974860213425E-2</v>
      </c>
      <c r="H133" s="242">
        <f t="shared" si="35"/>
        <v>0.90777902513978659</v>
      </c>
      <c r="I133" s="157"/>
    </row>
    <row r="134" spans="1:9" ht="15.75" x14ac:dyDescent="0.25">
      <c r="A134" s="164"/>
      <c r="B134" s="165">
        <f>DATE(21,10,1)</f>
        <v>7945</v>
      </c>
      <c r="C134" s="226">
        <v>221465276.75</v>
      </c>
      <c r="D134" s="226">
        <v>20992171.949999999</v>
      </c>
      <c r="E134" s="226">
        <v>17754592.84</v>
      </c>
      <c r="F134" s="166">
        <f t="shared" si="33"/>
        <v>0.18235163932939841</v>
      </c>
      <c r="G134" s="241">
        <f t="shared" si="34"/>
        <v>9.4787644627906661E-2</v>
      </c>
      <c r="H134" s="242">
        <f t="shared" si="35"/>
        <v>0.90521235537209332</v>
      </c>
      <c r="I134" s="157"/>
    </row>
    <row r="135" spans="1:9" ht="15.75" x14ac:dyDescent="0.25">
      <c r="A135" s="164"/>
      <c r="B135" s="165">
        <f>DATE(21,11,1)</f>
        <v>7976</v>
      </c>
      <c r="C135" s="226">
        <v>210964434.34999999</v>
      </c>
      <c r="D135" s="226">
        <v>19425579.760000002</v>
      </c>
      <c r="E135" s="226">
        <v>15307588.33</v>
      </c>
      <c r="F135" s="166">
        <f t="shared" si="33"/>
        <v>0.26901634282452652</v>
      </c>
      <c r="G135" s="241">
        <f t="shared" si="34"/>
        <v>9.2079879814111434E-2</v>
      </c>
      <c r="H135" s="242">
        <f t="shared" si="35"/>
        <v>0.90792012018588852</v>
      </c>
      <c r="I135" s="157"/>
    </row>
    <row r="136" spans="1:9" ht="15.75" x14ac:dyDescent="0.25">
      <c r="A136" s="164"/>
      <c r="B136" s="165">
        <f>DATE(21,12,1)</f>
        <v>8006</v>
      </c>
      <c r="C136" s="226">
        <v>232501845.03</v>
      </c>
      <c r="D136" s="226">
        <v>21621662.719999999</v>
      </c>
      <c r="E136" s="226">
        <v>19390114.289999999</v>
      </c>
      <c r="F136" s="166">
        <f t="shared" si="33"/>
        <v>0.11508691473525089</v>
      </c>
      <c r="G136" s="241">
        <f t="shared" si="34"/>
        <v>9.2995660818132986E-2</v>
      </c>
      <c r="H136" s="242">
        <f t="shared" si="35"/>
        <v>0.90700433918186696</v>
      </c>
      <c r="I136" s="157"/>
    </row>
    <row r="137" spans="1:9" ht="15.75" x14ac:dyDescent="0.25">
      <c r="A137" s="164"/>
      <c r="B137" s="165">
        <f>DATE(22,1,1)</f>
        <v>8037</v>
      </c>
      <c r="C137" s="226">
        <v>205128645.43000001</v>
      </c>
      <c r="D137" s="226">
        <v>18690342.719999999</v>
      </c>
      <c r="E137" s="226">
        <v>21258869.32</v>
      </c>
      <c r="F137" s="166">
        <f t="shared" si="33"/>
        <v>-0.12082141158766017</v>
      </c>
      <c r="G137" s="241">
        <f t="shared" si="34"/>
        <v>9.1115225183788701E-2</v>
      </c>
      <c r="H137" s="242">
        <f t="shared" si="35"/>
        <v>0.90888477481621133</v>
      </c>
      <c r="I137" s="157"/>
    </row>
    <row r="138" spans="1:9" ht="15.75" x14ac:dyDescent="0.25">
      <c r="A138" s="164"/>
      <c r="B138" s="165">
        <f>DATE(22,2,1)</f>
        <v>8068</v>
      </c>
      <c r="C138" s="226">
        <v>199609422.41</v>
      </c>
      <c r="D138" s="226">
        <v>18139556.949999999</v>
      </c>
      <c r="E138" s="226">
        <v>17430403.5</v>
      </c>
      <c r="F138" s="166">
        <f t="shared" si="33"/>
        <v>4.0684855631712674E-2</v>
      </c>
      <c r="G138" s="241">
        <f t="shared" si="34"/>
        <v>9.0875253938369427E-2</v>
      </c>
      <c r="H138" s="242">
        <f t="shared" si="35"/>
        <v>0.90912474606163052</v>
      </c>
      <c r="I138" s="157"/>
    </row>
    <row r="139" spans="1:9" ht="15.75" thickBot="1" x14ac:dyDescent="0.25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Top="1" thickBot="1" x14ac:dyDescent="0.3">
      <c r="A140" s="174" t="s">
        <v>14</v>
      </c>
      <c r="B140" s="175"/>
      <c r="C140" s="228">
        <f>SUM(C131:C139)</f>
        <v>1727677381.0699999</v>
      </c>
      <c r="D140" s="228">
        <f>SUM(D131:D139)</f>
        <v>159456784.81999999</v>
      </c>
      <c r="E140" s="228">
        <f>SUM(E131:E139)</f>
        <v>142911816.28999999</v>
      </c>
      <c r="F140" s="176">
        <f>(+D140-E140)/E140</f>
        <v>0.11577047272582811</v>
      </c>
      <c r="G140" s="245">
        <f>D140/C140</f>
        <v>9.2295463590108387E-2</v>
      </c>
      <c r="H140" s="246">
        <f>1-G140</f>
        <v>0.90770453640989157</v>
      </c>
      <c r="I140" s="157"/>
    </row>
    <row r="141" spans="1:9" ht="15.75" thickTop="1" x14ac:dyDescent="0.2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 x14ac:dyDescent="0.25">
      <c r="A142" s="164" t="s">
        <v>58</v>
      </c>
      <c r="B142" s="165">
        <f>DATE(21,7,1)</f>
        <v>7853</v>
      </c>
      <c r="C142" s="226">
        <v>34083326.159999996</v>
      </c>
      <c r="D142" s="226">
        <v>3963905.07</v>
      </c>
      <c r="E142" s="226">
        <v>3357321.79</v>
      </c>
      <c r="F142" s="166">
        <f t="shared" ref="F142:F149" si="36">(+D142-E142)/E142</f>
        <v>0.18067475146610829</v>
      </c>
      <c r="G142" s="241">
        <f t="shared" ref="G142:G149" si="37">D142/C142</f>
        <v>0.11630041772894856</v>
      </c>
      <c r="H142" s="242">
        <f t="shared" ref="H142:H149" si="38">1-G142</f>
        <v>0.88369958227105139</v>
      </c>
      <c r="I142" s="157"/>
    </row>
    <row r="143" spans="1:9" ht="15.75" x14ac:dyDescent="0.25">
      <c r="A143" s="164"/>
      <c r="B143" s="165">
        <f>DATE(21,8,1)</f>
        <v>7884</v>
      </c>
      <c r="C143" s="226">
        <v>34540166.32</v>
      </c>
      <c r="D143" s="226">
        <v>3797696.16</v>
      </c>
      <c r="E143" s="226">
        <v>3360444.04</v>
      </c>
      <c r="F143" s="166">
        <f t="shared" si="36"/>
        <v>0.13011736389456438</v>
      </c>
      <c r="G143" s="241">
        <f t="shared" si="37"/>
        <v>0.10995014108548161</v>
      </c>
      <c r="H143" s="242">
        <f t="shared" si="38"/>
        <v>0.89004985891451838</v>
      </c>
      <c r="I143" s="157"/>
    </row>
    <row r="144" spans="1:9" ht="15.75" x14ac:dyDescent="0.25">
      <c r="A144" s="164"/>
      <c r="B144" s="165">
        <f>DATE(21,9,1)</f>
        <v>7915</v>
      </c>
      <c r="C144" s="226">
        <v>32245918.620000001</v>
      </c>
      <c r="D144" s="226">
        <v>3519488.37</v>
      </c>
      <c r="E144" s="226">
        <v>3031984.28</v>
      </c>
      <c r="F144" s="166">
        <f t="shared" si="36"/>
        <v>0.16078714299930352</v>
      </c>
      <c r="G144" s="241">
        <f t="shared" si="37"/>
        <v>0.10914523513735767</v>
      </c>
      <c r="H144" s="242">
        <f t="shared" si="38"/>
        <v>0.89085476486264237</v>
      </c>
      <c r="I144" s="157"/>
    </row>
    <row r="145" spans="1:9" ht="15.75" x14ac:dyDescent="0.25">
      <c r="A145" s="164"/>
      <c r="B145" s="165">
        <f>DATE(21,10,1)</f>
        <v>7945</v>
      </c>
      <c r="C145" s="226">
        <v>35165394.68</v>
      </c>
      <c r="D145" s="226">
        <v>3955357.96</v>
      </c>
      <c r="E145" s="226">
        <v>2770053.1200000001</v>
      </c>
      <c r="F145" s="166">
        <f t="shared" si="36"/>
        <v>0.42789967868919415</v>
      </c>
      <c r="G145" s="241">
        <f t="shared" si="37"/>
        <v>0.11247870231496575</v>
      </c>
      <c r="H145" s="242">
        <f t="shared" si="38"/>
        <v>0.88752129768503429</v>
      </c>
      <c r="I145" s="157"/>
    </row>
    <row r="146" spans="1:9" ht="15.75" x14ac:dyDescent="0.25">
      <c r="A146" s="164"/>
      <c r="B146" s="165">
        <f>DATE(21,11,1)</f>
        <v>7976</v>
      </c>
      <c r="C146" s="226">
        <v>32606589.75</v>
      </c>
      <c r="D146" s="226">
        <v>3600834.91</v>
      </c>
      <c r="E146" s="226">
        <v>2396488.16</v>
      </c>
      <c r="F146" s="166">
        <f t="shared" si="36"/>
        <v>0.50254650538311019</v>
      </c>
      <c r="G146" s="241">
        <f t="shared" si="37"/>
        <v>0.110432735763175</v>
      </c>
      <c r="H146" s="242">
        <f t="shared" si="38"/>
        <v>0.88956726423682497</v>
      </c>
      <c r="I146" s="157"/>
    </row>
    <row r="147" spans="1:9" ht="15.75" x14ac:dyDescent="0.25">
      <c r="A147" s="164"/>
      <c r="B147" s="165">
        <f>DATE(21,12,1)</f>
        <v>8006</v>
      </c>
      <c r="C147" s="226">
        <v>36407288.43</v>
      </c>
      <c r="D147" s="226">
        <v>3929490.08</v>
      </c>
      <c r="E147" s="226">
        <v>2648752.5099999998</v>
      </c>
      <c r="F147" s="166">
        <f t="shared" si="36"/>
        <v>0.48352481598969788</v>
      </c>
      <c r="G147" s="241">
        <f t="shared" si="37"/>
        <v>0.10793141289704118</v>
      </c>
      <c r="H147" s="242">
        <f t="shared" si="38"/>
        <v>0.89206858710295878</v>
      </c>
      <c r="I147" s="157"/>
    </row>
    <row r="148" spans="1:9" ht="15.75" x14ac:dyDescent="0.25">
      <c r="A148" s="164"/>
      <c r="B148" s="165">
        <f>DATE(22,1,1)</f>
        <v>8037</v>
      </c>
      <c r="C148" s="226">
        <v>30326927.199999999</v>
      </c>
      <c r="D148" s="226">
        <v>3412089.33</v>
      </c>
      <c r="E148" s="226">
        <v>3041407.25</v>
      </c>
      <c r="F148" s="166">
        <f t="shared" si="36"/>
        <v>0.12187847582726716</v>
      </c>
      <c r="G148" s="241">
        <f t="shared" si="37"/>
        <v>0.11251022259848338</v>
      </c>
      <c r="H148" s="242">
        <f t="shared" si="38"/>
        <v>0.88748977740151658</v>
      </c>
      <c r="I148" s="157"/>
    </row>
    <row r="149" spans="1:9" ht="15.75" x14ac:dyDescent="0.25">
      <c r="A149" s="164"/>
      <c r="B149" s="165">
        <f>DATE(22,2,1)</f>
        <v>8068</v>
      </c>
      <c r="C149" s="226">
        <v>34706950.130000003</v>
      </c>
      <c r="D149" s="226">
        <v>3898386.72</v>
      </c>
      <c r="E149" s="226">
        <v>2699820.17</v>
      </c>
      <c r="F149" s="166">
        <f t="shared" si="36"/>
        <v>0.44394310529208331</v>
      </c>
      <c r="G149" s="241">
        <f t="shared" si="37"/>
        <v>0.112322941237937</v>
      </c>
      <c r="H149" s="242">
        <f t="shared" si="38"/>
        <v>0.88767705876206304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69" t="s">
        <v>14</v>
      </c>
      <c r="B151" s="155"/>
      <c r="C151" s="223">
        <f>SUM(C142:C150)</f>
        <v>270082561.29000002</v>
      </c>
      <c r="D151" s="223">
        <f>SUM(D142:D150)</f>
        <v>30077248.600000001</v>
      </c>
      <c r="E151" s="223">
        <f>SUM(E142:E150)</f>
        <v>23306271.32</v>
      </c>
      <c r="F151" s="176">
        <f>(+D151-E151)/E151</f>
        <v>0.29052168779094095</v>
      </c>
      <c r="G151" s="245">
        <f>D151/C151</f>
        <v>0.11136316412411641</v>
      </c>
      <c r="H151" s="246">
        <f>1-G151</f>
        <v>0.8886368358758836</v>
      </c>
      <c r="I151" s="157"/>
    </row>
    <row r="152" spans="1:9" ht="16.5" thickTop="1" thickBot="1" x14ac:dyDescent="0.25">
      <c r="A152" s="171"/>
      <c r="B152" s="172"/>
      <c r="C152" s="227"/>
      <c r="D152" s="227"/>
      <c r="E152" s="227"/>
      <c r="F152" s="173"/>
      <c r="G152" s="243"/>
      <c r="H152" s="244"/>
      <c r="I152" s="157"/>
    </row>
    <row r="153" spans="1:9" ht="17.25" thickTop="1" thickBot="1" x14ac:dyDescent="0.3">
      <c r="A153" s="184" t="s">
        <v>38</v>
      </c>
      <c r="B153" s="155"/>
      <c r="C153" s="223">
        <f>C151+C140+C107+C85+C63+C41+C19+C52+C129+C30+C96+C118+C74</f>
        <v>11036928394.449999</v>
      </c>
      <c r="D153" s="223">
        <f>D151+D140+D107+D85+D63+D41+D19+D52+D129+D30+D96+D118+D74</f>
        <v>1066585465.3499999</v>
      </c>
      <c r="E153" s="223">
        <f>E151+E140+E107+E85+E63+E41+E19+E52+E129+E30+E96+E118+E74</f>
        <v>908286320.07000005</v>
      </c>
      <c r="F153" s="170">
        <f>(+D153-E153)/E153</f>
        <v>0.17428330888854521</v>
      </c>
      <c r="G153" s="236">
        <f>D153/C153</f>
        <v>9.6637889386538042E-2</v>
      </c>
      <c r="H153" s="237">
        <f>1-G153</f>
        <v>0.90336211061346194</v>
      </c>
      <c r="I153" s="157"/>
    </row>
    <row r="154" spans="1:9" ht="17.25" thickTop="1" thickBot="1" x14ac:dyDescent="0.3">
      <c r="A154" s="184"/>
      <c r="B154" s="155"/>
      <c r="C154" s="223"/>
      <c r="D154" s="223"/>
      <c r="E154" s="223"/>
      <c r="F154" s="170"/>
      <c r="G154" s="236"/>
      <c r="H154" s="237"/>
      <c r="I154" s="157"/>
    </row>
    <row r="155" spans="1:9" ht="17.25" thickTop="1" thickBot="1" x14ac:dyDescent="0.3">
      <c r="A155" s="184" t="s">
        <v>39</v>
      </c>
      <c r="B155" s="155"/>
      <c r="C155" s="223">
        <f>SUM(C17+C28+C39+C50+C61+C72+C83+C94+C105+C116+C127+C138+C149)</f>
        <v>1304185101.6000001</v>
      </c>
      <c r="D155" s="223">
        <f>SUM(D17+D28+D39+D50+D61+D72+D83+D94+D105+D116+D127+D138+D149)</f>
        <v>125744995.28000003</v>
      </c>
      <c r="E155" s="223">
        <f>SUM(E17+E28+E39+E50+E61+E72+E83+E94+E105+E116+E127+E138+E149)</f>
        <v>105500708.76000002</v>
      </c>
      <c r="F155" s="170">
        <f>(+D155-E155)/E155</f>
        <v>0.19188768263209541</v>
      </c>
      <c r="G155" s="236">
        <f>D155/C155</f>
        <v>9.6416524867316444E-2</v>
      </c>
      <c r="H155" s="246">
        <f>1-G155</f>
        <v>0.90358347513268356</v>
      </c>
      <c r="I155" s="157"/>
    </row>
    <row r="156" spans="1:9" ht="16.5" thickTop="1" x14ac:dyDescent="0.25">
      <c r="A156" s="185"/>
      <c r="B156" s="186"/>
      <c r="C156" s="231"/>
      <c r="D156" s="231"/>
      <c r="E156" s="231"/>
      <c r="F156" s="187"/>
      <c r="G156" s="250"/>
      <c r="H156" s="250"/>
      <c r="I156" s="151"/>
    </row>
    <row r="157" spans="1:9" ht="16.5" customHeight="1" x14ac:dyDescent="0.3">
      <c r="A157" s="188" t="s">
        <v>49</v>
      </c>
      <c r="B157" s="189"/>
      <c r="C157" s="232"/>
      <c r="D157" s="232"/>
      <c r="E157" s="232"/>
      <c r="F157" s="190"/>
      <c r="G157" s="251"/>
      <c r="H157" s="251"/>
      <c r="I157" s="151"/>
    </row>
    <row r="158" spans="1:9" ht="15.75" x14ac:dyDescent="0.25">
      <c r="A158" s="191"/>
      <c r="B158" s="189"/>
      <c r="C158" s="232"/>
      <c r="D158" s="232"/>
      <c r="E158" s="232"/>
      <c r="F158" s="190"/>
      <c r="G158" s="257"/>
      <c r="H158" s="257"/>
      <c r="I158" s="151"/>
    </row>
    <row r="159" spans="1:9" ht="15.75" x14ac:dyDescent="0.25">
      <c r="A159" s="72"/>
      <c r="I159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3" manualBreakCount="3">
    <brk id="52" max="8" man="1"/>
    <brk id="96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2022-03-09T15:17:37Z</cp:lastPrinted>
  <dcterms:created xsi:type="dcterms:W3CDTF">2003-09-09T14:41:43Z</dcterms:created>
  <dcterms:modified xsi:type="dcterms:W3CDTF">2022-03-09T20:06:46Z</dcterms:modified>
</cp:coreProperties>
</file>