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1_FinReport\10_Oct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STATS'!$A$1:$M$104</definedName>
    <definedName name="_xlnm.Print_Area" localSheetId="4">'SLOT STATS'!$A$1:$I$105</definedName>
    <definedName name="_xlnm.Print_Area" localSheetId="2">'TABLE STATS'!$A$1:$H$104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fullCalcOnLoad="1" iterate="1" iterateCount="1" iterateDelta="0"/>
</workbook>
</file>

<file path=xl/calcChain.xml><?xml version="1.0" encoding="utf-8"?>
<calcChain xmlns="http://schemas.openxmlformats.org/spreadsheetml/2006/main">
  <c r="E103" i="4" l="1"/>
  <c r="D103" i="4"/>
  <c r="C103" i="4"/>
  <c r="F97" i="4"/>
  <c r="G97" i="4"/>
  <c r="H97" i="4"/>
  <c r="F90" i="4"/>
  <c r="G90" i="4"/>
  <c r="H90" i="4"/>
  <c r="F83" i="4"/>
  <c r="G83" i="4"/>
  <c r="H83" i="4"/>
  <c r="F76" i="4"/>
  <c r="G76" i="4"/>
  <c r="H76" i="4"/>
  <c r="F69" i="4"/>
  <c r="G69" i="4"/>
  <c r="H69" i="4"/>
  <c r="F62" i="4"/>
  <c r="G62" i="4"/>
  <c r="H62" i="4"/>
  <c r="F55" i="4"/>
  <c r="G55" i="4"/>
  <c r="H55" i="4"/>
  <c r="F48" i="4"/>
  <c r="G48" i="4"/>
  <c r="H48" i="4"/>
  <c r="F41" i="4"/>
  <c r="G41" i="4"/>
  <c r="H41" i="4"/>
  <c r="F34" i="4"/>
  <c r="G34" i="4"/>
  <c r="H34" i="4"/>
  <c r="F27" i="4"/>
  <c r="G27" i="4"/>
  <c r="H27" i="4"/>
  <c r="F20" i="4"/>
  <c r="G20" i="4"/>
  <c r="H20" i="4"/>
  <c r="G13" i="4"/>
  <c r="H13" i="4"/>
  <c r="F13" i="4"/>
  <c r="B97" i="4"/>
  <c r="B90" i="4"/>
  <c r="B83" i="4"/>
  <c r="B76" i="4"/>
  <c r="B69" i="4"/>
  <c r="B62" i="4"/>
  <c r="B55" i="4"/>
  <c r="B48" i="4"/>
  <c r="B41" i="4"/>
  <c r="B34" i="4"/>
  <c r="B27" i="4"/>
  <c r="B20" i="4"/>
  <c r="B13" i="4"/>
  <c r="D103" i="5"/>
  <c r="C103" i="5"/>
  <c r="G62" i="5"/>
  <c r="H62" i="5"/>
  <c r="B97" i="5"/>
  <c r="B90" i="5"/>
  <c r="B83" i="5"/>
  <c r="B76" i="5"/>
  <c r="B69" i="5"/>
  <c r="B62" i="5"/>
  <c r="B55" i="5"/>
  <c r="B48" i="5"/>
  <c r="B41" i="5"/>
  <c r="B34" i="5"/>
  <c r="B27" i="5"/>
  <c r="B20" i="5"/>
  <c r="B13" i="5"/>
  <c r="E102" i="3"/>
  <c r="D102" i="3"/>
  <c r="C102" i="3"/>
  <c r="G102" i="3"/>
  <c r="F96" i="3"/>
  <c r="G96" i="3"/>
  <c r="F89" i="3"/>
  <c r="G89" i="3"/>
  <c r="F82" i="3"/>
  <c r="G82" i="3"/>
  <c r="F75" i="3"/>
  <c r="G75" i="3"/>
  <c r="F68" i="3"/>
  <c r="G68" i="3"/>
  <c r="F61" i="3"/>
  <c r="G61" i="3"/>
  <c r="F54" i="3"/>
  <c r="G54" i="3"/>
  <c r="F47" i="3"/>
  <c r="G47" i="3"/>
  <c r="F40" i="3"/>
  <c r="G40" i="3"/>
  <c r="F33" i="3"/>
  <c r="G33" i="3"/>
  <c r="F26" i="3"/>
  <c r="G26" i="3"/>
  <c r="F19" i="3"/>
  <c r="G19" i="3"/>
  <c r="G12" i="3"/>
  <c r="F12" i="3"/>
  <c r="B96" i="3"/>
  <c r="B89" i="3"/>
  <c r="B82" i="3"/>
  <c r="B75" i="3"/>
  <c r="B68" i="3"/>
  <c r="B61" i="3"/>
  <c r="B54" i="3"/>
  <c r="B47" i="3"/>
  <c r="B40" i="3"/>
  <c r="B33" i="3"/>
  <c r="B26" i="3"/>
  <c r="B19" i="3"/>
  <c r="B12" i="3"/>
  <c r="F53" i="1"/>
  <c r="F66" i="1"/>
  <c r="F65" i="1"/>
  <c r="F88" i="1"/>
  <c r="F95" i="1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L102" i="1"/>
  <c r="K102" i="1"/>
  <c r="G102" i="1"/>
  <c r="H102" i="1"/>
  <c r="F102" i="1"/>
  <c r="D102" i="1"/>
  <c r="C102" i="1"/>
  <c r="H96" i="1"/>
  <c r="M96" i="1"/>
  <c r="I96" i="1"/>
  <c r="J96" i="1"/>
  <c r="G96" i="1"/>
  <c r="F96" i="1"/>
  <c r="E96" i="1"/>
  <c r="H89" i="1"/>
  <c r="M89" i="1"/>
  <c r="I89" i="1"/>
  <c r="J89" i="1"/>
  <c r="G89" i="1"/>
  <c r="F89" i="1"/>
  <c r="E89" i="1"/>
  <c r="H82" i="1"/>
  <c r="M82" i="1"/>
  <c r="I82" i="1"/>
  <c r="J82" i="1"/>
  <c r="G82" i="1"/>
  <c r="F82" i="1"/>
  <c r="E82" i="1"/>
  <c r="H75" i="1"/>
  <c r="M75" i="1"/>
  <c r="I75" i="1"/>
  <c r="J75" i="1"/>
  <c r="G75" i="1"/>
  <c r="F75" i="1"/>
  <c r="E75" i="1"/>
  <c r="H68" i="1"/>
  <c r="M68" i="1"/>
  <c r="I68" i="1"/>
  <c r="J68" i="1"/>
  <c r="G68" i="1"/>
  <c r="F68" i="1"/>
  <c r="E68" i="1"/>
  <c r="H61" i="1"/>
  <c r="M61" i="1"/>
  <c r="I61" i="1"/>
  <c r="J61" i="1"/>
  <c r="G61" i="1"/>
  <c r="F61" i="1"/>
  <c r="E61" i="1"/>
  <c r="H54" i="1"/>
  <c r="M54" i="1"/>
  <c r="I54" i="1"/>
  <c r="J54" i="1"/>
  <c r="G54" i="1"/>
  <c r="F54" i="1"/>
  <c r="E54" i="1"/>
  <c r="H47" i="1"/>
  <c r="M47" i="1"/>
  <c r="I47" i="1"/>
  <c r="J47" i="1"/>
  <c r="G47" i="1"/>
  <c r="F47" i="1"/>
  <c r="E47" i="1"/>
  <c r="H40" i="1"/>
  <c r="M40" i="1"/>
  <c r="I40" i="1"/>
  <c r="J40" i="1"/>
  <c r="G40" i="1"/>
  <c r="F40" i="1"/>
  <c r="E40" i="1"/>
  <c r="H33" i="1"/>
  <c r="M33" i="1"/>
  <c r="I33" i="1"/>
  <c r="J33" i="1"/>
  <c r="G33" i="1"/>
  <c r="F33" i="1"/>
  <c r="E33" i="1"/>
  <c r="H26" i="1"/>
  <c r="M26" i="1"/>
  <c r="I26" i="1"/>
  <c r="J26" i="1"/>
  <c r="G26" i="1"/>
  <c r="F26" i="1"/>
  <c r="E26" i="1"/>
  <c r="H19" i="1"/>
  <c r="M19" i="1"/>
  <c r="I19" i="1"/>
  <c r="J19" i="1"/>
  <c r="G19" i="1"/>
  <c r="F19" i="1"/>
  <c r="E19" i="1"/>
  <c r="M12" i="1"/>
  <c r="J12" i="1"/>
  <c r="I12" i="1"/>
  <c r="H12" i="1"/>
  <c r="E12" i="1"/>
  <c r="G12" i="1"/>
  <c r="F12" i="1"/>
  <c r="B96" i="1"/>
  <c r="B89" i="1"/>
  <c r="B82" i="1"/>
  <c r="B75" i="1"/>
  <c r="B68" i="1"/>
  <c r="B61" i="1"/>
  <c r="B54" i="1"/>
  <c r="B47" i="1"/>
  <c r="B40" i="1"/>
  <c r="B33" i="1"/>
  <c r="B26" i="1"/>
  <c r="B19" i="1"/>
  <c r="B12" i="1"/>
  <c r="G96" i="4"/>
  <c r="H96" i="4"/>
  <c r="F96" i="4"/>
  <c r="H89" i="4"/>
  <c r="G89" i="4"/>
  <c r="F89" i="4"/>
  <c r="G82" i="4"/>
  <c r="H82" i="4"/>
  <c r="F82" i="4"/>
  <c r="G75" i="4"/>
  <c r="H75" i="4"/>
  <c r="F75" i="4"/>
  <c r="H68" i="4"/>
  <c r="G68" i="4"/>
  <c r="F68" i="4"/>
  <c r="G61" i="4"/>
  <c r="H61" i="4"/>
  <c r="F61" i="4"/>
  <c r="G54" i="4"/>
  <c r="H54" i="4"/>
  <c r="F54" i="4"/>
  <c r="G47" i="4"/>
  <c r="H47" i="4"/>
  <c r="F47" i="4"/>
  <c r="G40" i="4"/>
  <c r="H40" i="4"/>
  <c r="F40" i="4"/>
  <c r="G33" i="4"/>
  <c r="H33" i="4"/>
  <c r="F33" i="4"/>
  <c r="G26" i="4"/>
  <c r="H26" i="4"/>
  <c r="F26" i="4"/>
  <c r="G19" i="4"/>
  <c r="H19" i="4"/>
  <c r="F19" i="4"/>
  <c r="G12" i="4"/>
  <c r="H12" i="4"/>
  <c r="F12" i="4"/>
  <c r="B96" i="4"/>
  <c r="B89" i="4"/>
  <c r="B82" i="4"/>
  <c r="B75" i="4"/>
  <c r="B68" i="4"/>
  <c r="B61" i="4"/>
  <c r="B54" i="4"/>
  <c r="B47" i="4"/>
  <c r="B40" i="4"/>
  <c r="B33" i="4"/>
  <c r="B26" i="4"/>
  <c r="B19" i="4"/>
  <c r="B12" i="4"/>
  <c r="G61" i="5"/>
  <c r="H61" i="5"/>
  <c r="B96" i="5"/>
  <c r="B89" i="5"/>
  <c r="B82" i="5"/>
  <c r="B75" i="5"/>
  <c r="B68" i="5"/>
  <c r="B61" i="5"/>
  <c r="B54" i="5"/>
  <c r="B47" i="5"/>
  <c r="B40" i="5"/>
  <c r="B33" i="5"/>
  <c r="B26" i="5"/>
  <c r="B19" i="5"/>
  <c r="B12" i="5"/>
  <c r="F102" i="3"/>
  <c r="G95" i="3"/>
  <c r="F95" i="3"/>
  <c r="G88" i="3"/>
  <c r="F88" i="3"/>
  <c r="G81" i="3"/>
  <c r="F81" i="3"/>
  <c r="G74" i="3"/>
  <c r="F74" i="3"/>
  <c r="G67" i="3"/>
  <c r="F67" i="3"/>
  <c r="G60" i="3"/>
  <c r="F60" i="3"/>
  <c r="G53" i="3"/>
  <c r="F53" i="3"/>
  <c r="G46" i="3"/>
  <c r="F46" i="3"/>
  <c r="G39" i="3"/>
  <c r="F39" i="3"/>
  <c r="G32" i="3"/>
  <c r="F32" i="3"/>
  <c r="G25" i="3"/>
  <c r="F25" i="3"/>
  <c r="G18" i="3"/>
  <c r="F18" i="3"/>
  <c r="G11" i="3"/>
  <c r="F11" i="3"/>
  <c r="B95" i="3"/>
  <c r="B88" i="3"/>
  <c r="B81" i="3"/>
  <c r="B74" i="3"/>
  <c r="B67" i="3"/>
  <c r="B60" i="3"/>
  <c r="B53" i="3"/>
  <c r="B46" i="3"/>
  <c r="B39" i="3"/>
  <c r="B32" i="3"/>
  <c r="B25" i="3"/>
  <c r="B18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33" i="2"/>
  <c r="A12" i="2"/>
  <c r="F52" i="1"/>
  <c r="F58" i="1"/>
  <c r="J102" i="1"/>
  <c r="E102" i="1"/>
  <c r="M95" i="1"/>
  <c r="I95" i="1"/>
  <c r="E95" i="1"/>
  <c r="G95" i="1"/>
  <c r="H95" i="1"/>
  <c r="M88" i="1"/>
  <c r="I88" i="1"/>
  <c r="H88" i="1"/>
  <c r="E88" i="1"/>
  <c r="G88" i="1"/>
  <c r="J88" i="1"/>
  <c r="M81" i="1"/>
  <c r="J81" i="1"/>
  <c r="I81" i="1"/>
  <c r="H81" i="1"/>
  <c r="E81" i="1"/>
  <c r="G81" i="1"/>
  <c r="F81" i="1"/>
  <c r="M74" i="1"/>
  <c r="J74" i="1"/>
  <c r="I74" i="1"/>
  <c r="H74" i="1"/>
  <c r="E74" i="1"/>
  <c r="G74" i="1"/>
  <c r="F74" i="1"/>
  <c r="F77" i="1"/>
  <c r="M67" i="1"/>
  <c r="J67" i="1"/>
  <c r="I67" i="1"/>
  <c r="H67" i="1"/>
  <c r="E67" i="1"/>
  <c r="G67" i="1"/>
  <c r="F67" i="1"/>
  <c r="M60" i="1"/>
  <c r="J60" i="1"/>
  <c r="I60" i="1"/>
  <c r="H60" i="1"/>
  <c r="E60" i="1"/>
  <c r="G60" i="1"/>
  <c r="F60" i="1"/>
  <c r="M53" i="1"/>
  <c r="I53" i="1"/>
  <c r="E53" i="1"/>
  <c r="G53" i="1"/>
  <c r="H53" i="1"/>
  <c r="M46" i="1"/>
  <c r="J46" i="1"/>
  <c r="I46" i="1"/>
  <c r="H46" i="1"/>
  <c r="E46" i="1"/>
  <c r="G25" i="1"/>
  <c r="F25" i="1"/>
  <c r="G46" i="1"/>
  <c r="G49" i="1"/>
  <c r="F46" i="1"/>
  <c r="F49" i="1"/>
  <c r="M39" i="1"/>
  <c r="J39" i="1"/>
  <c r="I39" i="1"/>
  <c r="H39" i="1"/>
  <c r="E39" i="1"/>
  <c r="G39" i="1"/>
  <c r="F39" i="1"/>
  <c r="M32" i="1"/>
  <c r="J32" i="1"/>
  <c r="I32" i="1"/>
  <c r="H32" i="1"/>
  <c r="E32" i="1"/>
  <c r="G32" i="1"/>
  <c r="F32" i="1"/>
  <c r="M25" i="1"/>
  <c r="I25" i="1"/>
  <c r="H25" i="1"/>
  <c r="E25" i="1"/>
  <c r="J25" i="1"/>
  <c r="M18" i="1"/>
  <c r="J18" i="1"/>
  <c r="I18" i="1"/>
  <c r="H18" i="1"/>
  <c r="E18" i="1"/>
  <c r="G18" i="1"/>
  <c r="F18" i="1"/>
  <c r="M11" i="1"/>
  <c r="J11" i="1"/>
  <c r="I11" i="1"/>
  <c r="H11" i="1"/>
  <c r="E11" i="1"/>
  <c r="G11" i="1"/>
  <c r="F11" i="1"/>
  <c r="F14" i="1"/>
  <c r="B95" i="1"/>
  <c r="B88" i="1"/>
  <c r="B81" i="1"/>
  <c r="B74" i="1"/>
  <c r="B67" i="1"/>
  <c r="B60" i="1"/>
  <c r="B53" i="1"/>
  <c r="B46" i="1"/>
  <c r="B39" i="1"/>
  <c r="B32" i="1"/>
  <c r="B25" i="1"/>
  <c r="B18" i="1"/>
  <c r="B11" i="1"/>
  <c r="G95" i="4"/>
  <c r="H95" i="4"/>
  <c r="F95" i="4"/>
  <c r="G88" i="4"/>
  <c r="H88" i="4"/>
  <c r="F88" i="4"/>
  <c r="G81" i="4"/>
  <c r="H81" i="4"/>
  <c r="F81" i="4"/>
  <c r="G74" i="4"/>
  <c r="H74" i="4"/>
  <c r="F74" i="4"/>
  <c r="G67" i="4"/>
  <c r="H67" i="4"/>
  <c r="F67" i="4"/>
  <c r="G60" i="4"/>
  <c r="H60" i="4"/>
  <c r="F60" i="4"/>
  <c r="G53" i="4"/>
  <c r="H53" i="4"/>
  <c r="F53" i="4"/>
  <c r="G46" i="4"/>
  <c r="H46" i="4"/>
  <c r="F46" i="4"/>
  <c r="G39" i="4"/>
  <c r="H39" i="4"/>
  <c r="F39" i="4"/>
  <c r="G32" i="4"/>
  <c r="H32" i="4"/>
  <c r="F32" i="4"/>
  <c r="G25" i="4"/>
  <c r="H25" i="4"/>
  <c r="F25" i="4"/>
  <c r="G18" i="4"/>
  <c r="H18" i="4"/>
  <c r="F18" i="4"/>
  <c r="G11" i="4"/>
  <c r="H11" i="4"/>
  <c r="F11" i="4"/>
  <c r="B95" i="4"/>
  <c r="B94" i="4"/>
  <c r="B88" i="4"/>
  <c r="B87" i="4"/>
  <c r="B81" i="4"/>
  <c r="B80" i="4"/>
  <c r="B74" i="4"/>
  <c r="B73" i="4"/>
  <c r="B67" i="4"/>
  <c r="B66" i="4"/>
  <c r="B60" i="4"/>
  <c r="B59" i="4"/>
  <c r="B53" i="4"/>
  <c r="B52" i="4"/>
  <c r="B46" i="4"/>
  <c r="B45" i="4"/>
  <c r="B39" i="4"/>
  <c r="B38" i="4"/>
  <c r="B32" i="4"/>
  <c r="B31" i="4"/>
  <c r="B25" i="4"/>
  <c r="B24" i="4"/>
  <c r="B18" i="4"/>
  <c r="B17" i="4"/>
  <c r="B11" i="4"/>
  <c r="B10" i="4"/>
  <c r="E103" i="5"/>
  <c r="G60" i="5"/>
  <c r="H60" i="5"/>
  <c r="B95" i="5"/>
  <c r="B94" i="5"/>
  <c r="B88" i="5"/>
  <c r="B87" i="5"/>
  <c r="B81" i="5"/>
  <c r="B80" i="5"/>
  <c r="B74" i="5"/>
  <c r="B73" i="5"/>
  <c r="B67" i="5"/>
  <c r="B66" i="5"/>
  <c r="B60" i="5"/>
  <c r="B59" i="5"/>
  <c r="B53" i="5"/>
  <c r="B52" i="5"/>
  <c r="B46" i="5"/>
  <c r="B45" i="5"/>
  <c r="B39" i="5"/>
  <c r="B38" i="5"/>
  <c r="B32" i="5"/>
  <c r="B31" i="5"/>
  <c r="B25" i="5"/>
  <c r="B24" i="5"/>
  <c r="B18" i="5"/>
  <c r="B17" i="5"/>
  <c r="B11" i="5"/>
  <c r="B10" i="5"/>
  <c r="G94" i="3"/>
  <c r="F94" i="3"/>
  <c r="G87" i="3"/>
  <c r="F87" i="3"/>
  <c r="G80" i="3"/>
  <c r="F80" i="3"/>
  <c r="G73" i="3"/>
  <c r="F73" i="3"/>
  <c r="G66" i="3"/>
  <c r="F66" i="3"/>
  <c r="G59" i="3"/>
  <c r="F59" i="3"/>
  <c r="G52" i="3"/>
  <c r="F52" i="3"/>
  <c r="G45" i="3"/>
  <c r="F45" i="3"/>
  <c r="G38" i="3"/>
  <c r="F38" i="3"/>
  <c r="G31" i="3"/>
  <c r="F31" i="3"/>
  <c r="G24" i="3"/>
  <c r="F24" i="3"/>
  <c r="G17" i="3"/>
  <c r="F17" i="3"/>
  <c r="G10" i="3"/>
  <c r="F10" i="3"/>
  <c r="B94" i="3"/>
  <c r="B93" i="3"/>
  <c r="B87" i="3"/>
  <c r="B86" i="3"/>
  <c r="B80" i="3"/>
  <c r="B79" i="3"/>
  <c r="B73" i="3"/>
  <c r="B72" i="3"/>
  <c r="B66" i="3"/>
  <c r="B65" i="3"/>
  <c r="B59" i="3"/>
  <c r="B58" i="3"/>
  <c r="B52" i="3"/>
  <c r="B51" i="3"/>
  <c r="B45" i="3"/>
  <c r="B44" i="3"/>
  <c r="B38" i="3"/>
  <c r="B37" i="3"/>
  <c r="B31" i="3"/>
  <c r="B30" i="3"/>
  <c r="B24" i="3"/>
  <c r="B23" i="3"/>
  <c r="B17" i="3"/>
  <c r="B16" i="3"/>
  <c r="B10" i="3"/>
  <c r="B9" i="3"/>
  <c r="N32" i="2"/>
  <c r="M32" i="2"/>
  <c r="L32" i="2"/>
  <c r="K32" i="2"/>
  <c r="J32" i="2"/>
  <c r="I32" i="2"/>
  <c r="H32" i="2"/>
  <c r="G32" i="2"/>
  <c r="F32" i="2"/>
  <c r="F44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32" i="2"/>
  <c r="A31" i="2"/>
  <c r="A11" i="2"/>
  <c r="A10" i="2"/>
  <c r="M94" i="1"/>
  <c r="J94" i="1"/>
  <c r="I94" i="1"/>
  <c r="H94" i="1"/>
  <c r="E94" i="1"/>
  <c r="G94" i="1"/>
  <c r="G93" i="1"/>
  <c r="F94" i="1"/>
  <c r="F93" i="1"/>
  <c r="M87" i="1"/>
  <c r="J87" i="1"/>
  <c r="I87" i="1"/>
  <c r="H87" i="1"/>
  <c r="E87" i="1"/>
  <c r="G87" i="1"/>
  <c r="G86" i="1"/>
  <c r="F87" i="1"/>
  <c r="F86" i="1"/>
  <c r="M80" i="1"/>
  <c r="J80" i="1"/>
  <c r="I80" i="1"/>
  <c r="H80" i="1"/>
  <c r="E80" i="1"/>
  <c r="G80" i="1"/>
  <c r="G79" i="1"/>
  <c r="F80" i="1"/>
  <c r="F79" i="1"/>
  <c r="M73" i="1"/>
  <c r="J73" i="1"/>
  <c r="I73" i="1"/>
  <c r="H73" i="1"/>
  <c r="E73" i="1"/>
  <c r="G73" i="1"/>
  <c r="G72" i="1"/>
  <c r="F73" i="1"/>
  <c r="F72" i="1"/>
  <c r="M66" i="1"/>
  <c r="J66" i="1"/>
  <c r="I66" i="1"/>
  <c r="E66" i="1"/>
  <c r="G66" i="1"/>
  <c r="G65" i="1"/>
  <c r="H66" i="1"/>
  <c r="M59" i="1"/>
  <c r="J59" i="1"/>
  <c r="I59" i="1"/>
  <c r="H59" i="1"/>
  <c r="E59" i="1"/>
  <c r="G59" i="1"/>
  <c r="G58" i="1"/>
  <c r="F59" i="1"/>
  <c r="J58" i="1"/>
  <c r="M52" i="1"/>
  <c r="I52" i="1"/>
  <c r="E52" i="1"/>
  <c r="G52" i="1"/>
  <c r="G51" i="1"/>
  <c r="H52" i="1"/>
  <c r="F51" i="1"/>
  <c r="M45" i="1"/>
  <c r="J45" i="1"/>
  <c r="I45" i="1"/>
  <c r="H45" i="1"/>
  <c r="E45" i="1"/>
  <c r="G45" i="1"/>
  <c r="G44" i="1"/>
  <c r="F45" i="1"/>
  <c r="F44" i="1"/>
  <c r="M38" i="1"/>
  <c r="J38" i="1"/>
  <c r="I38" i="1"/>
  <c r="H38" i="1"/>
  <c r="E38" i="1"/>
  <c r="G38" i="1"/>
  <c r="G37" i="1"/>
  <c r="F38" i="1"/>
  <c r="F37" i="1"/>
  <c r="M31" i="1"/>
  <c r="J31" i="1"/>
  <c r="I31" i="1"/>
  <c r="H31" i="1"/>
  <c r="E31" i="1"/>
  <c r="G31" i="1"/>
  <c r="G30" i="1"/>
  <c r="F31" i="1"/>
  <c r="F30" i="1"/>
  <c r="M24" i="1"/>
  <c r="J24" i="1"/>
  <c r="I24" i="1"/>
  <c r="H24" i="1"/>
  <c r="E24" i="1"/>
  <c r="G24" i="1"/>
  <c r="G23" i="1"/>
  <c r="F24" i="1"/>
  <c r="F23" i="1"/>
  <c r="M17" i="1"/>
  <c r="J17" i="1"/>
  <c r="I17" i="1"/>
  <c r="H17" i="1"/>
  <c r="E17" i="1"/>
  <c r="G17" i="1"/>
  <c r="G16" i="1"/>
  <c r="F17" i="1"/>
  <c r="F16" i="1"/>
  <c r="M10" i="1"/>
  <c r="J10" i="1"/>
  <c r="I10" i="1"/>
  <c r="H10" i="1"/>
  <c r="E10" i="1"/>
  <c r="G10" i="1"/>
  <c r="G9" i="1"/>
  <c r="F10" i="1"/>
  <c r="F9" i="1"/>
  <c r="B94" i="1"/>
  <c r="B93" i="1"/>
  <c r="B87" i="1"/>
  <c r="B86" i="1"/>
  <c r="B80" i="1"/>
  <c r="B79" i="1"/>
  <c r="B73" i="1"/>
  <c r="B72" i="1"/>
  <c r="B66" i="1"/>
  <c r="B65" i="1"/>
  <c r="B59" i="1"/>
  <c r="B58" i="1"/>
  <c r="B52" i="1"/>
  <c r="B51" i="1"/>
  <c r="B45" i="1"/>
  <c r="B44" i="1"/>
  <c r="B38" i="1"/>
  <c r="B37" i="1"/>
  <c r="B31" i="1"/>
  <c r="B30" i="1"/>
  <c r="B24" i="1"/>
  <c r="B23" i="1"/>
  <c r="B17" i="1"/>
  <c r="B16" i="1"/>
  <c r="B10" i="1"/>
  <c r="B9" i="1"/>
  <c r="E99" i="5"/>
  <c r="D99" i="5"/>
  <c r="C99" i="5"/>
  <c r="E92" i="5"/>
  <c r="D92" i="5"/>
  <c r="C92" i="5"/>
  <c r="E85" i="5"/>
  <c r="D85" i="5"/>
  <c r="C85" i="5"/>
  <c r="E78" i="5"/>
  <c r="D78" i="5"/>
  <c r="C78" i="5"/>
  <c r="E71" i="5"/>
  <c r="D71" i="5"/>
  <c r="C71" i="5"/>
  <c r="E64" i="5"/>
  <c r="D64" i="5"/>
  <c r="C64" i="5"/>
  <c r="E57" i="5"/>
  <c r="D57" i="5"/>
  <c r="C57" i="5"/>
  <c r="E50" i="5"/>
  <c r="D50" i="5"/>
  <c r="C50" i="5"/>
  <c r="E43" i="5"/>
  <c r="D43" i="5"/>
  <c r="C43" i="5"/>
  <c r="E36" i="5"/>
  <c r="D36" i="5"/>
  <c r="C36" i="5"/>
  <c r="E29" i="5"/>
  <c r="D29" i="5"/>
  <c r="C29" i="5"/>
  <c r="E22" i="5"/>
  <c r="D22" i="5"/>
  <c r="C22" i="5"/>
  <c r="E15" i="5"/>
  <c r="D15" i="5"/>
  <c r="C15" i="5"/>
  <c r="G98" i="1"/>
  <c r="H86" i="1"/>
  <c r="J23" i="1"/>
  <c r="J16" i="1"/>
  <c r="J86" i="1"/>
  <c r="J93" i="1"/>
  <c r="J79" i="1"/>
  <c r="G56" i="1"/>
  <c r="J37" i="1"/>
  <c r="G21" i="1"/>
  <c r="H21" i="1"/>
  <c r="J9" i="1"/>
  <c r="L35" i="1"/>
  <c r="F45" i="4"/>
  <c r="F44" i="3"/>
  <c r="M44" i="1"/>
  <c r="E44" i="1"/>
  <c r="F94" i="4"/>
  <c r="F93" i="3"/>
  <c r="G31" i="2"/>
  <c r="G10" i="2"/>
  <c r="M93" i="1"/>
  <c r="E93" i="1"/>
  <c r="E50" i="4"/>
  <c r="D50" i="4"/>
  <c r="C50" i="4"/>
  <c r="G50" i="4"/>
  <c r="H50" i="4"/>
  <c r="G45" i="4"/>
  <c r="H45" i="4"/>
  <c r="E49" i="3"/>
  <c r="F49" i="3"/>
  <c r="D49" i="3"/>
  <c r="C49" i="3"/>
  <c r="G44" i="3"/>
  <c r="L49" i="1"/>
  <c r="D49" i="1"/>
  <c r="C49" i="1"/>
  <c r="I44" i="1"/>
  <c r="G94" i="4"/>
  <c r="H94" i="4"/>
  <c r="G93" i="3"/>
  <c r="I93" i="1"/>
  <c r="D14" i="1"/>
  <c r="D21" i="1"/>
  <c r="D28" i="1"/>
  <c r="E28" i="1"/>
  <c r="D35" i="1"/>
  <c r="D42" i="1"/>
  <c r="D56" i="1"/>
  <c r="D63" i="1"/>
  <c r="D70" i="1"/>
  <c r="D77" i="1"/>
  <c r="E77" i="1"/>
  <c r="D84" i="1"/>
  <c r="D91" i="1"/>
  <c r="D98" i="1"/>
  <c r="C98" i="1"/>
  <c r="E98" i="1"/>
  <c r="C99" i="4"/>
  <c r="G99" i="4"/>
  <c r="H99" i="4"/>
  <c r="D99" i="4"/>
  <c r="C98" i="3"/>
  <c r="D98" i="3"/>
  <c r="E15" i="4"/>
  <c r="E22" i="4"/>
  <c r="E29" i="4"/>
  <c r="F29" i="4"/>
  <c r="E36" i="4"/>
  <c r="E43" i="4"/>
  <c r="E57" i="4"/>
  <c r="E64" i="4"/>
  <c r="E71" i="4"/>
  <c r="E78" i="4"/>
  <c r="E85" i="4"/>
  <c r="F85" i="4"/>
  <c r="E92" i="4"/>
  <c r="E99" i="4"/>
  <c r="F99" i="4"/>
  <c r="D15" i="4"/>
  <c r="D22" i="4"/>
  <c r="D29" i="4"/>
  <c r="G29" i="4"/>
  <c r="H29" i="4"/>
  <c r="D36" i="4"/>
  <c r="G36" i="4"/>
  <c r="H36" i="4"/>
  <c r="D43" i="4"/>
  <c r="D57" i="4"/>
  <c r="F57" i="4"/>
  <c r="D64" i="4"/>
  <c r="D71" i="4"/>
  <c r="G71" i="4"/>
  <c r="H71" i="4"/>
  <c r="D78" i="4"/>
  <c r="G78" i="4"/>
  <c r="H78" i="4"/>
  <c r="D85" i="4"/>
  <c r="D92" i="4"/>
  <c r="F92" i="4"/>
  <c r="C15" i="4"/>
  <c r="C22" i="4"/>
  <c r="C29" i="4"/>
  <c r="C36" i="4"/>
  <c r="C43" i="4"/>
  <c r="C57" i="4"/>
  <c r="C64" i="4"/>
  <c r="C71" i="4"/>
  <c r="C78" i="4"/>
  <c r="C85" i="4"/>
  <c r="G85" i="4"/>
  <c r="H85" i="4"/>
  <c r="C92" i="4"/>
  <c r="F73" i="4"/>
  <c r="E14" i="3"/>
  <c r="E21" i="3"/>
  <c r="E28" i="3"/>
  <c r="F28" i="3"/>
  <c r="E35" i="3"/>
  <c r="E42" i="3"/>
  <c r="E56" i="3"/>
  <c r="E63" i="3"/>
  <c r="E70" i="3"/>
  <c r="F70" i="3"/>
  <c r="E77" i="3"/>
  <c r="E84" i="3"/>
  <c r="F84" i="3"/>
  <c r="E91" i="3"/>
  <c r="E98" i="3"/>
  <c r="F98" i="3"/>
  <c r="D14" i="3"/>
  <c r="G14" i="3"/>
  <c r="D21" i="3"/>
  <c r="F21" i="3"/>
  <c r="D28" i="3"/>
  <c r="D35" i="3"/>
  <c r="F35" i="3"/>
  <c r="D42" i="3"/>
  <c r="F42" i="3"/>
  <c r="D56" i="3"/>
  <c r="F56" i="3"/>
  <c r="D63" i="3"/>
  <c r="G63" i="3"/>
  <c r="D70" i="3"/>
  <c r="D77" i="3"/>
  <c r="G77" i="3"/>
  <c r="D84" i="3"/>
  <c r="D91" i="3"/>
  <c r="F91" i="3"/>
  <c r="C14" i="3"/>
  <c r="C21" i="3"/>
  <c r="C28" i="3"/>
  <c r="C35" i="3"/>
  <c r="C42" i="3"/>
  <c r="C56" i="3"/>
  <c r="G56" i="3"/>
  <c r="C63" i="3"/>
  <c r="C70" i="3"/>
  <c r="C77" i="3"/>
  <c r="C84" i="3"/>
  <c r="G84" i="3"/>
  <c r="C91" i="3"/>
  <c r="F72" i="3"/>
  <c r="M72" i="1"/>
  <c r="E72" i="1"/>
  <c r="L14" i="1"/>
  <c r="M14" i="1"/>
  <c r="L21" i="1"/>
  <c r="L28" i="1"/>
  <c r="L42" i="1"/>
  <c r="M42" i="1"/>
  <c r="L56" i="1"/>
  <c r="L63" i="1"/>
  <c r="L70" i="1"/>
  <c r="M70" i="1"/>
  <c r="L77" i="1"/>
  <c r="L84" i="1"/>
  <c r="M84" i="1"/>
  <c r="L91" i="1"/>
  <c r="K14" i="1"/>
  <c r="K21" i="1"/>
  <c r="C14" i="1"/>
  <c r="C21" i="1"/>
  <c r="E21" i="1"/>
  <c r="C28" i="1"/>
  <c r="C35" i="1"/>
  <c r="C42" i="1"/>
  <c r="C56" i="1"/>
  <c r="C63" i="1"/>
  <c r="C70" i="1"/>
  <c r="I70" i="1"/>
  <c r="C77" i="1"/>
  <c r="C84" i="1"/>
  <c r="C91" i="1"/>
  <c r="I91" i="1"/>
  <c r="E79" i="1"/>
  <c r="I79" i="1"/>
  <c r="M79" i="1"/>
  <c r="K77" i="1"/>
  <c r="F87" i="4"/>
  <c r="K31" i="2"/>
  <c r="K10" i="2"/>
  <c r="K35" i="1"/>
  <c r="K42" i="1"/>
  <c r="K56" i="1"/>
  <c r="K63" i="1"/>
  <c r="K70" i="1"/>
  <c r="K91" i="1"/>
  <c r="I72" i="1"/>
  <c r="G73" i="4"/>
  <c r="H73" i="4"/>
  <c r="G72" i="3"/>
  <c r="F59" i="4"/>
  <c r="F58" i="3"/>
  <c r="N31" i="2"/>
  <c r="M31" i="2"/>
  <c r="L31" i="2"/>
  <c r="J31" i="2"/>
  <c r="J44" i="2"/>
  <c r="I31" i="2"/>
  <c r="I44" i="2"/>
  <c r="H31" i="2"/>
  <c r="F31" i="2"/>
  <c r="E31" i="2"/>
  <c r="C31" i="2"/>
  <c r="B31" i="2"/>
  <c r="M58" i="1"/>
  <c r="E58" i="1"/>
  <c r="I10" i="2"/>
  <c r="I23" i="2"/>
  <c r="G59" i="4"/>
  <c r="H59" i="4"/>
  <c r="G66" i="4"/>
  <c r="H66" i="4"/>
  <c r="F66" i="4"/>
  <c r="G58" i="3"/>
  <c r="I58" i="1"/>
  <c r="F10" i="4"/>
  <c r="G10" i="4"/>
  <c r="H10" i="4"/>
  <c r="I9" i="1"/>
  <c r="I16" i="1"/>
  <c r="I30" i="1"/>
  <c r="I37" i="1"/>
  <c r="I51" i="1"/>
  <c r="I65" i="1"/>
  <c r="I86" i="1"/>
  <c r="E9" i="1"/>
  <c r="M9" i="1"/>
  <c r="E16" i="1"/>
  <c r="M16" i="1"/>
  <c r="E23" i="1"/>
  <c r="E30" i="1"/>
  <c r="M30" i="1"/>
  <c r="E37" i="1"/>
  <c r="M37" i="1"/>
  <c r="E51" i="1"/>
  <c r="M51" i="1"/>
  <c r="E65" i="1"/>
  <c r="M65" i="1"/>
  <c r="E86" i="1"/>
  <c r="M86" i="1"/>
  <c r="F17" i="4"/>
  <c r="G17" i="4"/>
  <c r="H17" i="4"/>
  <c r="F24" i="4"/>
  <c r="G24" i="4"/>
  <c r="H24" i="4"/>
  <c r="F31" i="4"/>
  <c r="G31" i="4"/>
  <c r="H31" i="4"/>
  <c r="F38" i="4"/>
  <c r="G38" i="4"/>
  <c r="H38" i="4"/>
  <c r="F52" i="4"/>
  <c r="G52" i="4"/>
  <c r="H52" i="4"/>
  <c r="F80" i="4"/>
  <c r="G80" i="4"/>
  <c r="H80" i="4"/>
  <c r="G87" i="4"/>
  <c r="H87" i="4"/>
  <c r="F9" i="3"/>
  <c r="F16" i="3"/>
  <c r="G16" i="3"/>
  <c r="F23" i="3"/>
  <c r="G23" i="3"/>
  <c r="F30" i="3"/>
  <c r="G30" i="3"/>
  <c r="F37" i="3"/>
  <c r="G37" i="3"/>
  <c r="F51" i="3"/>
  <c r="G51" i="3"/>
  <c r="F65" i="3"/>
  <c r="G65" i="3"/>
  <c r="F79" i="3"/>
  <c r="G79" i="3"/>
  <c r="F86" i="3"/>
  <c r="G86" i="3"/>
  <c r="G9" i="3"/>
  <c r="B10" i="2"/>
  <c r="C10" i="2"/>
  <c r="D10" i="2"/>
  <c r="E10" i="2"/>
  <c r="E23" i="2"/>
  <c r="F10" i="2"/>
  <c r="F23" i="2"/>
  <c r="H10" i="2"/>
  <c r="J10" i="2"/>
  <c r="L10" i="2"/>
  <c r="M10" i="2"/>
  <c r="M23" i="2"/>
  <c r="N10" i="2"/>
  <c r="I23" i="1"/>
  <c r="M23" i="1"/>
  <c r="K28" i="1"/>
  <c r="D31" i="2"/>
  <c r="D44" i="2"/>
  <c r="L98" i="1"/>
  <c r="M98" i="1"/>
  <c r="K98" i="1"/>
  <c r="K49" i="1"/>
  <c r="K84" i="1"/>
  <c r="I84" i="1"/>
  <c r="H37" i="1"/>
  <c r="H51" i="1"/>
  <c r="H72" i="1"/>
  <c r="H16" i="1"/>
  <c r="G42" i="1"/>
  <c r="H42" i="1"/>
  <c r="H79" i="1"/>
  <c r="H23" i="1"/>
  <c r="F56" i="1"/>
  <c r="H56" i="1"/>
  <c r="J65" i="1"/>
  <c r="F42" i="1"/>
  <c r="J42" i="1"/>
  <c r="F28" i="1"/>
  <c r="G35" i="1"/>
  <c r="H35" i="1"/>
  <c r="F84" i="1"/>
  <c r="H84" i="1"/>
  <c r="H30" i="1"/>
  <c r="J30" i="1"/>
  <c r="G84" i="1"/>
  <c r="F63" i="1"/>
  <c r="F70" i="1"/>
  <c r="G28" i="1"/>
  <c r="G63" i="1"/>
  <c r="G91" i="1"/>
  <c r="H93" i="1"/>
  <c r="F35" i="1"/>
  <c r="J35" i="1"/>
  <c r="G70" i="1"/>
  <c r="F91" i="1"/>
  <c r="J91" i="1"/>
  <c r="F50" i="4"/>
  <c r="G103" i="4"/>
  <c r="H103" i="4"/>
  <c r="G98" i="3"/>
  <c r="G49" i="3"/>
  <c r="J84" i="1"/>
  <c r="I77" i="1"/>
  <c r="G77" i="1"/>
  <c r="J72" i="1"/>
  <c r="H65" i="1"/>
  <c r="J51" i="1"/>
  <c r="I102" i="1"/>
  <c r="H44" i="1"/>
  <c r="J44" i="1"/>
  <c r="M102" i="1"/>
  <c r="F21" i="1"/>
  <c r="H9" i="1"/>
  <c r="G14" i="1"/>
  <c r="F36" i="4"/>
  <c r="G22" i="4"/>
  <c r="H22" i="4"/>
  <c r="G15" i="4"/>
  <c r="H15" i="4"/>
  <c r="G35" i="3"/>
  <c r="J52" i="1"/>
  <c r="H58" i="1"/>
  <c r="E84" i="1"/>
  <c r="M77" i="1"/>
  <c r="E70" i="1"/>
  <c r="E42" i="1"/>
  <c r="M35" i="1"/>
  <c r="I35" i="1"/>
  <c r="I21" i="1"/>
  <c r="J14" i="1"/>
  <c r="E14" i="1"/>
  <c r="I14" i="1"/>
  <c r="H44" i="2"/>
  <c r="F103" i="4"/>
  <c r="G92" i="4"/>
  <c r="H92" i="4"/>
  <c r="F78" i="4"/>
  <c r="D101" i="4"/>
  <c r="F71" i="4"/>
  <c r="F64" i="4"/>
  <c r="G64" i="4"/>
  <c r="H64" i="4"/>
  <c r="G57" i="4"/>
  <c r="H57" i="4"/>
  <c r="F43" i="4"/>
  <c r="G43" i="4"/>
  <c r="H43" i="4"/>
  <c r="E101" i="4"/>
  <c r="F22" i="4"/>
  <c r="C101" i="4"/>
  <c r="F15" i="4"/>
  <c r="G64" i="5"/>
  <c r="H64" i="5"/>
  <c r="G103" i="5"/>
  <c r="H103" i="5"/>
  <c r="C101" i="5"/>
  <c r="D101" i="5"/>
  <c r="G101" i="5"/>
  <c r="H101" i="5"/>
  <c r="E101" i="5"/>
  <c r="G91" i="3"/>
  <c r="F77" i="3"/>
  <c r="G70" i="3"/>
  <c r="F63" i="3"/>
  <c r="G42" i="3"/>
  <c r="E100" i="3"/>
  <c r="G28" i="3"/>
  <c r="C100" i="3"/>
  <c r="D100" i="3"/>
  <c r="G21" i="3"/>
  <c r="F14" i="3"/>
  <c r="J53" i="1"/>
  <c r="E91" i="1"/>
  <c r="H91" i="1"/>
  <c r="F98" i="1"/>
  <c r="J95" i="1"/>
  <c r="O34" i="2"/>
  <c r="G44" i="2"/>
  <c r="O13" i="2"/>
  <c r="D23" i="2"/>
  <c r="H23" i="2"/>
  <c r="H98" i="1"/>
  <c r="J98" i="1"/>
  <c r="I98" i="1"/>
  <c r="M91" i="1"/>
  <c r="J77" i="1"/>
  <c r="H77" i="1"/>
  <c r="J70" i="1"/>
  <c r="H70" i="1"/>
  <c r="M63" i="1"/>
  <c r="J63" i="1"/>
  <c r="H63" i="1"/>
  <c r="E63" i="1"/>
  <c r="I63" i="1"/>
  <c r="M56" i="1"/>
  <c r="J56" i="1"/>
  <c r="I56" i="1"/>
  <c r="E56" i="1"/>
  <c r="M49" i="1"/>
  <c r="J49" i="1"/>
  <c r="H49" i="1"/>
  <c r="E49" i="1"/>
  <c r="I49" i="1"/>
  <c r="I42" i="1"/>
  <c r="E35" i="1"/>
  <c r="M28" i="1"/>
  <c r="J28" i="1"/>
  <c r="I28" i="1"/>
  <c r="F100" i="1"/>
  <c r="H28" i="1"/>
  <c r="D100" i="1"/>
  <c r="M21" i="1"/>
  <c r="K100" i="1"/>
  <c r="G100" i="1"/>
  <c r="J21" i="1"/>
  <c r="C100" i="1"/>
  <c r="L100" i="1"/>
  <c r="H14" i="1"/>
  <c r="K23" i="2"/>
  <c r="B44" i="2"/>
  <c r="L44" i="2"/>
  <c r="J23" i="2"/>
  <c r="M44" i="2"/>
  <c r="G23" i="2"/>
  <c r="N23" i="2"/>
  <c r="B23" i="2"/>
  <c r="E44" i="2"/>
  <c r="C23" i="2"/>
  <c r="N44" i="2"/>
  <c r="O12" i="2"/>
  <c r="O33" i="2"/>
  <c r="L23" i="2"/>
  <c r="C44" i="2"/>
  <c r="K44" i="2"/>
  <c r="O11" i="2"/>
  <c r="O10" i="2"/>
  <c r="O32" i="2"/>
  <c r="O31" i="2"/>
  <c r="G101" i="4"/>
  <c r="H101" i="4"/>
  <c r="F101" i="4"/>
  <c r="F100" i="3"/>
  <c r="G100" i="3"/>
  <c r="M100" i="1"/>
  <c r="H100" i="1"/>
  <c r="E100" i="1"/>
  <c r="I100" i="1"/>
  <c r="J100" i="1"/>
  <c r="O23" i="2"/>
  <c r="O44" i="2"/>
</calcChain>
</file>

<file path=xl/sharedStrings.xml><?xml version="1.0" encoding="utf-8"?>
<sst xmlns="http://schemas.openxmlformats.org/spreadsheetml/2006/main" count="241" uniqueCount="77">
  <si>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</si>
  <si>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</si>
  <si>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</si>
  <si>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</si>
  <si>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</si>
  <si>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</si>
  <si>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</si>
  <si>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</si>
  <si>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</si>
  <si>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</si>
  <si>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</si>
  <si>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</si>
  <si>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</si>
  <si>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</si>
  <si>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</si>
  <si>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</si>
  <si>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</si>
  <si>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</si>
  <si>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</si>
  <si>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</si>
  <si>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</si>
  <si>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</si>
  <si>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</si>
  <si>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</si>
  <si>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</si>
  <si>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</si>
  <si>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</si>
  <si>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</si>
  <si>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</si>
  <si>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</si>
  <si>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</si>
  <si>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</si>
  <si>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</si>
  <si>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</si>
  <si>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</si>
  <si>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</si>
  <si>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</si>
  <si>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</si>
  <si>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</si>
  <si>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</si>
  <si>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</si>
  <si>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</si>
  <si>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</si>
  <si>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</si>
  <si>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</si>
  <si>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</si>
  <si>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</si>
  <si>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</si>
  <si>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</si>
  <si>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</si>
  <si>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</si>
  <si>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</si>
  <si>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</si>
  <si>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</si>
  <si>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</si>
  <si>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</si>
  <si>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</si>
  <si>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</si>
  <si>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</si>
  <si>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</si>
  <si>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</si>
  <si>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</si>
  <si>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</si>
  <si>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</si>
  <si>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</si>
  <si>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</si>
  <si>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</si>
  <si>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</si>
  <si>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</si>
  <si>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</si>
  <si>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</si>
  <si>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OCTOBER 31, 2020</t>
  </si>
  <si>
    <t>(as reported on the tax remittal database dtd 11/9/20)</t>
  </si>
  <si>
    <t>FOR THE MONTH ENDED:   OCTOBER 31, 2020</t>
  </si>
  <si>
    <t>THRU MONTH ENDED:   OCTOBER 31, 2020</t>
  </si>
  <si>
    <t>(as reported on the tax remittal database as of 11/9/20)</t>
  </si>
  <si>
    <t>THRU MONTH ENDED:     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</si>
</sst>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74"/>
  <sheetViews>
    <sheetView tabSelected="1" showOutlineSymbols="0" view="pageBreakPreview" zoomScale="60" zoomScaleNormal="100" workbookViewId="0">
      <selection activeCell="Q85" sqref="Q8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>(+C9-D9)/D9</f>
        <v>-0.31219893433253354</v>
      </c>
      <c r="F9" s="21">
        <f>+C9-87391</f>
        <v>100942</v>
      </c>
      <c r="G9" s="21">
        <f>+D9-121652</f>
        <v>152167</v>
      </c>
      <c r="H9" s="23">
        <f>(+F9-G9)/G9</f>
        <v>-0.33663672149677659</v>
      </c>
      <c r="I9" s="24">
        <f>K9/C9</f>
        <v>72.293304359830728</v>
      </c>
      <c r="J9" s="24">
        <f>K9/F9</f>
        <v>134.88156456182759</v>
      </c>
      <c r="K9" s="21">
        <v>13615214.890000001</v>
      </c>
      <c r="L9" s="21">
        <v>14592883.67</v>
      </c>
      <c r="M9" s="25">
        <f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>(+C10-D10)/D10</f>
        <v>-0.30249205431956083</v>
      </c>
      <c r="F10" s="21">
        <f>+C10-88951</f>
        <v>104175</v>
      </c>
      <c r="G10" s="21">
        <f>+D10-123357</f>
        <v>153523</v>
      </c>
      <c r="H10" s="23">
        <f>(+F10-G10)/G10</f>
        <v>-0.32143717879405692</v>
      </c>
      <c r="I10" s="24">
        <f>K10/C10</f>
        <v>65.366431966695316</v>
      </c>
      <c r="J10" s="24">
        <f>K10/F10</f>
        <v>121.18029796016317</v>
      </c>
      <c r="K10" s="21">
        <v>12623957.539999999</v>
      </c>
      <c r="L10" s="21">
        <v>14502049.98</v>
      </c>
      <c r="M10" s="25">
        <f>(+K10-L10)/L10</f>
        <v>-0.12950530735931179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>(+C11-D11)/D11</f>
        <v>-0.22546333475049996</v>
      </c>
      <c r="F11" s="21">
        <f>+C11-92272</f>
        <v>104482</v>
      </c>
      <c r="G11" s="21">
        <f>+D11-112781</f>
        <v>141247</v>
      </c>
      <c r="H11" s="23">
        <f>(+F11-G11)/G11</f>
        <v>-0.26028871409658261</v>
      </c>
      <c r="I11" s="24">
        <f>K11/C11</f>
        <v>63.171506500503163</v>
      </c>
      <c r="J11" s="24">
        <f>K11/F11</f>
        <v>118.96064958557454</v>
      </c>
      <c r="K11" s="21">
        <v>12429246.59</v>
      </c>
      <c r="L11" s="21">
        <v>12773890.380000001</v>
      </c>
      <c r="M11" s="25">
        <f>(+K11-L11)/L11</f>
        <v>-2.6980330952237352E-2</v>
      </c>
      <c r="N11" s="10"/>
      <c r="R11" s="2"/>
    </row>
    <row r="12" spans="1:18" ht="15.75" x14ac:dyDescent="0.25">
      <c r="A12" s="19"/>
      <c r="B12" s="20">
        <f>DATE(2020,10,1)</f>
        <v>44105</v>
      </c>
      <c r="C12" s="21">
        <v>203827</v>
      </c>
      <c r="D12" s="22">
        <v>250952</v>
      </c>
      <c r="E12" s="23">
        <f>(+C12-D12)/D12</f>
        <v>-0.1877849150435143</v>
      </c>
      <c r="F12" s="21">
        <f>+C12-94349</f>
        <v>109478</v>
      </c>
      <c r="G12" s="21">
        <f>+D12-113545</f>
        <v>137407</v>
      </c>
      <c r="H12" s="23">
        <f>(+F12-G12)/G12</f>
        <v>-0.20325747596556215</v>
      </c>
      <c r="I12" s="24">
        <f>K12/C12</f>
        <v>63.424137332149328</v>
      </c>
      <c r="J12" s="24">
        <f>K12/F12</f>
        <v>118.08355687900766</v>
      </c>
      <c r="K12" s="21">
        <v>12927551.640000001</v>
      </c>
      <c r="L12" s="21">
        <v>13374556.41</v>
      </c>
      <c r="M12" s="25">
        <f>(+K12-L12)/L12</f>
        <v>-3.3422025844967784E-2</v>
      </c>
      <c r="N12" s="10"/>
      <c r="R12" s="2"/>
    </row>
    <row r="13" spans="1:18" ht="15.75" customHeight="1" thickBot="1" x14ac:dyDescent="0.3">
      <c r="A13" s="19"/>
      <c r="B13" s="20"/>
      <c r="C13" s="21"/>
      <c r="D13" s="21"/>
      <c r="E13" s="23"/>
      <c r="F13" s="21"/>
      <c r="G13" s="21"/>
      <c r="H13" s="23"/>
      <c r="I13" s="24"/>
      <c r="J13" s="24"/>
      <c r="K13" s="21"/>
      <c r="L13" s="21"/>
      <c r="M13" s="25"/>
      <c r="N13" s="10"/>
      <c r="R13" s="2"/>
    </row>
    <row r="14" spans="1:18" ht="17.25" thickTop="1" thickBot="1" x14ac:dyDescent="0.3">
      <c r="A14" s="26" t="s">
        <v>14</v>
      </c>
      <c r="B14" s="27"/>
      <c r="C14" s="28">
        <f>SUM(C9:C13)</f>
        <v>782040</v>
      </c>
      <c r="D14" s="28">
        <f>SUM(D9:D13)</f>
        <v>1055679</v>
      </c>
      <c r="E14" s="279">
        <f>(+C14-D14)/D14</f>
        <v>-0.25920663383471682</v>
      </c>
      <c r="F14" s="28">
        <f>SUM(F9:F13)</f>
        <v>419077</v>
      </c>
      <c r="G14" s="28">
        <f>SUM(G9:G13)</f>
        <v>584344</v>
      </c>
      <c r="H14" s="30">
        <f>(+F14-G14)/G14</f>
        <v>-0.2828248429007571</v>
      </c>
      <c r="I14" s="31">
        <f>K14/C14</f>
        <v>65.976127384788498</v>
      </c>
      <c r="J14" s="31">
        <f>K14/F14</f>
        <v>123.1181159071006</v>
      </c>
      <c r="K14" s="28">
        <f>SUM(K9:K13)</f>
        <v>51595970.659999996</v>
      </c>
      <c r="L14" s="28">
        <f>SUM(L9:L13)</f>
        <v>55243380.439999998</v>
      </c>
      <c r="M14" s="32">
        <f>(+K14-L14)/L14</f>
        <v>-6.6024377055663053E-2</v>
      </c>
      <c r="N14" s="10"/>
      <c r="R14" s="2"/>
    </row>
    <row r="15" spans="1:18" ht="15.75" customHeight="1" thickTop="1" x14ac:dyDescent="0.25">
      <c r="A15" s="15"/>
      <c r="B15" s="16"/>
      <c r="C15" s="16"/>
      <c r="D15" s="16"/>
      <c r="E15" s="17"/>
      <c r="F15" s="16"/>
      <c r="G15" s="16"/>
      <c r="H15" s="17"/>
      <c r="I15" s="16"/>
      <c r="J15" s="16"/>
      <c r="K15" s="195"/>
      <c r="L15" s="195"/>
      <c r="M15" s="18"/>
      <c r="N15" s="10"/>
      <c r="R15" s="2"/>
    </row>
    <row r="16" spans="1:18" ht="15.75" x14ac:dyDescent="0.25">
      <c r="A16" s="19" t="s">
        <v>15</v>
      </c>
      <c r="B16" s="20">
        <f>DATE(2020,7,1)</f>
        <v>44013</v>
      </c>
      <c r="C16" s="21">
        <v>79471</v>
      </c>
      <c r="D16" s="21">
        <v>128877</v>
      </c>
      <c r="E16" s="23">
        <f>(+C16-D16)/D16</f>
        <v>-0.38335777524306119</v>
      </c>
      <c r="F16" s="21">
        <f>+C16-38596</f>
        <v>40875</v>
      </c>
      <c r="G16" s="21">
        <f>+D16-61988</f>
        <v>66889</v>
      </c>
      <c r="H16" s="23">
        <f>(+F16-G16)/G16</f>
        <v>-0.38891297522761592</v>
      </c>
      <c r="I16" s="24">
        <f>K16/C16</f>
        <v>70.633539655975142</v>
      </c>
      <c r="J16" s="24">
        <f>K16/F16</f>
        <v>137.32888146788991</v>
      </c>
      <c r="K16" s="21">
        <v>5613318.0300000003</v>
      </c>
      <c r="L16" s="21">
        <v>6965970.8300000001</v>
      </c>
      <c r="M16" s="25">
        <f>(+K16-L16)/L16</f>
        <v>-0.19418008386922858</v>
      </c>
      <c r="N16" s="10"/>
      <c r="R16" s="2"/>
    </row>
    <row r="17" spans="1:18" ht="15.75" x14ac:dyDescent="0.25">
      <c r="A17" s="19"/>
      <c r="B17" s="20">
        <f>DATE(2020,8,1)</f>
        <v>44044</v>
      </c>
      <c r="C17" s="21">
        <v>88234</v>
      </c>
      <c r="D17" s="21">
        <v>130133</v>
      </c>
      <c r="E17" s="23">
        <f>(+C17-D17)/D17</f>
        <v>-0.32197059930993677</v>
      </c>
      <c r="F17" s="21">
        <f>+C17-41802</f>
        <v>46432</v>
      </c>
      <c r="G17" s="21">
        <f>+D17-62200</f>
        <v>67933</v>
      </c>
      <c r="H17" s="23">
        <f>(+F17-G17)/G17</f>
        <v>-0.31650302503937705</v>
      </c>
      <c r="I17" s="24">
        <f>K17/C17</f>
        <v>67.939255049074063</v>
      </c>
      <c r="J17" s="24">
        <f>K17/F17</f>
        <v>129.10389881977946</v>
      </c>
      <c r="K17" s="21">
        <v>5994552.2300000004</v>
      </c>
      <c r="L17" s="21">
        <v>6966409.8499999996</v>
      </c>
      <c r="M17" s="25">
        <f>(+K17-L17)/L17</f>
        <v>-0.13950623648707652</v>
      </c>
      <c r="N17" s="10"/>
      <c r="R17" s="2"/>
    </row>
    <row r="18" spans="1:18" ht="15.75" x14ac:dyDescent="0.25">
      <c r="A18" s="19"/>
      <c r="B18" s="20">
        <f>DATE(2020,9,1)</f>
        <v>44075</v>
      </c>
      <c r="C18" s="21">
        <v>90948</v>
      </c>
      <c r="D18" s="21">
        <v>118251</v>
      </c>
      <c r="E18" s="23">
        <f>(+C18-D18)/D18</f>
        <v>-0.23089022502980946</v>
      </c>
      <c r="F18" s="21">
        <f>+C18-42310</f>
        <v>48638</v>
      </c>
      <c r="G18" s="21">
        <f>+D18-55723</f>
        <v>62528</v>
      </c>
      <c r="H18" s="23">
        <f>(+F18-G18)/G18</f>
        <v>-0.22214048106448311</v>
      </c>
      <c r="I18" s="24">
        <f>K18/C18</f>
        <v>64.968384791309319</v>
      </c>
      <c r="J18" s="24">
        <f>K18/F18</f>
        <v>121.48412064640816</v>
      </c>
      <c r="K18" s="21">
        <v>5908744.6600000001</v>
      </c>
      <c r="L18" s="21">
        <v>6414760.5999999996</v>
      </c>
      <c r="M18" s="25">
        <f>(+K18-L18)/L18</f>
        <v>-7.8883059174491954E-2</v>
      </c>
      <c r="N18" s="10"/>
      <c r="R18" s="2"/>
    </row>
    <row r="19" spans="1:18" ht="15.75" x14ac:dyDescent="0.25">
      <c r="A19" s="19"/>
      <c r="B19" s="20">
        <f>DATE(2020,10,1)</f>
        <v>44105</v>
      </c>
      <c r="C19" s="21">
        <v>87099</v>
      </c>
      <c r="D19" s="21">
        <v>113052</v>
      </c>
      <c r="E19" s="23">
        <f>(+C19-D19)/D19</f>
        <v>-0.22956692495488801</v>
      </c>
      <c r="F19" s="21">
        <f>+C19-41806</f>
        <v>45293</v>
      </c>
      <c r="G19" s="21">
        <f>+D19-54189</f>
        <v>58863</v>
      </c>
      <c r="H19" s="23">
        <f>(+F19-G19)/G19</f>
        <v>-0.23053531080644887</v>
      </c>
      <c r="I19" s="24">
        <f>K19/C19</f>
        <v>65.65413942754796</v>
      </c>
      <c r="J19" s="24">
        <f>K19/F19</f>
        <v>126.25372331265316</v>
      </c>
      <c r="K19" s="21">
        <v>5718409.8899999997</v>
      </c>
      <c r="L19" s="21">
        <v>6049114.7400000002</v>
      </c>
      <c r="M19" s="25">
        <f>(+K19-L19)/L19</f>
        <v>-5.4669958202842844E-2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customHeight="1" thickTop="1" thickBot="1" x14ac:dyDescent="0.3">
      <c r="A21" s="26" t="s">
        <v>14</v>
      </c>
      <c r="B21" s="27"/>
      <c r="C21" s="28">
        <f>SUM(C16:C20)</f>
        <v>345752</v>
      </c>
      <c r="D21" s="28">
        <f>SUM(D16:D20)</f>
        <v>490313</v>
      </c>
      <c r="E21" s="279">
        <f>(+C21-D21)/D21</f>
        <v>-0.29483411616661193</v>
      </c>
      <c r="F21" s="28">
        <f>SUM(F16:F20)</f>
        <v>181238</v>
      </c>
      <c r="G21" s="28">
        <f>SUM(G16:G20)</f>
        <v>256213</v>
      </c>
      <c r="H21" s="30">
        <f>(+F21-G21)/G21</f>
        <v>-0.29262761842685581</v>
      </c>
      <c r="I21" s="31">
        <f>K21/C21</f>
        <v>67.201418386589239</v>
      </c>
      <c r="J21" s="31">
        <f>K21/F21</f>
        <v>128.20172816958916</v>
      </c>
      <c r="K21" s="28">
        <f>SUM(K16:K20)</f>
        <v>23235024.810000002</v>
      </c>
      <c r="L21" s="28">
        <f>SUM(L16:L20)</f>
        <v>26396256.020000003</v>
      </c>
      <c r="M21" s="32">
        <f>(+K21-L21)/L21</f>
        <v>-0.11976059057787547</v>
      </c>
      <c r="N21" s="10"/>
      <c r="R21" s="2"/>
    </row>
    <row r="22" spans="1:18" ht="15.75" customHeight="1" thickTop="1" x14ac:dyDescent="0.25">
      <c r="A22" s="33"/>
      <c r="B22" s="34"/>
      <c r="C22" s="35"/>
      <c r="D22" s="35"/>
      <c r="E22" s="29"/>
      <c r="F22" s="35"/>
      <c r="G22" s="35"/>
      <c r="H22" s="29"/>
      <c r="I22" s="36"/>
      <c r="J22" s="36"/>
      <c r="K22" s="35"/>
      <c r="L22" s="35"/>
      <c r="M22" s="37"/>
      <c r="N22" s="10"/>
      <c r="R22" s="2"/>
    </row>
    <row r="23" spans="1:18" ht="15.75" customHeight="1" x14ac:dyDescent="0.25">
      <c r="A23" s="19" t="s">
        <v>65</v>
      </c>
      <c r="B23" s="20">
        <f>DATE(2020,7,1)</f>
        <v>44013</v>
      </c>
      <c r="C23" s="21">
        <v>53105</v>
      </c>
      <c r="D23" s="21">
        <v>66822</v>
      </c>
      <c r="E23" s="23">
        <f>(+C23-D23)/D23</f>
        <v>-0.20527670527670527</v>
      </c>
      <c r="F23" s="21">
        <f>+C23-28880</f>
        <v>24225</v>
      </c>
      <c r="G23" s="21">
        <f>+D23-35692</f>
        <v>31130</v>
      </c>
      <c r="H23" s="23">
        <f>(+F23-G23)/G23</f>
        <v>-0.22181175714744619</v>
      </c>
      <c r="I23" s="24">
        <f>K23/C23</f>
        <v>65.300001883061867</v>
      </c>
      <c r="J23" s="24">
        <f>K23/F23</f>
        <v>143.14784726522188</v>
      </c>
      <c r="K23" s="21">
        <v>3467756.6</v>
      </c>
      <c r="L23" s="21">
        <v>3260452.77</v>
      </c>
      <c r="M23" s="25">
        <f>(+K23-L23)/L23</f>
        <v>6.3581301317240088E-2</v>
      </c>
      <c r="N23" s="10"/>
      <c r="R23" s="2"/>
    </row>
    <row r="24" spans="1:18" ht="15.75" customHeight="1" x14ac:dyDescent="0.25">
      <c r="A24" s="19"/>
      <c r="B24" s="20">
        <f>DATE(2020,8,1)</f>
        <v>44044</v>
      </c>
      <c r="C24" s="21">
        <v>52610</v>
      </c>
      <c r="D24" s="21">
        <v>69025</v>
      </c>
      <c r="E24" s="23">
        <f>(+C24-D24)/D24</f>
        <v>-0.23781238681637087</v>
      </c>
      <c r="F24" s="21">
        <f>+C24-28661</f>
        <v>23949</v>
      </c>
      <c r="G24" s="21">
        <f>+D24-37871</f>
        <v>31154</v>
      </c>
      <c r="H24" s="23">
        <f>(+F24-G24)/G24</f>
        <v>-0.2312704628619118</v>
      </c>
      <c r="I24" s="24">
        <f>K24/C24</f>
        <v>62.65578787302794</v>
      </c>
      <c r="J24" s="24">
        <f>K24/F24</f>
        <v>137.6391916155163</v>
      </c>
      <c r="K24" s="21">
        <v>3296321</v>
      </c>
      <c r="L24" s="21">
        <v>3222586.84</v>
      </c>
      <c r="M24" s="25">
        <f>(+K24-L24)/L24</f>
        <v>2.2880426086516307E-2</v>
      </c>
      <c r="N24" s="10"/>
      <c r="R24" s="2"/>
    </row>
    <row r="25" spans="1:18" ht="15.75" customHeight="1" x14ac:dyDescent="0.25">
      <c r="A25" s="19"/>
      <c r="B25" s="20">
        <f>DATE(2020,9,1)</f>
        <v>44075</v>
      </c>
      <c r="C25" s="21">
        <v>50852</v>
      </c>
      <c r="D25" s="21">
        <v>65573</v>
      </c>
      <c r="E25" s="23">
        <f>(+C25-D25)/D25</f>
        <v>-0.22449788785018224</v>
      </c>
      <c r="F25" s="21">
        <f>+C25-27986</f>
        <v>22866</v>
      </c>
      <c r="G25" s="21">
        <f>+D25-35939</f>
        <v>29634</v>
      </c>
      <c r="H25" s="23">
        <f>(+F25-G25)/G25</f>
        <v>-0.22838631301882972</v>
      </c>
      <c r="I25" s="24">
        <f>K25/C25</f>
        <v>60.968254542594195</v>
      </c>
      <c r="J25" s="24">
        <f>K25/F25</f>
        <v>135.58810810810812</v>
      </c>
      <c r="K25" s="21">
        <v>3100357.68</v>
      </c>
      <c r="L25" s="21">
        <v>3112007.99</v>
      </c>
      <c r="M25" s="25">
        <f>(+K25-L25)/L25</f>
        <v>-3.743663267394135E-3</v>
      </c>
      <c r="N25" s="10"/>
      <c r="R25" s="2"/>
    </row>
    <row r="26" spans="1:18" ht="15.75" customHeight="1" x14ac:dyDescent="0.25">
      <c r="A26" s="19"/>
      <c r="B26" s="20">
        <f>DATE(2020,10,1)</f>
        <v>44105</v>
      </c>
      <c r="C26" s="21">
        <v>51638</v>
      </c>
      <c r="D26" s="21">
        <v>63039</v>
      </c>
      <c r="E26" s="23">
        <f>(+C26-D26)/D26</f>
        <v>-0.18085629530925301</v>
      </c>
      <c r="F26" s="21">
        <f>+C26-28439</f>
        <v>23199</v>
      </c>
      <c r="G26" s="21">
        <f>+D26-34568</f>
        <v>28471</v>
      </c>
      <c r="H26" s="23">
        <f>(+F26-G26)/G26</f>
        <v>-0.18517087562783183</v>
      </c>
      <c r="I26" s="24">
        <f>K26/C26</f>
        <v>65.424530965567996</v>
      </c>
      <c r="J26" s="24">
        <f>K26/F26</f>
        <v>145.62661881977672</v>
      </c>
      <c r="K26" s="21">
        <v>3378391.93</v>
      </c>
      <c r="L26" s="21">
        <v>3125609.18</v>
      </c>
      <c r="M26" s="25">
        <f>(+K26-L26)/L26</f>
        <v>8.0874714477259108E-2</v>
      </c>
      <c r="N26" s="10"/>
      <c r="R26" s="2"/>
    </row>
    <row r="27" spans="1:18" ht="15.75" customHeight="1" thickBot="1" x14ac:dyDescent="0.25">
      <c r="A27" s="38"/>
      <c r="B27" s="20"/>
      <c r="C27" s="21"/>
      <c r="D27" s="21"/>
      <c r="E27" s="23"/>
      <c r="F27" s="21"/>
      <c r="G27" s="21"/>
      <c r="H27" s="23"/>
      <c r="I27" s="24"/>
      <c r="J27" s="24"/>
      <c r="K27" s="21"/>
      <c r="L27" s="21"/>
      <c r="M27" s="25"/>
      <c r="N27" s="10"/>
      <c r="R27" s="2"/>
    </row>
    <row r="28" spans="1:18" ht="17.25" customHeight="1" thickTop="1" thickBot="1" x14ac:dyDescent="0.3">
      <c r="A28" s="39" t="s">
        <v>14</v>
      </c>
      <c r="B28" s="40"/>
      <c r="C28" s="41">
        <f>SUM(C23:C27)</f>
        <v>208205</v>
      </c>
      <c r="D28" s="41">
        <f>SUM(D23:D27)</f>
        <v>264459</v>
      </c>
      <c r="E28" s="280">
        <f>(+C28-D28)/D28</f>
        <v>-0.2127135019038868</v>
      </c>
      <c r="F28" s="41">
        <f>SUM(F23:F27)</f>
        <v>94239</v>
      </c>
      <c r="G28" s="41">
        <f>SUM(G23:G27)</f>
        <v>120389</v>
      </c>
      <c r="H28" s="42">
        <f>(+F28-G28)/G28</f>
        <v>-0.2172125360290392</v>
      </c>
      <c r="I28" s="43">
        <f>K28/C28</f>
        <v>63.604751134698972</v>
      </c>
      <c r="J28" s="43">
        <f>K28/F28</f>
        <v>140.52385116565327</v>
      </c>
      <c r="K28" s="41">
        <f>SUM(K23:K27)</f>
        <v>13242827.209999999</v>
      </c>
      <c r="L28" s="41">
        <f>SUM(L23:L27)</f>
        <v>12720656.779999999</v>
      </c>
      <c r="M28" s="44">
        <f>(+K28-L28)/L28</f>
        <v>4.1049014923583191E-2</v>
      </c>
      <c r="N28" s="10"/>
      <c r="R28" s="2"/>
    </row>
    <row r="29" spans="1:18" ht="15.75" customHeight="1" thickTop="1" x14ac:dyDescent="0.2">
      <c r="A29" s="38"/>
      <c r="B29" s="45"/>
      <c r="C29" s="21"/>
      <c r="D29" s="21"/>
      <c r="E29" s="23"/>
      <c r="F29" s="21"/>
      <c r="G29" s="21"/>
      <c r="H29" s="23"/>
      <c r="I29" s="24"/>
      <c r="J29" s="24"/>
      <c r="K29" s="21"/>
      <c r="L29" s="21"/>
      <c r="M29" s="25"/>
      <c r="N29" s="10"/>
      <c r="R29" s="2"/>
    </row>
    <row r="30" spans="1:18" ht="15.75" customHeight="1" x14ac:dyDescent="0.25">
      <c r="A30" s="177" t="s">
        <v>59</v>
      </c>
      <c r="B30" s="20">
        <f>DATE(2020,7,1)</f>
        <v>44013</v>
      </c>
      <c r="C30" s="21">
        <v>226236</v>
      </c>
      <c r="D30" s="21">
        <v>438217</v>
      </c>
      <c r="E30" s="23">
        <f>(+C30-D30)/D30</f>
        <v>-0.4837352270678682</v>
      </c>
      <c r="F30" s="21">
        <f>+C30-121061</f>
        <v>105175</v>
      </c>
      <c r="G30" s="21">
        <f>+D30-221917</f>
        <v>216300</v>
      </c>
      <c r="H30" s="23">
        <f>(+F30-G30)/G30</f>
        <v>-0.5137540453074434</v>
      </c>
      <c r="I30" s="24">
        <f>K30/C30</f>
        <v>64.441251392351347</v>
      </c>
      <c r="J30" s="24">
        <f>K30/F30</f>
        <v>138.615934870454</v>
      </c>
      <c r="K30" s="21">
        <v>14578930.949999999</v>
      </c>
      <c r="L30" s="21">
        <v>20447041.25</v>
      </c>
      <c r="M30" s="25">
        <f>(+K30-L30)/L30</f>
        <v>-0.28699068135346972</v>
      </c>
      <c r="N30" s="10"/>
      <c r="R30" s="2"/>
    </row>
    <row r="31" spans="1:18" ht="15.75" customHeight="1" x14ac:dyDescent="0.25">
      <c r="A31" s="177"/>
      <c r="B31" s="20">
        <f>DATE(2020,8,1)</f>
        <v>44044</v>
      </c>
      <c r="C31" s="21">
        <v>248866</v>
      </c>
      <c r="D31" s="21">
        <v>437029</v>
      </c>
      <c r="E31" s="23">
        <f>(+C31-D31)/D31</f>
        <v>-0.43055037537554713</v>
      </c>
      <c r="F31" s="21">
        <f>+C31-132898</f>
        <v>115968</v>
      </c>
      <c r="G31" s="21">
        <f>+D31-215022</f>
        <v>222007</v>
      </c>
      <c r="H31" s="23">
        <f>(+F31-G31)/G31</f>
        <v>-0.47763809249257905</v>
      </c>
      <c r="I31" s="24">
        <f>K31/C31</f>
        <v>60.671518688772274</v>
      </c>
      <c r="J31" s="24">
        <f>K31/F31</f>
        <v>130.20038433016003</v>
      </c>
      <c r="K31" s="21">
        <v>15099078.17</v>
      </c>
      <c r="L31" s="21">
        <v>21336857.579999998</v>
      </c>
      <c r="M31" s="25">
        <f>(+K31-L31)/L31</f>
        <v>-0.29234761429194478</v>
      </c>
      <c r="N31" s="10"/>
      <c r="R31" s="2"/>
    </row>
    <row r="32" spans="1:18" ht="15.75" customHeight="1" x14ac:dyDescent="0.25">
      <c r="A32" s="177"/>
      <c r="B32" s="20">
        <f>DATE(2020,9,1)</f>
        <v>44075</v>
      </c>
      <c r="C32" s="21">
        <v>249571</v>
      </c>
      <c r="D32" s="21">
        <v>403849</v>
      </c>
      <c r="E32" s="23">
        <f>(+C32-D32)/D32</f>
        <v>-0.38201902196117854</v>
      </c>
      <c r="F32" s="21">
        <f>+C32-130815</f>
        <v>118756</v>
      </c>
      <c r="G32" s="21">
        <f>+D32-198275</f>
        <v>205574</v>
      </c>
      <c r="H32" s="23">
        <f>(+F32-G32)/G32</f>
        <v>-0.42231994318347649</v>
      </c>
      <c r="I32" s="24">
        <f>K32/C32</f>
        <v>59.832789787274962</v>
      </c>
      <c r="J32" s="24">
        <f>K32/F32</f>
        <v>125.74126090471218</v>
      </c>
      <c r="K32" s="21">
        <v>14932529.18</v>
      </c>
      <c r="L32" s="21">
        <v>18932128.91</v>
      </c>
      <c r="M32" s="25">
        <f>(+K32-L32)/L32</f>
        <v>-0.21125990368084813</v>
      </c>
      <c r="N32" s="10"/>
      <c r="R32" s="2"/>
    </row>
    <row r="33" spans="1:18" ht="15.75" customHeight="1" x14ac:dyDescent="0.25">
      <c r="A33" s="177"/>
      <c r="B33" s="20">
        <f>DATE(2020,10,1)</f>
        <v>44105</v>
      </c>
      <c r="C33" s="21">
        <v>272084</v>
      </c>
      <c r="D33" s="21">
        <v>396586</v>
      </c>
      <c r="E33" s="23">
        <f>(+C33-D33)/D33</f>
        <v>-0.3139344303631495</v>
      </c>
      <c r="F33" s="21">
        <f>+C33-143559</f>
        <v>128525</v>
      </c>
      <c r="G33" s="21">
        <f>+D33-195500</f>
        <v>201086</v>
      </c>
      <c r="H33" s="23">
        <f>(+F33-G33)/G33</f>
        <v>-0.36084560834667756</v>
      </c>
      <c r="I33" s="24">
        <f>K33/C33</f>
        <v>58.369290954264123</v>
      </c>
      <c r="J33" s="24">
        <f>K33/F33</f>
        <v>123.5662334954289</v>
      </c>
      <c r="K33" s="21">
        <v>15881350.16</v>
      </c>
      <c r="L33" s="21">
        <v>19033136.550000001</v>
      </c>
      <c r="M33" s="25">
        <f>(+K33-L33)/L33</f>
        <v>-0.16559469227367049</v>
      </c>
      <c r="N33" s="10"/>
      <c r="R33" s="2"/>
    </row>
    <row r="34" spans="1:18" ht="15.75" thickBot="1" x14ac:dyDescent="0.25">
      <c r="A34" s="38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thickTop="1" thickBot="1" x14ac:dyDescent="0.3">
      <c r="A35" s="39" t="s">
        <v>14</v>
      </c>
      <c r="B35" s="40"/>
      <c r="C35" s="41">
        <f>SUM(C30:C34)</f>
        <v>996757</v>
      </c>
      <c r="D35" s="41">
        <f>SUM(D30:D34)</f>
        <v>1675681</v>
      </c>
      <c r="E35" s="280">
        <f>(+C35-D35)/D35</f>
        <v>-0.40516303520777525</v>
      </c>
      <c r="F35" s="41">
        <f>SUM(F30:F34)</f>
        <v>468424</v>
      </c>
      <c r="G35" s="41">
        <f>SUM(G30:G34)</f>
        <v>844967</v>
      </c>
      <c r="H35" s="42">
        <f>(+F35-G35)/G35</f>
        <v>-0.44563042106969858</v>
      </c>
      <c r="I35" s="43">
        <f>K35/C35</f>
        <v>60.688701920327617</v>
      </c>
      <c r="J35" s="43">
        <f>K35/F35</f>
        <v>129.13917403890491</v>
      </c>
      <c r="K35" s="41">
        <f>SUM(K30:K34)</f>
        <v>60491888.459999993</v>
      </c>
      <c r="L35" s="41">
        <f>SUM(L30:L34)</f>
        <v>79749164.289999992</v>
      </c>
      <c r="M35" s="44">
        <f>(+K35-L35)/L35</f>
        <v>-0.2414730737487456</v>
      </c>
      <c r="N35" s="10"/>
      <c r="R35" s="2"/>
    </row>
    <row r="36" spans="1:18" ht="15.75" thickTop="1" x14ac:dyDescent="0.2">
      <c r="A36" s="38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x14ac:dyDescent="0.25">
      <c r="A37" s="19" t="s">
        <v>63</v>
      </c>
      <c r="B37" s="20">
        <f>DATE(2020,7,1)</f>
        <v>44013</v>
      </c>
      <c r="C37" s="21">
        <v>260785</v>
      </c>
      <c r="D37" s="21">
        <v>288759</v>
      </c>
      <c r="E37" s="23">
        <f>(+C37-D37)/D37</f>
        <v>-9.6876634148199706E-2</v>
      </c>
      <c r="F37" s="21">
        <f>+C37-121006</f>
        <v>139779</v>
      </c>
      <c r="G37" s="21">
        <f>+D37-131177</f>
        <v>157582</v>
      </c>
      <c r="H37" s="23">
        <f>(+F37-G37)/G37</f>
        <v>-0.11297610133137033</v>
      </c>
      <c r="I37" s="24">
        <f>K37/C37</f>
        <v>60.581983204555478</v>
      </c>
      <c r="J37" s="24">
        <f>K37/F37</f>
        <v>113.02751121413088</v>
      </c>
      <c r="K37" s="21">
        <v>15798872.49</v>
      </c>
      <c r="L37" s="21">
        <v>14077474.74</v>
      </c>
      <c r="M37" s="25">
        <f>(+K37-L37)/L37</f>
        <v>0.12228029400108162</v>
      </c>
      <c r="N37" s="10"/>
      <c r="R37" s="2"/>
    </row>
    <row r="38" spans="1:18" ht="15.75" x14ac:dyDescent="0.25">
      <c r="A38" s="19"/>
      <c r="B38" s="20">
        <f>DATE(2020,8,1)</f>
        <v>44044</v>
      </c>
      <c r="C38" s="21">
        <v>267898</v>
      </c>
      <c r="D38" s="21">
        <v>292957</v>
      </c>
      <c r="E38" s="23">
        <f>(+C38-D38)/D38</f>
        <v>-8.5538150650095401E-2</v>
      </c>
      <c r="F38" s="21">
        <f>+C38-127416</f>
        <v>140482</v>
      </c>
      <c r="G38" s="21">
        <f>+D38-131852</f>
        <v>161105</v>
      </c>
      <c r="H38" s="23">
        <f>(+F38-G38)/G38</f>
        <v>-0.12800968312591168</v>
      </c>
      <c r="I38" s="24">
        <f>K38/C38</f>
        <v>58.202557988488159</v>
      </c>
      <c r="J38" s="24">
        <f>K38/F38</f>
        <v>110.99179168861492</v>
      </c>
      <c r="K38" s="21">
        <v>15592348.880000001</v>
      </c>
      <c r="L38" s="21">
        <v>15580367.26</v>
      </c>
      <c r="M38" s="25">
        <f>(+K38-L38)/L38</f>
        <v>7.6902038315629817E-4</v>
      </c>
      <c r="N38" s="10"/>
      <c r="R38" s="2"/>
    </row>
    <row r="39" spans="1:18" ht="15.75" x14ac:dyDescent="0.25">
      <c r="A39" s="19"/>
      <c r="B39" s="20">
        <f>DATE(2020,9,1)</f>
        <v>44075</v>
      </c>
      <c r="C39" s="21">
        <v>245708</v>
      </c>
      <c r="D39" s="21">
        <v>276713</v>
      </c>
      <c r="E39" s="23">
        <f>(+C39-D39)/D39</f>
        <v>-0.11204750047883547</v>
      </c>
      <c r="F39" s="21">
        <f>+C39-116526</f>
        <v>129182</v>
      </c>
      <c r="G39" s="21">
        <f>+D39-125818</f>
        <v>150895</v>
      </c>
      <c r="H39" s="23">
        <f>(+F39-G39)/G39</f>
        <v>-0.1438947612578283</v>
      </c>
      <c r="I39" s="24">
        <f>K39/C39</f>
        <v>59.831929770296455</v>
      </c>
      <c r="J39" s="24">
        <f>K39/F39</f>
        <v>113.802107104705</v>
      </c>
      <c r="K39" s="21">
        <v>14701183.800000001</v>
      </c>
      <c r="L39" s="21">
        <v>14643182.48</v>
      </c>
      <c r="M39" s="25">
        <f>(+K39-L39)/L39</f>
        <v>3.9609777505142654E-3</v>
      </c>
      <c r="N39" s="10"/>
      <c r="R39" s="2"/>
    </row>
    <row r="40" spans="1:18" ht="15.75" x14ac:dyDescent="0.25">
      <c r="A40" s="19"/>
      <c r="B40" s="20">
        <f>DATE(2020,10,1)</f>
        <v>44105</v>
      </c>
      <c r="C40" s="21">
        <v>252286</v>
      </c>
      <c r="D40" s="21">
        <v>265282</v>
      </c>
      <c r="E40" s="23">
        <f>(+C40-D40)/D40</f>
        <v>-4.8989377341847544E-2</v>
      </c>
      <c r="F40" s="21">
        <f>+C40-116651</f>
        <v>135635</v>
      </c>
      <c r="G40" s="21">
        <f>+D40-120858</f>
        <v>144424</v>
      </c>
      <c r="H40" s="23">
        <f>(+F40-G40)/G40</f>
        <v>-6.0855536475931976E-2</v>
      </c>
      <c r="I40" s="24">
        <f>K40/C40</f>
        <v>59.294009100782446</v>
      </c>
      <c r="J40" s="24">
        <f>K40/F40</f>
        <v>110.28899900468168</v>
      </c>
      <c r="K40" s="21">
        <v>14959048.380000001</v>
      </c>
      <c r="L40" s="21">
        <v>14675401.32</v>
      </c>
      <c r="M40" s="25">
        <f>(+K40-L40)/L40</f>
        <v>1.9328061551096343E-2</v>
      </c>
      <c r="N40" s="10"/>
      <c r="R40" s="2"/>
    </row>
    <row r="41" spans="1:18" ht="15.75" thickBot="1" x14ac:dyDescent="0.25">
      <c r="A41" s="38"/>
      <c r="B41" s="20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thickTop="1" thickBot="1" x14ac:dyDescent="0.3">
      <c r="A42" s="39" t="s">
        <v>14</v>
      </c>
      <c r="B42" s="40"/>
      <c r="C42" s="41">
        <f>SUM(C37:C41)</f>
        <v>1026677</v>
      </c>
      <c r="D42" s="41">
        <f>SUM(D37:D41)</f>
        <v>1123711</v>
      </c>
      <c r="E42" s="281">
        <f>(+C42-D42)/D42</f>
        <v>-8.6351383941244683E-2</v>
      </c>
      <c r="F42" s="47">
        <f>SUM(F37:F41)</f>
        <v>545078</v>
      </c>
      <c r="G42" s="48">
        <f>SUM(G37:G41)</f>
        <v>614006</v>
      </c>
      <c r="H42" s="49">
        <f>(+F42-G42)/G42</f>
        <v>-0.11225948932095126</v>
      </c>
      <c r="I42" s="50">
        <f>K42/C42</f>
        <v>59.465102997339969</v>
      </c>
      <c r="J42" s="51">
        <f>K42/F42</f>
        <v>112.00498561673743</v>
      </c>
      <c r="K42" s="48">
        <f>SUM(K37:K41)</f>
        <v>61051453.550000004</v>
      </c>
      <c r="L42" s="47">
        <f>SUM(L37:L41)</f>
        <v>58976425.800000004</v>
      </c>
      <c r="M42" s="44">
        <f>(+K42-L42)/L42</f>
        <v>3.5184020086886987E-2</v>
      </c>
      <c r="N42" s="10"/>
      <c r="R42" s="2"/>
    </row>
    <row r="43" spans="1:18" ht="15.75" customHeight="1" thickTop="1" x14ac:dyDescent="0.25">
      <c r="A43" s="273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x14ac:dyDescent="0.25">
      <c r="A44" s="274" t="s">
        <v>64</v>
      </c>
      <c r="B44" s="20">
        <f>DATE(2020,7,1)</f>
        <v>44013</v>
      </c>
      <c r="C44" s="21">
        <v>75978</v>
      </c>
      <c r="D44" s="21">
        <v>110928</v>
      </c>
      <c r="E44" s="23">
        <f>(+C44-D44)/D44</f>
        <v>-0.31506923409779314</v>
      </c>
      <c r="F44" s="21">
        <f>+C44-36462</f>
        <v>39516</v>
      </c>
      <c r="G44" s="21">
        <f>+D44-54910</f>
        <v>56018</v>
      </c>
      <c r="H44" s="23">
        <f>(+F44-G44)/G44</f>
        <v>-0.29458388375165123</v>
      </c>
      <c r="I44" s="24">
        <f>K44/C44</f>
        <v>65.902360814972752</v>
      </c>
      <c r="J44" s="24">
        <f>K44/F44</f>
        <v>126.71144776799272</v>
      </c>
      <c r="K44" s="21">
        <v>5007129.57</v>
      </c>
      <c r="L44" s="21">
        <v>4456959.1900000004</v>
      </c>
      <c r="M44" s="25">
        <f>(+K44-L44)/L44</f>
        <v>0.12344074884831957</v>
      </c>
      <c r="N44" s="10"/>
      <c r="R44" s="2"/>
    </row>
    <row r="45" spans="1:18" ht="15.75" x14ac:dyDescent="0.25">
      <c r="A45" s="274"/>
      <c r="B45" s="20">
        <f>DATE(2020,8,1)</f>
        <v>44044</v>
      </c>
      <c r="C45" s="21">
        <v>75051</v>
      </c>
      <c r="D45" s="21">
        <v>114308</v>
      </c>
      <c r="E45" s="23">
        <f>(+C45-D45)/D45</f>
        <v>-0.34343178080274345</v>
      </c>
      <c r="F45" s="21">
        <f>+C45-37094</f>
        <v>37957</v>
      </c>
      <c r="G45" s="21">
        <f>+D45-54234</f>
        <v>60074</v>
      </c>
      <c r="H45" s="23">
        <f>(+F45-G45)/G45</f>
        <v>-0.36816259946066515</v>
      </c>
      <c r="I45" s="24">
        <f>K45/C45</f>
        <v>66.127390707652125</v>
      </c>
      <c r="J45" s="24">
        <f>K45/F45</f>
        <v>130.75129225175857</v>
      </c>
      <c r="K45" s="21">
        <v>4962926.8</v>
      </c>
      <c r="L45" s="21">
        <v>5215749.95</v>
      </c>
      <c r="M45" s="25">
        <f>(+K45-L45)/L45</f>
        <v>-4.8473019685309177E-2</v>
      </c>
      <c r="N45" s="10"/>
      <c r="R45" s="2"/>
    </row>
    <row r="46" spans="1:18" ht="15.75" x14ac:dyDescent="0.25">
      <c r="A46" s="274"/>
      <c r="B46" s="20">
        <f>DATE(2020,9,1)</f>
        <v>44075</v>
      </c>
      <c r="C46" s="21">
        <v>76058</v>
      </c>
      <c r="D46" s="21">
        <v>108669</v>
      </c>
      <c r="E46" s="23">
        <f>(+C46-D46)/D46</f>
        <v>-0.30009478324085065</v>
      </c>
      <c r="F46" s="21">
        <f>+C46-37383</f>
        <v>38675</v>
      </c>
      <c r="G46" s="21">
        <f>+D46-53294</f>
        <v>55375</v>
      </c>
      <c r="H46" s="23">
        <f>(+F46-G46)/G46</f>
        <v>-0.30158013544018059</v>
      </c>
      <c r="I46" s="24">
        <f>K46/C46</f>
        <v>65.497897131136753</v>
      </c>
      <c r="J46" s="24">
        <f>K46/F46</f>
        <v>128.80773264382674</v>
      </c>
      <c r="K46" s="21">
        <v>4981639.0599999996</v>
      </c>
      <c r="L46" s="21">
        <v>5069628.72</v>
      </c>
      <c r="M46" s="25">
        <f>(+K46-L46)/L46</f>
        <v>-1.7356233534987577E-2</v>
      </c>
      <c r="N46" s="10"/>
      <c r="R46" s="2"/>
    </row>
    <row r="47" spans="1:18" ht="15.75" x14ac:dyDescent="0.25">
      <c r="A47" s="274"/>
      <c r="B47" s="20">
        <f>DATE(2020,10,1)</f>
        <v>44105</v>
      </c>
      <c r="C47" s="21">
        <v>79272</v>
      </c>
      <c r="D47" s="21">
        <v>108635</v>
      </c>
      <c r="E47" s="23">
        <f>(+C47-D47)/D47</f>
        <v>-0.27029042205550696</v>
      </c>
      <c r="F47" s="21">
        <f>+C47-39281</f>
        <v>39991</v>
      </c>
      <c r="G47" s="21">
        <f>+D47-52866</f>
        <v>55769</v>
      </c>
      <c r="H47" s="23">
        <f>(+F47-G47)/G47</f>
        <v>-0.28291703276013558</v>
      </c>
      <c r="I47" s="24">
        <f>K47/C47</f>
        <v>63.000484281965882</v>
      </c>
      <c r="J47" s="24">
        <f>K47/F47</f>
        <v>124.8824583031182</v>
      </c>
      <c r="K47" s="21">
        <v>4994174.3899999997</v>
      </c>
      <c r="L47" s="21">
        <v>5103440.46</v>
      </c>
      <c r="M47" s="25">
        <f>(+K47-L47)/L47</f>
        <v>-2.141027623549473E-2</v>
      </c>
      <c r="N47" s="10"/>
      <c r="R47" s="2"/>
    </row>
    <row r="48" spans="1:18" ht="15.75" customHeight="1" thickBot="1" x14ac:dyDescent="0.3">
      <c r="A48" s="19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45" customHeight="1" thickTop="1" thickBot="1" x14ac:dyDescent="0.3">
      <c r="A49" s="39" t="s">
        <v>14</v>
      </c>
      <c r="B49" s="52"/>
      <c r="C49" s="47">
        <f>SUM(C44:C48)</f>
        <v>306359</v>
      </c>
      <c r="D49" s="48">
        <f>SUM(D44:D48)</f>
        <v>442540</v>
      </c>
      <c r="E49" s="281">
        <f>(+C49-D49)/D49</f>
        <v>-0.3077258552899173</v>
      </c>
      <c r="F49" s="48">
        <f>SUM(F44:F48)</f>
        <v>156139</v>
      </c>
      <c r="G49" s="47">
        <f>SUM(G44:G48)</f>
        <v>227236</v>
      </c>
      <c r="H49" s="46">
        <f>(+F49-G49)/G49</f>
        <v>-0.31287736098153462</v>
      </c>
      <c r="I49" s="51">
        <f>K49/C49</f>
        <v>65.10619834899579</v>
      </c>
      <c r="J49" s="50">
        <f>K49/F49</f>
        <v>127.74431641037793</v>
      </c>
      <c r="K49" s="47">
        <f>SUM(K44:K48)</f>
        <v>19945869.82</v>
      </c>
      <c r="L49" s="48">
        <f>SUM(L44:L48)</f>
        <v>19845778.32</v>
      </c>
      <c r="M49" s="44">
        <f>(+K49-L49)/L49</f>
        <v>5.0434655867908533E-3</v>
      </c>
      <c r="N49" s="10"/>
      <c r="R49" s="2"/>
    </row>
    <row r="50" spans="1:18" ht="15.75" customHeight="1" thickTop="1" x14ac:dyDescent="0.25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x14ac:dyDescent="0.25">
      <c r="A51" s="19" t="s">
        <v>66</v>
      </c>
      <c r="B51" s="20">
        <f>DATE(2020,7,1)</f>
        <v>44013</v>
      </c>
      <c r="C51" s="21">
        <v>89782</v>
      </c>
      <c r="D51" s="21">
        <v>151411</v>
      </c>
      <c r="E51" s="23">
        <f>(+C51-D51)/D51</f>
        <v>-0.40703119324223469</v>
      </c>
      <c r="F51" s="21">
        <f>+C51-42122</f>
        <v>47660</v>
      </c>
      <c r="G51" s="21">
        <f>+D51-71749</f>
        <v>79662</v>
      </c>
      <c r="H51" s="23">
        <f>(+F51-G51)/G51</f>
        <v>-0.40172227661871407</v>
      </c>
      <c r="I51" s="24">
        <f>K51/C51</f>
        <v>50.702396360072171</v>
      </c>
      <c r="J51" s="24">
        <f>K51/F51</f>
        <v>95.513272135963064</v>
      </c>
      <c r="K51" s="21">
        <v>4552162.55</v>
      </c>
      <c r="L51" s="21">
        <v>5243377.2</v>
      </c>
      <c r="M51" s="25">
        <f>(+K51-L51)/L51</f>
        <v>-0.13182623023954873</v>
      </c>
      <c r="N51" s="10"/>
      <c r="R51" s="2"/>
    </row>
    <row r="52" spans="1:18" ht="15.75" x14ac:dyDescent="0.25">
      <c r="A52" s="19"/>
      <c r="B52" s="20">
        <f>DATE(2020,8,1)</f>
        <v>44044</v>
      </c>
      <c r="C52" s="21">
        <v>90766</v>
      </c>
      <c r="D52" s="21">
        <v>153444</v>
      </c>
      <c r="E52" s="23">
        <f>(+C52-D52)/D52</f>
        <v>-0.40847475300435337</v>
      </c>
      <c r="F52" s="21">
        <f>+C52-42451</f>
        <v>48315</v>
      </c>
      <c r="G52" s="21">
        <f>+D52-72860</f>
        <v>80584</v>
      </c>
      <c r="H52" s="23">
        <f>(+F52-G52)/G52</f>
        <v>-0.40043929315993249</v>
      </c>
      <c r="I52" s="24">
        <f>K52/C52</f>
        <v>48.512467223409644</v>
      </c>
      <c r="J52" s="24">
        <f>K52/F52</f>
        <v>91.136967815378242</v>
      </c>
      <c r="K52" s="21">
        <v>4403282.5999999996</v>
      </c>
      <c r="L52" s="21">
        <v>5663787.5</v>
      </c>
      <c r="M52" s="25">
        <f>(+K52-L52)/L52</f>
        <v>-0.22255511881404455</v>
      </c>
      <c r="N52" s="10"/>
      <c r="R52" s="2"/>
    </row>
    <row r="53" spans="1:18" ht="15.75" x14ac:dyDescent="0.25">
      <c r="A53" s="19"/>
      <c r="B53" s="20">
        <f>DATE(2020,9,1)</f>
        <v>44075</v>
      </c>
      <c r="C53" s="21">
        <v>113920</v>
      </c>
      <c r="D53" s="21">
        <v>143049</v>
      </c>
      <c r="E53" s="23">
        <f>(+C53-D53)/D53</f>
        <v>-0.20362952554719013</v>
      </c>
      <c r="F53" s="21">
        <f>+C53-56486</f>
        <v>57434</v>
      </c>
      <c r="G53" s="21">
        <f>+D53-67371</f>
        <v>75678</v>
      </c>
      <c r="H53" s="23">
        <f>(+F53-G53)/G53</f>
        <v>-0.24107402415497239</v>
      </c>
      <c r="I53" s="24">
        <f>K53/C53</f>
        <v>47.016480424859552</v>
      </c>
      <c r="J53" s="24">
        <f>K53/F53</f>
        <v>93.256911411359127</v>
      </c>
      <c r="K53" s="21">
        <v>5356117.45</v>
      </c>
      <c r="L53" s="21">
        <v>5081304.75</v>
      </c>
      <c r="M53" s="25">
        <f>(+K53-L53)/L53</f>
        <v>5.4083097456416131E-2</v>
      </c>
      <c r="N53" s="10"/>
      <c r="R53" s="2"/>
    </row>
    <row r="54" spans="1:18" ht="15.75" x14ac:dyDescent="0.25">
      <c r="A54" s="19"/>
      <c r="B54" s="20">
        <f>DATE(2020,10,1)</f>
        <v>44105</v>
      </c>
      <c r="C54" s="21">
        <v>133252</v>
      </c>
      <c r="D54" s="21">
        <v>147133</v>
      </c>
      <c r="E54" s="23">
        <f>(+C54-D54)/D54</f>
        <v>-9.4343213283219943E-2</v>
      </c>
      <c r="F54" s="21">
        <f>+C54-63794</f>
        <v>69458</v>
      </c>
      <c r="G54" s="21">
        <f>+D54-70441</f>
        <v>76692</v>
      </c>
      <c r="H54" s="23">
        <f>(+F54-G54)/G54</f>
        <v>-9.4325353361497943E-2</v>
      </c>
      <c r="I54" s="24">
        <f>K54/C54</f>
        <v>46.010231140996012</v>
      </c>
      <c r="J54" s="24">
        <f>K54/F54</f>
        <v>88.268526591609316</v>
      </c>
      <c r="K54" s="21">
        <v>6130955.3200000003</v>
      </c>
      <c r="L54" s="21">
        <v>5402701.21</v>
      </c>
      <c r="M54" s="25">
        <f>(+K54-L54)/L54</f>
        <v>0.13479444479588393</v>
      </c>
      <c r="N54" s="10"/>
      <c r="R54" s="2"/>
    </row>
    <row r="55" spans="1:18" ht="15.75" customHeight="1" thickBot="1" x14ac:dyDescent="0.3">
      <c r="A55" s="19"/>
      <c r="B55" s="45"/>
      <c r="C55" s="21"/>
      <c r="D55" s="21"/>
      <c r="E55" s="23"/>
      <c r="F55" s="21"/>
      <c r="G55" s="21"/>
      <c r="H55" s="23"/>
      <c r="I55" s="24"/>
      <c r="J55" s="24"/>
      <c r="K55" s="21"/>
      <c r="L55" s="21"/>
      <c r="M55" s="25"/>
      <c r="N55" s="10"/>
      <c r="R55" s="2"/>
    </row>
    <row r="56" spans="1:18" ht="17.45" customHeight="1" thickTop="1" thickBot="1" x14ac:dyDescent="0.3">
      <c r="A56" s="39" t="s">
        <v>14</v>
      </c>
      <c r="B56" s="52"/>
      <c r="C56" s="47">
        <f>SUM(C51:C55)</f>
        <v>427720</v>
      </c>
      <c r="D56" s="48">
        <f>SUM(D51:D55)</f>
        <v>595037</v>
      </c>
      <c r="E56" s="281">
        <f>(+C56-D56)/D56</f>
        <v>-0.28118755640405557</v>
      </c>
      <c r="F56" s="48">
        <f>SUM(F51:F55)</f>
        <v>222867</v>
      </c>
      <c r="G56" s="47">
        <f>SUM(G51:G55)</f>
        <v>312616</v>
      </c>
      <c r="H56" s="53">
        <f>(+F56-G56)/G56</f>
        <v>-0.28709023210584234</v>
      </c>
      <c r="I56" s="51">
        <f>K56/C56</f>
        <v>47.79415954362667</v>
      </c>
      <c r="J56" s="50">
        <f>K56/F56</f>
        <v>91.725190001211473</v>
      </c>
      <c r="K56" s="47">
        <f>SUM(K51:K55)</f>
        <v>20442517.919999998</v>
      </c>
      <c r="L56" s="48">
        <f>SUM(L51:L55)</f>
        <v>21391170.66</v>
      </c>
      <c r="M56" s="44">
        <f>(+K56-L56)/L56</f>
        <v>-4.434786459695339E-2</v>
      </c>
      <c r="N56" s="10"/>
      <c r="R56" s="2"/>
    </row>
    <row r="57" spans="1:18" ht="15.75" customHeight="1" thickTop="1" x14ac:dyDescent="0.25">
      <c r="A57" s="19"/>
      <c r="B57" s="45"/>
      <c r="C57" s="21"/>
      <c r="D57" s="21"/>
      <c r="E57" s="23"/>
      <c r="F57" s="21"/>
      <c r="G57" s="21"/>
      <c r="H57" s="23"/>
      <c r="I57" s="24"/>
      <c r="J57" s="24"/>
      <c r="K57" s="21"/>
      <c r="L57" s="21"/>
      <c r="M57" s="25"/>
      <c r="N57" s="10"/>
      <c r="R57" s="2"/>
    </row>
    <row r="58" spans="1:18" ht="15.75" customHeight="1" x14ac:dyDescent="0.25">
      <c r="A58" s="19" t="s">
        <v>60</v>
      </c>
      <c r="B58" s="20">
        <f>DATE(2020,7,1)</f>
        <v>44013</v>
      </c>
      <c r="C58" s="21">
        <v>198458</v>
      </c>
      <c r="D58" s="21">
        <v>323723</v>
      </c>
      <c r="E58" s="23">
        <f>(+C58-D58)/D58</f>
        <v>-0.38695118975173221</v>
      </c>
      <c r="F58" s="21">
        <f>+C58-91512</f>
        <v>106946</v>
      </c>
      <c r="G58" s="21">
        <f>+D58-139054</f>
        <v>184669</v>
      </c>
      <c r="H58" s="23">
        <f>(+F58-G58)/G58</f>
        <v>-0.42087735353524414</v>
      </c>
      <c r="I58" s="24">
        <f>K58/C58</f>
        <v>57.559684013745979</v>
      </c>
      <c r="J58" s="24">
        <f>K58/F58</f>
        <v>106.81259486095786</v>
      </c>
      <c r="K58" s="21">
        <v>11423179.77</v>
      </c>
      <c r="L58" s="21">
        <v>12562489.76</v>
      </c>
      <c r="M58" s="25">
        <f>(+K58-L58)/L58</f>
        <v>-9.0691416412346612E-2</v>
      </c>
      <c r="N58" s="10"/>
      <c r="R58" s="2"/>
    </row>
    <row r="59" spans="1:18" ht="15.75" customHeight="1" x14ac:dyDescent="0.25">
      <c r="A59" s="19"/>
      <c r="B59" s="20">
        <f>DATE(2020,8,1)</f>
        <v>44044</v>
      </c>
      <c r="C59" s="21">
        <v>207170</v>
      </c>
      <c r="D59" s="21">
        <v>324702</v>
      </c>
      <c r="E59" s="23">
        <f>(+C59-D59)/D59</f>
        <v>-0.36196882064169605</v>
      </c>
      <c r="F59" s="21">
        <f>+C59-94983</f>
        <v>112187</v>
      </c>
      <c r="G59" s="21">
        <f>+D59-140464</f>
        <v>184238</v>
      </c>
      <c r="H59" s="23">
        <f>(+F59-G59)/G59</f>
        <v>-0.39107567385664194</v>
      </c>
      <c r="I59" s="24">
        <f>K59/C59</f>
        <v>58.301137906067481</v>
      </c>
      <c r="J59" s="24">
        <f>K59/F59</f>
        <v>107.66173210799826</v>
      </c>
      <c r="K59" s="21">
        <v>12078246.74</v>
      </c>
      <c r="L59" s="21">
        <v>12914541.609999999</v>
      </c>
      <c r="M59" s="25">
        <f>(+K59-L59)/L59</f>
        <v>-6.4756062991228325E-2</v>
      </c>
      <c r="N59" s="10"/>
      <c r="R59" s="2"/>
    </row>
    <row r="60" spans="1:18" ht="15.75" customHeight="1" x14ac:dyDescent="0.25">
      <c r="A60" s="19"/>
      <c r="B60" s="20">
        <f>DATE(2020,9,1)</f>
        <v>44075</v>
      </c>
      <c r="C60" s="21">
        <v>214569</v>
      </c>
      <c r="D60" s="21">
        <v>300779</v>
      </c>
      <c r="E60" s="23">
        <f>(+C60-D60)/D60</f>
        <v>-0.28662240382473508</v>
      </c>
      <c r="F60" s="21">
        <f>+C60-98318</f>
        <v>116251</v>
      </c>
      <c r="G60" s="21">
        <f>+D60-129539</f>
        <v>171240</v>
      </c>
      <c r="H60" s="23">
        <f>(+F60-G60)/G60</f>
        <v>-0.3211224013081056</v>
      </c>
      <c r="I60" s="24">
        <f>K60/C60</f>
        <v>53.780504359902871</v>
      </c>
      <c r="J60" s="24">
        <f>K60/F60</f>
        <v>99.264772260023562</v>
      </c>
      <c r="K60" s="21">
        <v>11539629.039999999</v>
      </c>
      <c r="L60" s="21">
        <v>12290273.1</v>
      </c>
      <c r="M60" s="25">
        <f>(+K60-L60)/L60</f>
        <v>-6.107627177137346E-2</v>
      </c>
      <c r="N60" s="10"/>
      <c r="R60" s="2"/>
    </row>
    <row r="61" spans="1:18" ht="15.75" customHeight="1" x14ac:dyDescent="0.25">
      <c r="A61" s="19"/>
      <c r="B61" s="20">
        <f>DATE(2020,10,1)</f>
        <v>44105</v>
      </c>
      <c r="C61" s="21">
        <v>213678</v>
      </c>
      <c r="D61" s="21">
        <v>283562</v>
      </c>
      <c r="E61" s="23">
        <f>(+C61-D61)/D61</f>
        <v>-0.24645051170467128</v>
      </c>
      <c r="F61" s="21">
        <f>+C61-98578</f>
        <v>115100</v>
      </c>
      <c r="G61" s="21">
        <f>+D61-124664</f>
        <v>158898</v>
      </c>
      <c r="H61" s="23">
        <f>(+F61-G61)/G61</f>
        <v>-0.27563594255434304</v>
      </c>
      <c r="I61" s="24">
        <f>K61/C61</f>
        <v>52.956099036868558</v>
      </c>
      <c r="J61" s="24">
        <f>K61/F61</f>
        <v>98.310628410078195</v>
      </c>
      <c r="K61" s="21">
        <v>11315553.33</v>
      </c>
      <c r="L61" s="21">
        <v>11906925.060000001</v>
      </c>
      <c r="M61" s="25">
        <f>(+K61-L61)/L61</f>
        <v>-4.9666200721011376E-2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SUM(C58:C62)</f>
        <v>833875</v>
      </c>
      <c r="D63" s="41">
        <f>SUM(D58:D62)</f>
        <v>1232766</v>
      </c>
      <c r="E63" s="280">
        <f>(+C63-D63)/D63</f>
        <v>-0.32357397916555131</v>
      </c>
      <c r="F63" s="41">
        <f>SUM(F58:F62)</f>
        <v>450484</v>
      </c>
      <c r="G63" s="41">
        <f>SUM(G58:G62)</f>
        <v>699045</v>
      </c>
      <c r="H63" s="42">
        <f>(+F63-G63)/G63</f>
        <v>-0.35557224499138113</v>
      </c>
      <c r="I63" s="43">
        <f>K63/C63</f>
        <v>55.591795988607402</v>
      </c>
      <c r="J63" s="43">
        <f>K63/F63</f>
        <v>102.90400742312711</v>
      </c>
      <c r="K63" s="41">
        <f>SUM(K58:K62)</f>
        <v>46356608.879999995</v>
      </c>
      <c r="L63" s="41">
        <f>SUM(L58:L62)</f>
        <v>49674229.530000001</v>
      </c>
      <c r="M63" s="44">
        <f>(+K63-L63)/L63</f>
        <v>-6.6787561304728016E-2</v>
      </c>
      <c r="N63" s="10"/>
      <c r="R63" s="2"/>
    </row>
    <row r="64" spans="1:18" ht="15.75" customHeight="1" thickTop="1" x14ac:dyDescent="0.2">
      <c r="A64" s="54"/>
      <c r="B64" s="55"/>
      <c r="C64" s="55"/>
      <c r="D64" s="55"/>
      <c r="E64" s="56"/>
      <c r="F64" s="55"/>
      <c r="G64" s="55"/>
      <c r="H64" s="56"/>
      <c r="I64" s="55"/>
      <c r="J64" s="55"/>
      <c r="K64" s="196"/>
      <c r="L64" s="196"/>
      <c r="M64" s="57"/>
      <c r="N64" s="10"/>
      <c r="R64" s="2"/>
    </row>
    <row r="65" spans="1:18" ht="15.75" customHeight="1" x14ac:dyDescent="0.25">
      <c r="A65" s="19" t="s">
        <v>16</v>
      </c>
      <c r="B65" s="20">
        <f>DATE(2020,7,1)</f>
        <v>44013</v>
      </c>
      <c r="C65" s="21">
        <v>211446</v>
      </c>
      <c r="D65" s="21">
        <v>366609</v>
      </c>
      <c r="E65" s="23">
        <f>(+C65-D65)/D65</f>
        <v>-0.42323838203644754</v>
      </c>
      <c r="F65" s="21">
        <f>+C65-102823</f>
        <v>108623</v>
      </c>
      <c r="G65" s="21">
        <f>+D65-178251</f>
        <v>188358</v>
      </c>
      <c r="H65" s="23">
        <f>(+F65-G65)/G65</f>
        <v>-0.42331623822720565</v>
      </c>
      <c r="I65" s="24">
        <f>K65/C65</f>
        <v>65.394689944477548</v>
      </c>
      <c r="J65" s="24">
        <f>K65/F65</f>
        <v>127.29758531802656</v>
      </c>
      <c r="K65" s="21">
        <v>13827445.609999999</v>
      </c>
      <c r="L65" s="21">
        <v>15689376.039999999</v>
      </c>
      <c r="M65" s="25">
        <f>(+K65-L65)/L65</f>
        <v>-0.11867460026791478</v>
      </c>
      <c r="N65" s="10"/>
      <c r="R65" s="2"/>
    </row>
    <row r="66" spans="1:18" ht="15.75" customHeight="1" x14ac:dyDescent="0.25">
      <c r="A66" s="19"/>
      <c r="B66" s="20">
        <f>DATE(2020,8,1)</f>
        <v>44044</v>
      </c>
      <c r="C66" s="21">
        <v>225551</v>
      </c>
      <c r="D66" s="21">
        <v>384874</v>
      </c>
      <c r="E66" s="23">
        <f>(+C66-D66)/D66</f>
        <v>-0.41396145231946041</v>
      </c>
      <c r="F66" s="21">
        <f>+C66-110461</f>
        <v>115090</v>
      </c>
      <c r="G66" s="21">
        <f>+D66-186167</f>
        <v>198707</v>
      </c>
      <c r="H66" s="23">
        <f>(+F66-G66)/G66</f>
        <v>-0.42080550760667718</v>
      </c>
      <c r="I66" s="24">
        <f>K66/C66</f>
        <v>63.5922016750092</v>
      </c>
      <c r="J66" s="24">
        <f>K66/F66</f>
        <v>124.62668068468155</v>
      </c>
      <c r="K66" s="21">
        <v>14343284.68</v>
      </c>
      <c r="L66" s="21">
        <v>16597532.279999999</v>
      </c>
      <c r="M66" s="25">
        <f>(+K66-L66)/L66</f>
        <v>-0.13581823863758136</v>
      </c>
      <c r="N66" s="10"/>
      <c r="R66" s="2"/>
    </row>
    <row r="67" spans="1:18" ht="15.75" customHeight="1" x14ac:dyDescent="0.25">
      <c r="A67" s="19"/>
      <c r="B67" s="20">
        <f>DATE(2020,9,1)</f>
        <v>44075</v>
      </c>
      <c r="C67" s="21">
        <v>224827</v>
      </c>
      <c r="D67" s="21">
        <v>348168</v>
      </c>
      <c r="E67" s="23">
        <f>(+C67-D67)/D67</f>
        <v>-0.35425714023115279</v>
      </c>
      <c r="F67" s="21">
        <f>+C67-110393</f>
        <v>114434</v>
      </c>
      <c r="G67" s="21">
        <f>+D67-163347</f>
        <v>184821</v>
      </c>
      <c r="H67" s="23">
        <f>(+F67-G67)/G67</f>
        <v>-0.3808387575005005</v>
      </c>
      <c r="I67" s="24">
        <f>K67/C67</f>
        <v>60.458002019330422</v>
      </c>
      <c r="J67" s="24">
        <f>K67/F67</f>
        <v>118.78105475645351</v>
      </c>
      <c r="K67" s="21">
        <v>13592591.220000001</v>
      </c>
      <c r="L67" s="21">
        <v>15466295.43</v>
      </c>
      <c r="M67" s="25">
        <f>(+K67-L67)/L67</f>
        <v>-0.12114757657904114</v>
      </c>
      <c r="N67" s="10"/>
      <c r="R67" s="2"/>
    </row>
    <row r="68" spans="1:18" ht="15.75" customHeight="1" x14ac:dyDescent="0.25">
      <c r="A68" s="19"/>
      <c r="B68" s="20">
        <f>DATE(2020,10,1)</f>
        <v>44105</v>
      </c>
      <c r="C68" s="21">
        <v>236689</v>
      </c>
      <c r="D68" s="21">
        <v>347400</v>
      </c>
      <c r="E68" s="23">
        <f>(+C68-D68)/D68</f>
        <v>-0.31868451352907312</v>
      </c>
      <c r="F68" s="21">
        <f>+C68-116990</f>
        <v>119699</v>
      </c>
      <c r="G68" s="21">
        <f>+D68-164019</f>
        <v>183381</v>
      </c>
      <c r="H68" s="23">
        <f>(+F68-G68)/G68</f>
        <v>-0.3472660744570048</v>
      </c>
      <c r="I68" s="24">
        <f>K68/C68</f>
        <v>61.040805994363915</v>
      </c>
      <c r="J68" s="24">
        <f>K68/F68</f>
        <v>120.7001506278248</v>
      </c>
      <c r="K68" s="21">
        <v>14447687.33</v>
      </c>
      <c r="L68" s="21">
        <v>16339837.66</v>
      </c>
      <c r="M68" s="25">
        <f>(+K68-L68)/L68</f>
        <v>-0.11579982429274638</v>
      </c>
      <c r="N68" s="10"/>
      <c r="R68" s="2"/>
    </row>
    <row r="69" spans="1:18" ht="15.75" customHeight="1" thickBot="1" x14ac:dyDescent="0.3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thickTop="1" thickBot="1" x14ac:dyDescent="0.3">
      <c r="A70" s="39" t="s">
        <v>14</v>
      </c>
      <c r="B70" s="40"/>
      <c r="C70" s="41">
        <f>SUM(C65:C69)</f>
        <v>898513</v>
      </c>
      <c r="D70" s="41">
        <f>SUM(D65:D69)</f>
        <v>1447051</v>
      </c>
      <c r="E70" s="280">
        <f>(+C70-D70)/D70</f>
        <v>-0.37907302506960711</v>
      </c>
      <c r="F70" s="41">
        <f>SUM(F65:F69)</f>
        <v>457846</v>
      </c>
      <c r="G70" s="41">
        <f>SUM(G65:G69)</f>
        <v>755267</v>
      </c>
      <c r="H70" s="42">
        <f>(+F70-G70)/G70</f>
        <v>-0.39379583643929894</v>
      </c>
      <c r="I70" s="43">
        <f>K70/C70</f>
        <v>62.56003957650028</v>
      </c>
      <c r="J70" s="43">
        <f>K70/F70</f>
        <v>122.77274201369019</v>
      </c>
      <c r="K70" s="41">
        <f>SUM(K65:K69)</f>
        <v>56211008.839999996</v>
      </c>
      <c r="L70" s="41">
        <f>SUM(L65:L69)</f>
        <v>64093041.409999996</v>
      </c>
      <c r="M70" s="44">
        <f>(+K70-L70)/L70</f>
        <v>-0.12297797696288167</v>
      </c>
      <c r="N70" s="10"/>
      <c r="R70" s="2"/>
    </row>
    <row r="71" spans="1:18" ht="15.75" customHeight="1" thickTop="1" x14ac:dyDescent="0.2">
      <c r="A71" s="54"/>
      <c r="B71" s="55"/>
      <c r="C71" s="55"/>
      <c r="D71" s="55"/>
      <c r="E71" s="56"/>
      <c r="F71" s="55"/>
      <c r="G71" s="55"/>
      <c r="H71" s="56"/>
      <c r="I71" s="55"/>
      <c r="J71" s="55"/>
      <c r="K71" s="196"/>
      <c r="L71" s="196"/>
      <c r="M71" s="57"/>
      <c r="N71" s="10"/>
      <c r="R71" s="2"/>
    </row>
    <row r="72" spans="1:18" ht="15.75" customHeight="1" x14ac:dyDescent="0.25">
      <c r="A72" s="19" t="s">
        <v>54</v>
      </c>
      <c r="B72" s="20">
        <f>DATE(2020,7,1)</f>
        <v>44013</v>
      </c>
      <c r="C72" s="21">
        <v>223492</v>
      </c>
      <c r="D72" s="21">
        <v>420137</v>
      </c>
      <c r="E72" s="23">
        <f>(+C72-D72)/D72</f>
        <v>-0.46804970759537962</v>
      </c>
      <c r="F72" s="21">
        <f>+C72-109534</f>
        <v>113958</v>
      </c>
      <c r="G72" s="21">
        <f>+D72-190250</f>
        <v>229887</v>
      </c>
      <c r="H72" s="23">
        <f>(+F72-G72)/G72</f>
        <v>-0.50428688877578987</v>
      </c>
      <c r="I72" s="24">
        <f>K72/C72</f>
        <v>67.284719274067982</v>
      </c>
      <c r="J72" s="24">
        <f>K72/F72</f>
        <v>131.95735692097088</v>
      </c>
      <c r="K72" s="21">
        <v>15037596.48</v>
      </c>
      <c r="L72" s="21">
        <v>18224766.800000001</v>
      </c>
      <c r="M72" s="25">
        <f>(+K72-L72)/L72</f>
        <v>-0.17488126761654915</v>
      </c>
      <c r="N72" s="10"/>
      <c r="R72" s="2"/>
    </row>
    <row r="73" spans="1:18" ht="15.75" customHeight="1" x14ac:dyDescent="0.25">
      <c r="A73" s="19"/>
      <c r="B73" s="20">
        <f>DATE(2020,8,1)</f>
        <v>44044</v>
      </c>
      <c r="C73" s="21">
        <v>243172</v>
      </c>
      <c r="D73" s="21">
        <v>436427</v>
      </c>
      <c r="E73" s="23">
        <f>(+C73-D73)/D73</f>
        <v>-0.44281174171167226</v>
      </c>
      <c r="F73" s="21">
        <f>+C73-117936</f>
        <v>125236</v>
      </c>
      <c r="G73" s="21">
        <f>+D73-195454</f>
        <v>240973</v>
      </c>
      <c r="H73" s="23">
        <f>(+F73-G73)/G73</f>
        <v>-0.48029032298224283</v>
      </c>
      <c r="I73" s="24">
        <f>K73/C73</f>
        <v>65.264499202210786</v>
      </c>
      <c r="J73" s="24">
        <f>K73/F73</f>
        <v>126.7247341020154</v>
      </c>
      <c r="K73" s="21">
        <v>15870498.800000001</v>
      </c>
      <c r="L73" s="21">
        <v>19518295.300000001</v>
      </c>
      <c r="M73" s="25">
        <f>(+K73-L73)/L73</f>
        <v>-0.18689114207632671</v>
      </c>
      <c r="N73" s="10"/>
      <c r="R73" s="2"/>
    </row>
    <row r="74" spans="1:18" ht="15.75" customHeight="1" x14ac:dyDescent="0.25">
      <c r="A74" s="19"/>
      <c r="B74" s="20">
        <f>DATE(2020,9,1)</f>
        <v>44075</v>
      </c>
      <c r="C74" s="21">
        <v>258989</v>
      </c>
      <c r="D74" s="21">
        <v>419890</v>
      </c>
      <c r="E74" s="23">
        <f>(+C74-D74)/D74</f>
        <v>-0.38319798042344422</v>
      </c>
      <c r="F74" s="21">
        <f>+C74-126754</f>
        <v>132235</v>
      </c>
      <c r="G74" s="21">
        <f>+D74-187135</f>
        <v>232755</v>
      </c>
      <c r="H74" s="23">
        <f>(+F74-G74)/G74</f>
        <v>-0.43187042168804107</v>
      </c>
      <c r="I74" s="24">
        <f>K74/C74</f>
        <v>63.346609122395158</v>
      </c>
      <c r="J74" s="24">
        <f>K74/F74</f>
        <v>124.06756872235036</v>
      </c>
      <c r="K74" s="21">
        <v>16406074.949999999</v>
      </c>
      <c r="L74" s="21">
        <v>18459322.530000001</v>
      </c>
      <c r="M74" s="25">
        <f>(+K74-L74)/L74</f>
        <v>-0.11123092825660714</v>
      </c>
      <c r="N74" s="10"/>
      <c r="R74" s="2"/>
    </row>
    <row r="75" spans="1:18" ht="15.75" customHeight="1" x14ac:dyDescent="0.25">
      <c r="A75" s="19"/>
      <c r="B75" s="20">
        <f>DATE(2020,10,1)</f>
        <v>44105</v>
      </c>
      <c r="C75" s="21">
        <v>272659</v>
      </c>
      <c r="D75" s="21">
        <v>422307</v>
      </c>
      <c r="E75" s="23">
        <f>(+C75-D75)/D75</f>
        <v>-0.3543583222631877</v>
      </c>
      <c r="F75" s="21">
        <f>+C75-130567</f>
        <v>142092</v>
      </c>
      <c r="G75" s="21">
        <f>+D75-185957</f>
        <v>236350</v>
      </c>
      <c r="H75" s="23">
        <f>(+F75-G75)/G75</f>
        <v>-0.39880685424159085</v>
      </c>
      <c r="I75" s="24">
        <f>K75/C75</f>
        <v>60.090470587803807</v>
      </c>
      <c r="J75" s="24">
        <f>K75/F75</f>
        <v>115.30703783464234</v>
      </c>
      <c r="K75" s="21">
        <v>16384207.619999999</v>
      </c>
      <c r="L75" s="21">
        <v>18621742.489999998</v>
      </c>
      <c r="M75" s="25">
        <f>(+K75-L75)/L75</f>
        <v>-0.12015711586612104</v>
      </c>
      <c r="N75" s="10"/>
      <c r="R75" s="2"/>
    </row>
    <row r="76" spans="1:18" ht="15.75" customHeight="1" thickBot="1" x14ac:dyDescent="0.3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SUM(C72:C76)</f>
        <v>998312</v>
      </c>
      <c r="D77" s="41">
        <f>SUM(D72:D76)</f>
        <v>1698761</v>
      </c>
      <c r="E77" s="280">
        <f>(+C77-D77)/D77</f>
        <v>-0.41232933885343492</v>
      </c>
      <c r="F77" s="41">
        <f>SUM(F72:F76)</f>
        <v>513521</v>
      </c>
      <c r="G77" s="41">
        <f>SUM(G72:G76)</f>
        <v>939965</v>
      </c>
      <c r="H77" s="42">
        <f>(+F77-G77)/G77</f>
        <v>-0.4536807221545483</v>
      </c>
      <c r="I77" s="43">
        <f>K77/C77</f>
        <v>63.806082517289184</v>
      </c>
      <c r="J77" s="43">
        <f>K77/F77</f>
        <v>124.04240108973148</v>
      </c>
      <c r="K77" s="41">
        <f>SUM(K72:K76)</f>
        <v>63698377.850000001</v>
      </c>
      <c r="L77" s="41">
        <f>SUM(L72:L76)</f>
        <v>74824127.120000005</v>
      </c>
      <c r="M77" s="44">
        <f>(+K77-L77)/L77</f>
        <v>-0.14869200214199577</v>
      </c>
      <c r="N77" s="10"/>
      <c r="R77" s="2"/>
    </row>
    <row r="78" spans="1:18" ht="15.75" customHeight="1" thickTop="1" x14ac:dyDescent="0.2">
      <c r="A78" s="58"/>
      <c r="B78" s="59"/>
      <c r="C78" s="59"/>
      <c r="D78" s="59"/>
      <c r="E78" s="60"/>
      <c r="F78" s="59"/>
      <c r="G78" s="59"/>
      <c r="H78" s="60"/>
      <c r="I78" s="59"/>
      <c r="J78" s="59"/>
      <c r="K78" s="197"/>
      <c r="L78" s="197"/>
      <c r="M78" s="61"/>
      <c r="N78" s="10"/>
      <c r="R78" s="2"/>
    </row>
    <row r="79" spans="1:18" ht="15" customHeight="1" x14ac:dyDescent="0.25">
      <c r="A79" s="19" t="s">
        <v>55</v>
      </c>
      <c r="B79" s="20">
        <f>DATE(2020,7,1)</f>
        <v>44013</v>
      </c>
      <c r="C79" s="21">
        <v>43226</v>
      </c>
      <c r="D79" s="21">
        <v>61327</v>
      </c>
      <c r="E79" s="23">
        <f>(+C79-D79)/D79</f>
        <v>-0.29515547801131636</v>
      </c>
      <c r="F79" s="21">
        <f>+C79-22161</f>
        <v>21065</v>
      </c>
      <c r="G79" s="21">
        <f>+D79-29380</f>
        <v>31947</v>
      </c>
      <c r="H79" s="23">
        <f>(+F79-G79)/G79</f>
        <v>-0.34062666291044541</v>
      </c>
      <c r="I79" s="24">
        <f>K79/C79</f>
        <v>68.785856891685569</v>
      </c>
      <c r="J79" s="24">
        <f>K79/F79</f>
        <v>141.15060289579873</v>
      </c>
      <c r="K79" s="21">
        <v>2973337.45</v>
      </c>
      <c r="L79" s="21">
        <v>2748922.94</v>
      </c>
      <c r="M79" s="25">
        <f>(+K79-L79)/L79</f>
        <v>8.1637250260642169E-2</v>
      </c>
      <c r="N79" s="10"/>
      <c r="R79" s="2"/>
    </row>
    <row r="80" spans="1:18" ht="15" customHeight="1" x14ac:dyDescent="0.25">
      <c r="A80" s="19"/>
      <c r="B80" s="20">
        <f>DATE(2020,8,1)</f>
        <v>44044</v>
      </c>
      <c r="C80" s="21">
        <v>46706</v>
      </c>
      <c r="D80" s="21">
        <v>62887</v>
      </c>
      <c r="E80" s="23">
        <f>(+C80-D80)/D80</f>
        <v>-0.25730278117894001</v>
      </c>
      <c r="F80" s="21">
        <f>+C80-23797</f>
        <v>22909</v>
      </c>
      <c r="G80" s="21">
        <f>+D80-30695</f>
        <v>32192</v>
      </c>
      <c r="H80" s="23">
        <f>(+F80-G80)/G80</f>
        <v>-0.28836356858846918</v>
      </c>
      <c r="I80" s="24">
        <f>K80/C80</f>
        <v>65.788545797113855</v>
      </c>
      <c r="J80" s="24">
        <f>K80/F80</f>
        <v>134.12719106028197</v>
      </c>
      <c r="K80" s="21">
        <v>3072719.82</v>
      </c>
      <c r="L80" s="21">
        <v>2960495.62</v>
      </c>
      <c r="M80" s="25">
        <f>(+K80-L80)/L80</f>
        <v>3.7907233924568254E-2</v>
      </c>
      <c r="N80" s="10"/>
      <c r="R80" s="2"/>
    </row>
    <row r="81" spans="1:18" ht="15" customHeight="1" x14ac:dyDescent="0.25">
      <c r="A81" s="19"/>
      <c r="B81" s="20">
        <f>DATE(2020,9,1)</f>
        <v>44075</v>
      </c>
      <c r="C81" s="21">
        <v>44655</v>
      </c>
      <c r="D81" s="21">
        <v>59108</v>
      </c>
      <c r="E81" s="23">
        <f>(+C81-D81)/D81</f>
        <v>-0.24451850849292819</v>
      </c>
      <c r="F81" s="21">
        <f>+C81-22941</f>
        <v>21714</v>
      </c>
      <c r="G81" s="21">
        <f>+D81-28508</f>
        <v>30600</v>
      </c>
      <c r="H81" s="23">
        <f>(+F81-G81)/G81</f>
        <v>-0.29039215686274511</v>
      </c>
      <c r="I81" s="24">
        <f>K81/C81</f>
        <v>63.064807748292466</v>
      </c>
      <c r="J81" s="24">
        <f>K81/F81</f>
        <v>129.69323892419638</v>
      </c>
      <c r="K81" s="21">
        <v>2816158.99</v>
      </c>
      <c r="L81" s="21">
        <v>2697791.52</v>
      </c>
      <c r="M81" s="25">
        <f>(+K81-L81)/L81</f>
        <v>4.3875692069786108E-2</v>
      </c>
      <c r="N81" s="10"/>
      <c r="R81" s="2"/>
    </row>
    <row r="82" spans="1:18" ht="15" customHeight="1" x14ac:dyDescent="0.25">
      <c r="A82" s="19"/>
      <c r="B82" s="20">
        <f>DATE(2020,10,1)</f>
        <v>44105</v>
      </c>
      <c r="C82" s="21">
        <v>42403</v>
      </c>
      <c r="D82" s="21">
        <v>56197</v>
      </c>
      <c r="E82" s="23">
        <f>(+C82-D82)/D82</f>
        <v>-0.24545794259480044</v>
      </c>
      <c r="F82" s="21">
        <f>+C82-22277</f>
        <v>20126</v>
      </c>
      <c r="G82" s="21">
        <f>+D82-27661</f>
        <v>28536</v>
      </c>
      <c r="H82" s="23">
        <f>(+F82-G82)/G82</f>
        <v>-0.29471544715447157</v>
      </c>
      <c r="I82" s="24">
        <f>K82/C82</f>
        <v>67.736065136900692</v>
      </c>
      <c r="J82" s="24">
        <f>K82/F82</f>
        <v>142.71153582430688</v>
      </c>
      <c r="K82" s="21">
        <v>2872212.37</v>
      </c>
      <c r="L82" s="21">
        <v>2815045.18</v>
      </c>
      <c r="M82" s="25">
        <f>(+K82-L82)/L82</f>
        <v>2.0307734457036295E-2</v>
      </c>
      <c r="N82" s="10"/>
      <c r="R82" s="2"/>
    </row>
    <row r="83" spans="1:18" ht="15.75" thickBot="1" x14ac:dyDescent="0.25">
      <c r="A83" s="38"/>
      <c r="B83" s="20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thickTop="1" thickBot="1" x14ac:dyDescent="0.3">
      <c r="A84" s="62" t="s">
        <v>14</v>
      </c>
      <c r="B84" s="52"/>
      <c r="C84" s="48">
        <f>SUM(C79:C83)</f>
        <v>176990</v>
      </c>
      <c r="D84" s="48">
        <f>SUM(D79:D83)</f>
        <v>239519</v>
      </c>
      <c r="E84" s="280">
        <f>(+C84-D84)/D84</f>
        <v>-0.26106070917129748</v>
      </c>
      <c r="F84" s="48">
        <f>SUM(F79:F83)</f>
        <v>85814</v>
      </c>
      <c r="G84" s="48">
        <f>SUM(G79:G83)</f>
        <v>123275</v>
      </c>
      <c r="H84" s="42">
        <f>(+F84-G84)/G84</f>
        <v>-0.3038815656053539</v>
      </c>
      <c r="I84" s="50">
        <f>K84/C84</f>
        <v>66.29995270919261</v>
      </c>
      <c r="J84" s="50">
        <f>K84/F84</f>
        <v>136.74259013680751</v>
      </c>
      <c r="K84" s="48">
        <f>SUM(K79:K83)</f>
        <v>11734428.629999999</v>
      </c>
      <c r="L84" s="48">
        <f>SUM(L79:L83)</f>
        <v>11222255.26</v>
      </c>
      <c r="M84" s="44">
        <f>(+K84-L84)/L84</f>
        <v>4.5639076828484046E-2</v>
      </c>
      <c r="N84" s="10"/>
      <c r="R84" s="2"/>
    </row>
    <row r="85" spans="1:18" ht="15.75" customHeight="1" thickTop="1" x14ac:dyDescent="0.25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x14ac:dyDescent="0.25">
      <c r="A86" s="19" t="s">
        <v>17</v>
      </c>
      <c r="B86" s="20">
        <f>DATE(2020,7,1)</f>
        <v>44013</v>
      </c>
      <c r="C86" s="21">
        <v>316439</v>
      </c>
      <c r="D86" s="21">
        <v>447474</v>
      </c>
      <c r="E86" s="23">
        <f>(+C86-D86)/D86</f>
        <v>-0.29283265619901938</v>
      </c>
      <c r="F86" s="21">
        <f>+C86-163690</f>
        <v>152749</v>
      </c>
      <c r="G86" s="21">
        <f>+D86-208413</f>
        <v>239061</v>
      </c>
      <c r="H86" s="23">
        <f>(+F86-G86)/G86</f>
        <v>-0.36104592551691828</v>
      </c>
      <c r="I86" s="24">
        <f>K86/C86</f>
        <v>71.817670419891343</v>
      </c>
      <c r="J86" s="24">
        <f>K86/F86</f>
        <v>148.77944739409094</v>
      </c>
      <c r="K86" s="21">
        <v>22725911.809999999</v>
      </c>
      <c r="L86" s="21">
        <v>22798067.890000001</v>
      </c>
      <c r="M86" s="25">
        <f>(+K86-L86)/L86</f>
        <v>-3.1650085589775799E-3</v>
      </c>
      <c r="N86" s="10"/>
      <c r="R86" s="2"/>
    </row>
    <row r="87" spans="1:18" ht="15.75" x14ac:dyDescent="0.25">
      <c r="A87" s="19"/>
      <c r="B87" s="20">
        <f>DATE(2020,8,1)</f>
        <v>44044</v>
      </c>
      <c r="C87" s="21">
        <v>305395</v>
      </c>
      <c r="D87" s="21">
        <v>463395</v>
      </c>
      <c r="E87" s="23">
        <f>(+C87-D87)/D87</f>
        <v>-0.34096181443476947</v>
      </c>
      <c r="F87" s="21">
        <f>+C87-155433</f>
        <v>149962</v>
      </c>
      <c r="G87" s="21">
        <f>+D87-219743</f>
        <v>243652</v>
      </c>
      <c r="H87" s="23">
        <f>(+F87-G87)/G87</f>
        <v>-0.38452382906768667</v>
      </c>
      <c r="I87" s="24">
        <f>K87/C87</f>
        <v>68.028956891894097</v>
      </c>
      <c r="J87" s="24">
        <f>K87/F87</f>
        <v>138.53978534562088</v>
      </c>
      <c r="K87" s="21">
        <v>20775703.289999999</v>
      </c>
      <c r="L87" s="21">
        <v>23200828.350000001</v>
      </c>
      <c r="M87" s="25">
        <f>(+K87-L87)/L87</f>
        <v>-0.10452752045812201</v>
      </c>
      <c r="N87" s="10"/>
      <c r="R87" s="2"/>
    </row>
    <row r="88" spans="1:18" ht="15.75" x14ac:dyDescent="0.25">
      <c r="A88" s="19"/>
      <c r="B88" s="20">
        <f>DATE(2020,9,1)</f>
        <v>44075</v>
      </c>
      <c r="C88" s="21">
        <v>318330</v>
      </c>
      <c r="D88" s="21">
        <v>425892</v>
      </c>
      <c r="E88" s="23">
        <f>(+C88-D88)/D88</f>
        <v>-0.25255698627821138</v>
      </c>
      <c r="F88" s="21">
        <f>+C88-166686</f>
        <v>151644</v>
      </c>
      <c r="G88" s="21">
        <f>+D88-202215</f>
        <v>223677</v>
      </c>
      <c r="H88" s="23">
        <f>(+F88-G88)/G88</f>
        <v>-0.32204026341555009</v>
      </c>
      <c r="I88" s="24">
        <f>K88/C88</f>
        <v>64.07588870040523</v>
      </c>
      <c r="J88" s="24">
        <f>K88/F88</f>
        <v>134.50764718683232</v>
      </c>
      <c r="K88" s="21">
        <v>20397277.649999999</v>
      </c>
      <c r="L88" s="21">
        <v>21530902.170000002</v>
      </c>
      <c r="M88" s="25">
        <f>(+K88-L88)/L88</f>
        <v>-5.2651045973332901E-2</v>
      </c>
      <c r="N88" s="10"/>
      <c r="R88" s="2"/>
    </row>
    <row r="89" spans="1:18" ht="15.75" x14ac:dyDescent="0.25">
      <c r="A89" s="19"/>
      <c r="B89" s="20">
        <f>DATE(2020,10,1)</f>
        <v>44105</v>
      </c>
      <c r="C89" s="21">
        <v>335355</v>
      </c>
      <c r="D89" s="21">
        <v>405696</v>
      </c>
      <c r="E89" s="23">
        <f>(+C89-D89)/D89</f>
        <v>-0.17338351869380028</v>
      </c>
      <c r="F89" s="21">
        <f>+C89-175973</f>
        <v>159382</v>
      </c>
      <c r="G89" s="21">
        <f>+D89-186355</f>
        <v>219341</v>
      </c>
      <c r="H89" s="23">
        <f>(+F89-G89)/G89</f>
        <v>-0.27335974578396194</v>
      </c>
      <c r="I89" s="24">
        <f>K89/C89</f>
        <v>65.370092558631896</v>
      </c>
      <c r="J89" s="24">
        <f>K89/F89</f>
        <v>137.54493851250456</v>
      </c>
      <c r="K89" s="21">
        <v>21922187.390000001</v>
      </c>
      <c r="L89" s="21">
        <v>21798172.190000001</v>
      </c>
      <c r="M89" s="25">
        <f>(+K89-L89)/L89</f>
        <v>5.6892476543006542E-3</v>
      </c>
      <c r="N89" s="10"/>
      <c r="R89" s="2"/>
    </row>
    <row r="90" spans="1:18" ht="15.75" thickBot="1" x14ac:dyDescent="0.25">
      <c r="A90" s="38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thickTop="1" thickBot="1" x14ac:dyDescent="0.3">
      <c r="A91" s="39" t="s">
        <v>14</v>
      </c>
      <c r="B91" s="40"/>
      <c r="C91" s="41">
        <f>SUM(C86:C90)</f>
        <v>1275519</v>
      </c>
      <c r="D91" s="41">
        <f>SUM(D86:D90)</f>
        <v>1742457</v>
      </c>
      <c r="E91" s="280">
        <f>(+C91-D91)/D91</f>
        <v>-0.26797677073236242</v>
      </c>
      <c r="F91" s="41">
        <f>SUM(F86:F90)</f>
        <v>613737</v>
      </c>
      <c r="G91" s="41">
        <f>SUM(G86:G90)</f>
        <v>925731</v>
      </c>
      <c r="H91" s="42">
        <f>(+F91-G91)/G91</f>
        <v>-0.33702447039150685</v>
      </c>
      <c r="I91" s="43">
        <f>K91/C91</f>
        <v>67.283262844379408</v>
      </c>
      <c r="J91" s="43">
        <f>K91/F91</f>
        <v>139.83364232562153</v>
      </c>
      <c r="K91" s="41">
        <f>SUM(K86:K90)</f>
        <v>85821080.139999986</v>
      </c>
      <c r="L91" s="41">
        <f>SUM(L86:L90)</f>
        <v>89327970.599999994</v>
      </c>
      <c r="M91" s="44">
        <f>(+K91-L91)/L91</f>
        <v>-3.9258593209325732E-2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57</v>
      </c>
      <c r="B93" s="20">
        <f>DATE(2020,7,1)</f>
        <v>44013</v>
      </c>
      <c r="C93" s="21">
        <v>61338</v>
      </c>
      <c r="D93" s="21">
        <v>77431</v>
      </c>
      <c r="E93" s="23">
        <f>(+C93-D93)/D93</f>
        <v>-0.2078366545698751</v>
      </c>
      <c r="F93" s="21">
        <f>+C93-27914</f>
        <v>33424</v>
      </c>
      <c r="G93" s="21">
        <f>+D93-35761</f>
        <v>41670</v>
      </c>
      <c r="H93" s="23">
        <f>(+F93-G93)/G93</f>
        <v>-0.19788816894648428</v>
      </c>
      <c r="I93" s="24">
        <f>K93/C93</f>
        <v>57.274320812546875</v>
      </c>
      <c r="J93" s="24">
        <f>K93/F93</f>
        <v>105.10687799186213</v>
      </c>
      <c r="K93" s="21">
        <v>3513092.29</v>
      </c>
      <c r="L93" s="21">
        <v>3396657.88</v>
      </c>
      <c r="M93" s="25">
        <f>(+K93-L93)/L93</f>
        <v>3.4279110264705301E-2</v>
      </c>
      <c r="N93" s="10"/>
      <c r="R93" s="2"/>
    </row>
    <row r="94" spans="1:18" ht="15.75" x14ac:dyDescent="0.25">
      <c r="A94" s="19"/>
      <c r="B94" s="20">
        <f>DATE(2020,8,1)</f>
        <v>44044</v>
      </c>
      <c r="C94" s="21">
        <v>61855</v>
      </c>
      <c r="D94" s="21">
        <v>83032</v>
      </c>
      <c r="E94" s="23">
        <f>(+C94-D94)/D94</f>
        <v>-0.25504624722998365</v>
      </c>
      <c r="F94" s="21">
        <f>+C94-27562</f>
        <v>34293</v>
      </c>
      <c r="G94" s="21">
        <f>+D94-37844</f>
        <v>45188</v>
      </c>
      <c r="H94" s="23">
        <f>(+F94-G94)/G94</f>
        <v>-0.24110383287598477</v>
      </c>
      <c r="I94" s="24">
        <f>K94/C94</f>
        <v>57.364789265217041</v>
      </c>
      <c r="J94" s="24">
        <f>K94/F94</f>
        <v>103.47006794389526</v>
      </c>
      <c r="K94" s="21">
        <v>3548299.04</v>
      </c>
      <c r="L94" s="21">
        <v>3491800.49</v>
      </c>
      <c r="M94" s="25">
        <f>(+K94-L94)/L94</f>
        <v>1.618034883774239E-2</v>
      </c>
      <c r="N94" s="10"/>
      <c r="R94" s="2"/>
    </row>
    <row r="95" spans="1:18" ht="15.75" x14ac:dyDescent="0.25">
      <c r="A95" s="19"/>
      <c r="B95" s="20">
        <f>DATE(2020,9,1)</f>
        <v>44075</v>
      </c>
      <c r="C95" s="21">
        <v>58255</v>
      </c>
      <c r="D95" s="21">
        <v>70924</v>
      </c>
      <c r="E95" s="23">
        <f>(+C95-D95)/D95</f>
        <v>-0.17862782696971405</v>
      </c>
      <c r="F95" s="21">
        <f>+C95-26013</f>
        <v>32242</v>
      </c>
      <c r="G95" s="21">
        <f>+D95-32729</f>
        <v>38195</v>
      </c>
      <c r="H95" s="23">
        <f>(+F95-G95)/G95</f>
        <v>-0.15585809660950387</v>
      </c>
      <c r="I95" s="24">
        <f>K95/C95</f>
        <v>55.064059394043426</v>
      </c>
      <c r="J95" s="24">
        <f>K95/F95</f>
        <v>99.490006203089138</v>
      </c>
      <c r="K95" s="21">
        <v>3207756.78</v>
      </c>
      <c r="L95" s="21">
        <v>3371438.75</v>
      </c>
      <c r="M95" s="25">
        <f>(+K95-L95)/L95</f>
        <v>-4.8549590289902259E-2</v>
      </c>
      <c r="N95" s="10"/>
      <c r="R95" s="2"/>
    </row>
    <row r="96" spans="1:18" ht="15.75" x14ac:dyDescent="0.25">
      <c r="A96" s="19"/>
      <c r="B96" s="20">
        <f>DATE(2020,10,1)</f>
        <v>44105</v>
      </c>
      <c r="C96" s="21">
        <v>55358</v>
      </c>
      <c r="D96" s="21">
        <v>70482</v>
      </c>
      <c r="E96" s="23">
        <f>(+C96-D96)/D96</f>
        <v>-0.21457960897817882</v>
      </c>
      <c r="F96" s="21">
        <f>+C96-22824</f>
        <v>32534</v>
      </c>
      <c r="G96" s="21">
        <f>+D96-33635</f>
        <v>36847</v>
      </c>
      <c r="H96" s="23">
        <f>(+F96-G96)/G96</f>
        <v>-0.11705159171710044</v>
      </c>
      <c r="I96" s="24">
        <f>K96/C96</f>
        <v>52.358215976010698</v>
      </c>
      <c r="J96" s="24">
        <f>K96/F96</f>
        <v>89.089755947624027</v>
      </c>
      <c r="K96" s="21">
        <v>2898446.12</v>
      </c>
      <c r="L96" s="21">
        <v>3274009.79</v>
      </c>
      <c r="M96" s="25">
        <f>(+K96-L96)/L96</f>
        <v>-0.11471061300644428</v>
      </c>
      <c r="N96" s="10"/>
      <c r="R96" s="2"/>
    </row>
    <row r="97" spans="1:18" ht="15.75" thickBot="1" x14ac:dyDescent="0.25">
      <c r="A97" s="38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thickTop="1" thickBot="1" x14ac:dyDescent="0.3">
      <c r="A98" s="26" t="s">
        <v>14</v>
      </c>
      <c r="B98" s="27"/>
      <c r="C98" s="28">
        <f>SUM(C93:C97)</f>
        <v>236806</v>
      </c>
      <c r="D98" s="28">
        <f>SUM(D93:D97)</f>
        <v>301869</v>
      </c>
      <c r="E98" s="280">
        <f>(+C98-D98)/D98</f>
        <v>-0.21553389052867303</v>
      </c>
      <c r="F98" s="28">
        <f>SUM(F93:F97)</f>
        <v>132493</v>
      </c>
      <c r="G98" s="28">
        <f>SUM(G93:G97)</f>
        <v>161900</v>
      </c>
      <c r="H98" s="42">
        <f>(+F98-G98)/G98</f>
        <v>-0.18163681284743668</v>
      </c>
      <c r="I98" s="43">
        <f>K98/C98</f>
        <v>55.604985642255691</v>
      </c>
      <c r="J98" s="43">
        <f>K98/F98</f>
        <v>99.383320099929804</v>
      </c>
      <c r="K98" s="28">
        <f>SUM(K93:K97)</f>
        <v>13167594.23</v>
      </c>
      <c r="L98" s="28">
        <f>SUM(L93:L97)</f>
        <v>13533906.91</v>
      </c>
      <c r="M98" s="44">
        <f>(+K98-L98)/L98</f>
        <v>-2.7066292271401452E-2</v>
      </c>
      <c r="N98" s="10"/>
      <c r="R98" s="2"/>
    </row>
    <row r="99" spans="1:18" ht="16.5" thickTop="1" thickBot="1" x14ac:dyDescent="0.25">
      <c r="A99" s="63"/>
      <c r="B99" s="34"/>
      <c r="C99" s="35"/>
      <c r="D99" s="35"/>
      <c r="E99" s="29"/>
      <c r="F99" s="35"/>
      <c r="G99" s="35"/>
      <c r="H99" s="29"/>
      <c r="I99" s="36"/>
      <c r="J99" s="36"/>
      <c r="K99" s="35"/>
      <c r="L99" s="35"/>
      <c r="M99" s="37"/>
      <c r="N99" s="10"/>
      <c r="R99" s="2"/>
    </row>
    <row r="100" spans="1:18" ht="17.25" thickTop="1" thickBot="1" x14ac:dyDescent="0.3">
      <c r="A100" s="64" t="s">
        <v>18</v>
      </c>
      <c r="B100" s="65"/>
      <c r="C100" s="28">
        <f>C98+C91+C42+C56+C63+C28+C14+C70+C77+C35+C84+C21+C49</f>
        <v>8513525</v>
      </c>
      <c r="D100" s="28">
        <f>D98+D91+D42+D56+D63+D28+D14+D70+D77+D35+D84+D21+D49</f>
        <v>12309843</v>
      </c>
      <c r="E100" s="279">
        <f>(+C100-D100)/D100</f>
        <v>-0.30839694706098203</v>
      </c>
      <c r="F100" s="28">
        <f>F98+F91+F42+F56+F63+F28+F14+F70+F77+F35+F84+F21+F49</f>
        <v>4340957</v>
      </c>
      <c r="G100" s="28">
        <f>G98+G91+G42+G56+G63+G28+G14+G70+G77+G35+G84+G21+G49</f>
        <v>6564954</v>
      </c>
      <c r="H100" s="30">
        <f>(+F100-G100)/G100</f>
        <v>-0.33876810104076893</v>
      </c>
      <c r="I100" s="31">
        <f>K100/C100</f>
        <v>61.900875489294968</v>
      </c>
      <c r="J100" s="31">
        <f>K100/F100</f>
        <v>121.40056927539248</v>
      </c>
      <c r="K100" s="28">
        <f>K98+K91+K42+K56+K63+K28+K14+K70+K77+K35+K84+K21+K49</f>
        <v>526994650.99999994</v>
      </c>
      <c r="L100" s="28">
        <f>L98+L91+L42+L56+L63+L28+L14+L70+L77+L35+L84+L21+L49</f>
        <v>576998363.13999999</v>
      </c>
      <c r="M100" s="32">
        <f>(+K100-L100)/L100</f>
        <v>-8.6661792015980801E-2</v>
      </c>
      <c r="N100" s="10"/>
      <c r="R100" s="2"/>
    </row>
    <row r="101" spans="1:18" ht="17.25" thickTop="1" thickBot="1" x14ac:dyDescent="0.3">
      <c r="A101" s="64"/>
      <c r="B101" s="65"/>
      <c r="C101" s="28"/>
      <c r="D101" s="28"/>
      <c r="E101" s="29"/>
      <c r="F101" s="28"/>
      <c r="G101" s="28"/>
      <c r="H101" s="30"/>
      <c r="I101" s="31"/>
      <c r="J101" s="31"/>
      <c r="K101" s="28"/>
      <c r="L101" s="28"/>
      <c r="M101" s="32"/>
      <c r="N101" s="10"/>
      <c r="R101" s="2"/>
    </row>
    <row r="102" spans="1:18" ht="17.25" thickTop="1" thickBot="1" x14ac:dyDescent="0.3">
      <c r="A102" s="64" t="s">
        <v>19</v>
      </c>
      <c r="B102" s="65"/>
      <c r="C102" s="28">
        <f>SUM(C12+C19+C26+C33+C40+C47+C54+C61+C68+C75+C82+C89+C96)</f>
        <v>2235600</v>
      </c>
      <c r="D102" s="28">
        <f>SUM(D12+D19+D26+D33+D40+D47+D54+D61+D68+D75+D82+D89+D96)</f>
        <v>2930323</v>
      </c>
      <c r="E102" s="279">
        <f>(+C102-D102)/D102</f>
        <v>-0.23708069042218213</v>
      </c>
      <c r="F102" s="28">
        <f>SUM(F12+F19+F26+F33+F40+F47+F54+F61+F68+F75+F82+F89+F96)</f>
        <v>1140512</v>
      </c>
      <c r="G102" s="28">
        <f>SUM(G12+G19+G26+G33+G40+G47+G54+G61+G68+G75+G82+G89+G96)</f>
        <v>1566065</v>
      </c>
      <c r="H102" s="30">
        <f>(+F102-G102)/G102</f>
        <v>-0.27173393186106581</v>
      </c>
      <c r="I102" s="31">
        <f>K102/C102</f>
        <v>59.863202661477914</v>
      </c>
      <c r="J102" s="31">
        <f>K102/F102</f>
        <v>117.34219006025366</v>
      </c>
      <c r="K102" s="28">
        <f>SUM(K12+K19+K26+K33+K40+K47+K54+K61+K68+K75+K82+K89+K96)</f>
        <v>133830175.87000002</v>
      </c>
      <c r="L102" s="28">
        <f>SUM(L12+L19+L26+L33+L40+L47+L54+L61+L68+L75+L82+L89+L96)</f>
        <v>141519692.23999998</v>
      </c>
      <c r="M102" s="44">
        <f>(+K102-L102)/L102</f>
        <v>-5.4335310148636323E-2</v>
      </c>
      <c r="N102" s="10"/>
      <c r="R102" s="2"/>
    </row>
    <row r="103" spans="1:18" ht="15.75" thickTop="1" x14ac:dyDescent="0.2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8"/>
      <c r="L103" s="68"/>
      <c r="M103" s="67"/>
      <c r="R103" s="2"/>
    </row>
    <row r="104" spans="1:18" ht="18.75" x14ac:dyDescent="0.3">
      <c r="A104" s="264" t="s">
        <v>20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198"/>
      <c r="L104" s="198"/>
      <c r="M104" s="71"/>
      <c r="N104" s="2"/>
      <c r="O104" s="2"/>
      <c r="P104" s="2"/>
      <c r="Q104" s="2"/>
      <c r="R104" s="2"/>
    </row>
    <row r="105" spans="1:18" ht="18" x14ac:dyDescent="0.25">
      <c r="A105" s="69"/>
      <c r="B105" s="70"/>
      <c r="C105" s="71"/>
      <c r="D105" s="71"/>
      <c r="E105" s="71"/>
      <c r="F105" s="71"/>
      <c r="G105" s="71"/>
      <c r="H105" s="71"/>
      <c r="I105" s="71"/>
      <c r="J105" s="71"/>
      <c r="K105" s="198"/>
      <c r="L105" s="198"/>
      <c r="M105" s="71"/>
      <c r="N105" s="2"/>
      <c r="O105" s="2"/>
      <c r="P105" s="2"/>
      <c r="Q105" s="2"/>
      <c r="R105" s="2"/>
    </row>
    <row r="106" spans="1:18" ht="15.75" x14ac:dyDescent="0.2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3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3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x14ac:dyDescent="0.2">
      <c r="A109" s="2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3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73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x14ac:dyDescent="0.2">
      <c r="A114" s="2"/>
      <c r="B114" s="73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3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4"/>
      <c r="N115" s="2"/>
      <c r="O115" s="2"/>
      <c r="P115" s="2"/>
      <c r="Q115" s="2"/>
      <c r="R115" s="2"/>
    </row>
    <row r="116" spans="1:18" x14ac:dyDescent="0.2">
      <c r="A116" s="2"/>
      <c r="B116" s="73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4"/>
      <c r="N116" s="2"/>
      <c r="O116" s="2"/>
      <c r="P116" s="2"/>
      <c r="Q116" s="2"/>
      <c r="R116" s="2"/>
    </row>
    <row r="117" spans="1:18" x14ac:dyDescent="0.2">
      <c r="A117" s="2"/>
      <c r="B117" s="70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4"/>
      <c r="N117" s="2"/>
      <c r="O117" s="2"/>
      <c r="P117" s="2"/>
      <c r="Q117" s="2"/>
      <c r="R117" s="2"/>
    </row>
    <row r="118" spans="1:18" ht="15.75" x14ac:dyDescent="0.25">
      <c r="A118" s="76"/>
      <c r="B118" s="70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.75" x14ac:dyDescent="0.25">
      <c r="A119" s="76"/>
      <c r="B119" s="70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.75" x14ac:dyDescent="0.25">
      <c r="A120" s="76"/>
      <c r="B120" s="70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0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 x14ac:dyDescent="0.25">
      <c r="A122" s="76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7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.75" x14ac:dyDescent="0.25">
      <c r="A138" s="76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 x14ac:dyDescent="0.25">
      <c r="A139" s="76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 x14ac:dyDescent="0.25">
      <c r="A140" s="76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77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7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7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.75" x14ac:dyDescent="0.25">
      <c r="A156" s="76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.75" x14ac:dyDescent="0.25">
      <c r="A162" s="76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 x14ac:dyDescent="0.25">
      <c r="A165" s="76"/>
      <c r="B165" s="76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42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view="pageBreakPreview" zoomScale="6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STATS'!$C$16*2</f>
        <v>158942</v>
      </c>
      <c r="D10" s="89">
        <f>'MONTHLY STATS'!$C$23*2</f>
        <v>106210</v>
      </c>
      <c r="E10" s="89">
        <f>'MONTHLY STATS'!$C$30*2</f>
        <v>452472</v>
      </c>
      <c r="F10" s="89">
        <f>'MONTHLY STATS'!$C$37*2</f>
        <v>521570</v>
      </c>
      <c r="G10" s="89">
        <f>'MONTHLY STATS'!$C$44*2</f>
        <v>151956</v>
      </c>
      <c r="H10" s="89">
        <f>'MONTHLY STATS'!$C$51*2</f>
        <v>179564</v>
      </c>
      <c r="I10" s="89">
        <f>'MONTHLY STATS'!$C$58*2</f>
        <v>396916</v>
      </c>
      <c r="J10" s="89">
        <f>'MONTHLY STATS'!$C$65*2</f>
        <v>422892</v>
      </c>
      <c r="K10" s="89">
        <f>'MONTHLY STATS'!$C$72*2</f>
        <v>446984</v>
      </c>
      <c r="L10" s="89">
        <f>'MONTHLY STATS'!$C$79*2</f>
        <v>86452</v>
      </c>
      <c r="M10" s="89">
        <f>'MONTHLY STATS'!$C$86*2</f>
        <v>632878</v>
      </c>
      <c r="N10" s="89">
        <f>'MONTHLY STATS'!$C$93*2</f>
        <v>122676</v>
      </c>
      <c r="O10" s="90">
        <f>SUM(B10:N10)</f>
        <v>4056178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STATS'!$C$17*2</f>
        <v>176468</v>
      </c>
      <c r="D11" s="89">
        <f>'MONTHLY STATS'!$C$24*2</f>
        <v>105220</v>
      </c>
      <c r="E11" s="89">
        <f>'MONTHLY STATS'!$C$31*2</f>
        <v>497732</v>
      </c>
      <c r="F11" s="89">
        <f>'MONTHLY STATS'!$C$38*2</f>
        <v>535796</v>
      </c>
      <c r="G11" s="89">
        <f>'MONTHLY STATS'!$C$45*2</f>
        <v>150102</v>
      </c>
      <c r="H11" s="89">
        <f>'MONTHLY STATS'!$C$52*2</f>
        <v>181532</v>
      </c>
      <c r="I11" s="89">
        <f>'MONTHLY STATS'!$C$59*2</f>
        <v>414340</v>
      </c>
      <c r="J11" s="89">
        <f>'MONTHLY STATS'!$C$66*2</f>
        <v>451102</v>
      </c>
      <c r="K11" s="89">
        <f>'MONTHLY STATS'!$C$73*2</f>
        <v>486344</v>
      </c>
      <c r="L11" s="89">
        <f>'MONTHLY STATS'!$C$80*2</f>
        <v>93412</v>
      </c>
      <c r="M11" s="89">
        <f>'MONTHLY STATS'!$C$87*2</f>
        <v>610790</v>
      </c>
      <c r="N11" s="89">
        <f>'MONTHLY STATS'!$C$94*2</f>
        <v>123710</v>
      </c>
      <c r="O11" s="90">
        <f>SUM(B11:N11)</f>
        <v>4212800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STATS'!$C$18*2</f>
        <v>181896</v>
      </c>
      <c r="D12" s="89">
        <f>'MONTHLY STATS'!$C$25*2</f>
        <v>101704</v>
      </c>
      <c r="E12" s="89">
        <f>'MONTHLY STATS'!$C$32*2</f>
        <v>499142</v>
      </c>
      <c r="F12" s="89">
        <f>'MONTHLY STATS'!$C$39*2</f>
        <v>491416</v>
      </c>
      <c r="G12" s="89">
        <f>'MONTHLY STATS'!$C$46*2</f>
        <v>152116</v>
      </c>
      <c r="H12" s="89">
        <f>'MONTHLY STATS'!$C$53*2</f>
        <v>227840</v>
      </c>
      <c r="I12" s="89">
        <f>'MONTHLY STATS'!$C$60*2</f>
        <v>429138</v>
      </c>
      <c r="J12" s="89">
        <f>'MONTHLY STATS'!$C$67*2</f>
        <v>449654</v>
      </c>
      <c r="K12" s="89">
        <f>'MONTHLY STATS'!$C$74*2</f>
        <v>517978</v>
      </c>
      <c r="L12" s="89">
        <f>'MONTHLY STATS'!$C$81*2</f>
        <v>89310</v>
      </c>
      <c r="M12" s="89">
        <f>'MONTHLY STATS'!$C$88*2</f>
        <v>636660</v>
      </c>
      <c r="N12" s="89">
        <f>'MONTHLY STATS'!$C$95*2</f>
        <v>116510</v>
      </c>
      <c r="O12" s="90">
        <f>SUM(B12:N12)</f>
        <v>4286872</v>
      </c>
      <c r="P12" s="83"/>
    </row>
    <row r="13" spans="1:16" ht="15.75" x14ac:dyDescent="0.25">
      <c r="A13" s="88">
        <f>DATE(2020,10,1)</f>
        <v>44105</v>
      </c>
      <c r="B13" s="89">
        <f>'MONTHLY STATS'!$C$12*2</f>
        <v>407654</v>
      </c>
      <c r="C13" s="89">
        <f>'MONTHLY STATS'!$C$19*2</f>
        <v>174198</v>
      </c>
      <c r="D13" s="89">
        <f>'MONTHLY STATS'!$C$26*2</f>
        <v>103276</v>
      </c>
      <c r="E13" s="89">
        <f>'MONTHLY STATS'!$C$33*2</f>
        <v>544168</v>
      </c>
      <c r="F13" s="89">
        <f>'MONTHLY STATS'!$C$40*2</f>
        <v>504572</v>
      </c>
      <c r="G13" s="89">
        <f>'MONTHLY STATS'!$C$47*2</f>
        <v>158544</v>
      </c>
      <c r="H13" s="89">
        <f>'MONTHLY STATS'!$C$54*2</f>
        <v>266504</v>
      </c>
      <c r="I13" s="89">
        <f>'MONTHLY STATS'!$C$61*2</f>
        <v>427356</v>
      </c>
      <c r="J13" s="89">
        <f>'MONTHLY STATS'!$C$68*2</f>
        <v>473378</v>
      </c>
      <c r="K13" s="89">
        <f>'MONTHLY STATS'!$C$75*2</f>
        <v>545318</v>
      </c>
      <c r="L13" s="89">
        <f>'MONTHLY STATS'!$C$82*2</f>
        <v>84806</v>
      </c>
      <c r="M13" s="89">
        <f>'MONTHLY STATS'!$C$89*2</f>
        <v>670710</v>
      </c>
      <c r="N13" s="89">
        <f>'MONTHLY STATS'!$C$96*2</f>
        <v>110716</v>
      </c>
      <c r="O13" s="90">
        <f>SUM(B13:N13)</f>
        <v>4471200</v>
      </c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1564080</v>
      </c>
      <c r="C23" s="90">
        <f t="shared" si="0"/>
        <v>691504</v>
      </c>
      <c r="D23" s="90">
        <f t="shared" si="0"/>
        <v>416410</v>
      </c>
      <c r="E23" s="90">
        <f t="shared" si="0"/>
        <v>1993514</v>
      </c>
      <c r="F23" s="90">
        <f t="shared" si="0"/>
        <v>2053354</v>
      </c>
      <c r="G23" s="90">
        <f>SUM(G10:G21)</f>
        <v>612718</v>
      </c>
      <c r="H23" s="90">
        <f t="shared" si="0"/>
        <v>855440</v>
      </c>
      <c r="I23" s="90">
        <f>SUM(I10:I21)</f>
        <v>1667750</v>
      </c>
      <c r="J23" s="90">
        <f t="shared" si="0"/>
        <v>1797026</v>
      </c>
      <c r="K23" s="90">
        <f>SUM(K10:K21)</f>
        <v>1996624</v>
      </c>
      <c r="L23" s="90">
        <f t="shared" si="0"/>
        <v>353980</v>
      </c>
      <c r="M23" s="90">
        <f t="shared" si="0"/>
        <v>2551038</v>
      </c>
      <c r="N23" s="90">
        <f t="shared" si="0"/>
        <v>473612</v>
      </c>
      <c r="O23" s="90">
        <f t="shared" si="0"/>
        <v>17027050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STATS'!$K$16*0.21</f>
        <v>1178796.7863</v>
      </c>
      <c r="D31" s="89">
        <f>'MONTHLY STATS'!$K$23*0.21</f>
        <v>728228.88599999994</v>
      </c>
      <c r="E31" s="89">
        <f>'MONTHLY STATS'!$K$30*0.21</f>
        <v>3061575.4994999999</v>
      </c>
      <c r="F31" s="89">
        <f>'MONTHLY STATS'!$K$37*0.21</f>
        <v>3317763.2228999999</v>
      </c>
      <c r="G31" s="89">
        <f>'MONTHLY STATS'!$K$44*0.21</f>
        <v>1051497.2097</v>
      </c>
      <c r="H31" s="89">
        <f>'MONTHLY STATS'!$K$51*0.21</f>
        <v>955954.13549999997</v>
      </c>
      <c r="I31" s="89">
        <f>'MONTHLY STATS'!$K$58*0.21</f>
        <v>2398867.7516999999</v>
      </c>
      <c r="J31" s="89">
        <f>'MONTHLY STATS'!$K$65*0.21</f>
        <v>2903763.5780999996</v>
      </c>
      <c r="K31" s="89">
        <f>'MONTHLY STATS'!$K$72*0.21</f>
        <v>3157895.2607999998</v>
      </c>
      <c r="L31" s="89">
        <f>'MONTHLY STATS'!$K$79*0.21</f>
        <v>624400.86450000003</v>
      </c>
      <c r="M31" s="89">
        <f>'MONTHLY STATS'!$K$86*0.21</f>
        <v>4772441.4800999993</v>
      </c>
      <c r="N31" s="89">
        <f>'MONTHLY STATS'!$K$93*0.21</f>
        <v>737749.38089999999</v>
      </c>
      <c r="O31" s="90">
        <f>SUM(B31:N31)</f>
        <v>27748129.1829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2651031.0833999999</v>
      </c>
      <c r="C32" s="89">
        <f>'MONTHLY STATS'!$K$17*0.21</f>
        <v>1258855.9683000001</v>
      </c>
      <c r="D32" s="89">
        <f>'MONTHLY STATS'!$K$24*0.21</f>
        <v>692227.40999999992</v>
      </c>
      <c r="E32" s="89">
        <f>'MONTHLY STATS'!$K$31*0.21</f>
        <v>3170806.4156999998</v>
      </c>
      <c r="F32" s="89">
        <f>'MONTHLY STATS'!$K$38*0.21</f>
        <v>3274393.2648</v>
      </c>
      <c r="G32" s="89">
        <f>'MONTHLY STATS'!$K$45*0.21</f>
        <v>1042214.6279999999</v>
      </c>
      <c r="H32" s="89">
        <f>'MONTHLY STATS'!$K$52*0.21</f>
        <v>924689.3459999999</v>
      </c>
      <c r="I32" s="89">
        <f>'MONTHLY STATS'!$K$59*0.21</f>
        <v>2536431.8153999997</v>
      </c>
      <c r="J32" s="89">
        <f>'MONTHLY STATS'!$K$66*0.21</f>
        <v>3012089.7827999997</v>
      </c>
      <c r="K32" s="89">
        <f>'MONTHLY STATS'!$K$73*0.21</f>
        <v>3332804.7480000001</v>
      </c>
      <c r="L32" s="89">
        <f>'MONTHLY STATS'!$K$80*0.21</f>
        <v>645271.1621999999</v>
      </c>
      <c r="M32" s="89">
        <f>'MONTHLY STATS'!$K$87*0.21</f>
        <v>4362897.6908999998</v>
      </c>
      <c r="N32" s="89">
        <f>'MONTHLY STATS'!$K$94*0.21</f>
        <v>745142.79839999997</v>
      </c>
      <c r="O32" s="90">
        <f>SUM(B32:N32)</f>
        <v>27648856.113899998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STATS'!$K$18*0.21</f>
        <v>1240836.3785999999</v>
      </c>
      <c r="D33" s="89">
        <f>'MONTHLY STATS'!$K$25*0.21</f>
        <v>651075.1128</v>
      </c>
      <c r="E33" s="89">
        <f>'MONTHLY STATS'!$K$32*0.21</f>
        <v>3135831.1277999999</v>
      </c>
      <c r="F33" s="89">
        <f>'MONTHLY STATS'!$K$39*0.21</f>
        <v>3087248.5980000002</v>
      </c>
      <c r="G33" s="89">
        <f>'MONTHLY STATS'!$K$46*0.21</f>
        <v>1046144.2025999998</v>
      </c>
      <c r="H33" s="89">
        <f>'MONTHLY STATS'!$K$53*0.21</f>
        <v>1124784.6645</v>
      </c>
      <c r="I33" s="89">
        <f>'MONTHLY STATS'!$K$60*0.21</f>
        <v>2423322.0983999996</v>
      </c>
      <c r="J33" s="89">
        <f>'MONTHLY STATS'!$K$67*0.21</f>
        <v>2854444.1562000001</v>
      </c>
      <c r="K33" s="89">
        <f>'MONTHLY STATS'!$K$74*0.21</f>
        <v>3445275.7394999997</v>
      </c>
      <c r="L33" s="89">
        <f>'MONTHLY STATS'!$K$81*0.21</f>
        <v>591393.38789999997</v>
      </c>
      <c r="M33" s="89">
        <f>'MONTHLY STATS'!$K$88*0.21</f>
        <v>4283428.3064999999</v>
      </c>
      <c r="N33" s="89">
        <f>'MONTHLY STATS'!$K$95*0.21</f>
        <v>673628.92379999999</v>
      </c>
      <c r="O33" s="90">
        <f>SUM(B33:N33)</f>
        <v>27167554.480499998</v>
      </c>
      <c r="P33" s="83"/>
    </row>
    <row r="34" spans="1:16" ht="15.75" x14ac:dyDescent="0.25">
      <c r="A34" s="88">
        <f>DATE(2020,10,1)</f>
        <v>44105</v>
      </c>
      <c r="B34" s="89">
        <f>'MONTHLY STATS'!$K$12*0.21</f>
        <v>2714785.8443999998</v>
      </c>
      <c r="C34" s="89">
        <f>'MONTHLY STATS'!$K$19*0.21</f>
        <v>1200866.0769</v>
      </c>
      <c r="D34" s="89">
        <f>'MONTHLY STATS'!$K$26*0.21</f>
        <v>709462.30530000001</v>
      </c>
      <c r="E34" s="89">
        <f>'MONTHLY STATS'!$K$33*0.21</f>
        <v>3335083.5335999997</v>
      </c>
      <c r="F34" s="89">
        <f>'MONTHLY STATS'!$K$40*0.21</f>
        <v>3141400.1598</v>
      </c>
      <c r="G34" s="89">
        <f>'MONTHLY STATS'!$K$47*0.21</f>
        <v>1048776.6218999999</v>
      </c>
      <c r="H34" s="89">
        <f>'MONTHLY STATS'!$K$54*0.21</f>
        <v>1287500.6172</v>
      </c>
      <c r="I34" s="89">
        <f>'MONTHLY STATS'!$K$61*0.21</f>
        <v>2376266.1993</v>
      </c>
      <c r="J34" s="89">
        <f>'MONTHLY STATS'!$K$68*0.21</f>
        <v>3034014.3393000001</v>
      </c>
      <c r="K34" s="89">
        <f>'MONTHLY STATS'!$K$75*0.21</f>
        <v>3440683.6001999998</v>
      </c>
      <c r="L34" s="89">
        <f>'MONTHLY STATS'!$K$82*0.21</f>
        <v>603164.59770000004</v>
      </c>
      <c r="M34" s="89">
        <f>'MONTHLY STATS'!$K$89*0.21</f>
        <v>4603659.3519000001</v>
      </c>
      <c r="N34" s="89">
        <f>'MONTHLY STATS'!$K$96*0.21</f>
        <v>608673.68519999995</v>
      </c>
      <c r="O34" s="90">
        <f>SUM(B34:N34)</f>
        <v>28104336.932700001</v>
      </c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10835153.8386</v>
      </c>
      <c r="C44" s="90">
        <f t="shared" si="1"/>
        <v>4879355.2100999998</v>
      </c>
      <c r="D44" s="90">
        <f t="shared" si="1"/>
        <v>2780993.7141</v>
      </c>
      <c r="E44" s="90">
        <f t="shared" si="1"/>
        <v>12703296.5766</v>
      </c>
      <c r="F44" s="90">
        <f t="shared" si="1"/>
        <v>12820805.245500002</v>
      </c>
      <c r="G44" s="90">
        <f t="shared" si="1"/>
        <v>4188632.6622000001</v>
      </c>
      <c r="H44" s="90">
        <f t="shared" si="1"/>
        <v>4292928.7631999999</v>
      </c>
      <c r="I44" s="90">
        <f>SUM(I31:I42)</f>
        <v>9734887.8647999987</v>
      </c>
      <c r="J44" s="90">
        <f t="shared" si="1"/>
        <v>11804311.856399998</v>
      </c>
      <c r="K44" s="90">
        <f>SUM(K31:K42)</f>
        <v>13376659.348499998</v>
      </c>
      <c r="L44" s="90">
        <f t="shared" si="1"/>
        <v>2464230.0122999996</v>
      </c>
      <c r="M44" s="90">
        <f t="shared" si="1"/>
        <v>18022426.829399999</v>
      </c>
      <c r="N44" s="90">
        <f t="shared" si="1"/>
        <v>2765194.7883000001</v>
      </c>
      <c r="O44" s="90">
        <f t="shared" si="1"/>
        <v>110668876.71000001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05"/>
  <sheetViews>
    <sheetView showOutlineSymbols="0" view="pageBreakPreview" topLeftCell="A67" zoomScale="60" zoomScaleNormal="100" workbookViewId="0">
      <selection activeCell="K91" sqref="K91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>(+D9-E9)/E9</f>
        <v>-0.10624985431843496</v>
      </c>
      <c r="G9" s="215">
        <f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1567013</v>
      </c>
      <c r="E10" s="204">
        <v>1845303</v>
      </c>
      <c r="F10" s="132">
        <f>(+D10-E10)/E10</f>
        <v>-0.1508099211890947</v>
      </c>
      <c r="G10" s="215">
        <f>D10/C10</f>
        <v>0.17905717978482921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>(+D11-E11)/E11</f>
        <v>-0.19086975180392293</v>
      </c>
      <c r="G11" s="215">
        <f>D11/C11</f>
        <v>0.15856997563203684</v>
      </c>
      <c r="H11" s="123"/>
    </row>
    <row r="12" spans="1:8" ht="15.75" x14ac:dyDescent="0.2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>(+D12-E12)/E12</f>
        <v>-0.18908717638461522</v>
      </c>
      <c r="G12" s="215">
        <f>D12/C12</f>
        <v>0.16993987135838062</v>
      </c>
      <c r="H12" s="123"/>
    </row>
    <row r="13" spans="1:8" ht="15.75" thickBot="1" x14ac:dyDescent="0.25">
      <c r="A13" s="133"/>
      <c r="B13" s="134"/>
      <c r="C13" s="204"/>
      <c r="D13" s="204"/>
      <c r="E13" s="204"/>
      <c r="F13" s="132"/>
      <c r="G13" s="215"/>
      <c r="H13" s="123"/>
    </row>
    <row r="14" spans="1:8" ht="17.25" thickTop="1" thickBot="1" x14ac:dyDescent="0.3">
      <c r="A14" s="135" t="s">
        <v>14</v>
      </c>
      <c r="B14" s="136"/>
      <c r="C14" s="201">
        <f>SUM(C9:C13)</f>
        <v>36235803.409999996</v>
      </c>
      <c r="D14" s="201">
        <f>SUM(D9:D13)</f>
        <v>6400446.4100000001</v>
      </c>
      <c r="E14" s="201">
        <f>SUM(E9:E13)</f>
        <v>7585583.5</v>
      </c>
      <c r="F14" s="137">
        <f>(+D14-E14)/E14</f>
        <v>-0.15623545505761025</v>
      </c>
      <c r="G14" s="212">
        <f>D14/C14</f>
        <v>0.17663321377424376</v>
      </c>
      <c r="H14" s="123"/>
    </row>
    <row r="15" spans="1:8" ht="15.75" customHeight="1" thickTop="1" x14ac:dyDescent="0.25">
      <c r="A15" s="138"/>
      <c r="B15" s="139"/>
      <c r="C15" s="205"/>
      <c r="D15" s="205"/>
      <c r="E15" s="205"/>
      <c r="F15" s="140"/>
      <c r="G15" s="216"/>
      <c r="H15" s="123"/>
    </row>
    <row r="16" spans="1:8" ht="15.75" x14ac:dyDescent="0.25">
      <c r="A16" s="19" t="s">
        <v>15</v>
      </c>
      <c r="B16" s="131">
        <f>DATE(2020,7,1)</f>
        <v>44013</v>
      </c>
      <c r="C16" s="204">
        <v>1658177</v>
      </c>
      <c r="D16" s="204">
        <v>547209</v>
      </c>
      <c r="E16" s="204">
        <v>728719</v>
      </c>
      <c r="F16" s="132">
        <f>(+D16-E16)/E16</f>
        <v>-0.24908092145257638</v>
      </c>
      <c r="G16" s="215">
        <f>D16/C16</f>
        <v>0.33000638653171527</v>
      </c>
      <c r="H16" s="123"/>
    </row>
    <row r="17" spans="1:8" ht="15.75" x14ac:dyDescent="0.25">
      <c r="A17" s="19"/>
      <c r="B17" s="131">
        <f>DATE(2020,8,1)</f>
        <v>44044</v>
      </c>
      <c r="C17" s="204">
        <v>1982325</v>
      </c>
      <c r="D17" s="204">
        <v>526001.5</v>
      </c>
      <c r="E17" s="204">
        <v>718107.5</v>
      </c>
      <c r="F17" s="132">
        <f>(+D17-E17)/E17</f>
        <v>-0.2675170500238474</v>
      </c>
      <c r="G17" s="215">
        <f>D17/C17</f>
        <v>0.26534574300379604</v>
      </c>
      <c r="H17" s="123"/>
    </row>
    <row r="18" spans="1:8" ht="15.75" x14ac:dyDescent="0.25">
      <c r="A18" s="19"/>
      <c r="B18" s="131">
        <f>DATE(2020,9,1)</f>
        <v>44075</v>
      </c>
      <c r="C18" s="204">
        <v>1922059</v>
      </c>
      <c r="D18" s="204">
        <v>401819.5</v>
      </c>
      <c r="E18" s="204">
        <v>573243</v>
      </c>
      <c r="F18" s="132">
        <f>(+D18-E18)/E18</f>
        <v>-0.29904159318125123</v>
      </c>
      <c r="G18" s="215">
        <f>D18/C18</f>
        <v>0.20905679794428786</v>
      </c>
      <c r="H18" s="123"/>
    </row>
    <row r="19" spans="1:8" ht="15.75" x14ac:dyDescent="0.25">
      <c r="A19" s="19"/>
      <c r="B19" s="131">
        <f>DATE(2020,10,1)</f>
        <v>44105</v>
      </c>
      <c r="C19" s="204">
        <v>2326336</v>
      </c>
      <c r="D19" s="204">
        <v>614154.5</v>
      </c>
      <c r="E19" s="204">
        <v>591260.5</v>
      </c>
      <c r="F19" s="132">
        <f>(+D19-E19)/E19</f>
        <v>3.872066542581485E-2</v>
      </c>
      <c r="G19" s="215">
        <f>D19/C19</f>
        <v>0.26400077202949185</v>
      </c>
      <c r="H19" s="123"/>
    </row>
    <row r="20" spans="1:8" ht="15.75" thickBot="1" x14ac:dyDescent="0.25">
      <c r="A20" s="133"/>
      <c r="B20" s="131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SUM(C16:C20)</f>
        <v>7888897</v>
      </c>
      <c r="D21" s="201">
        <f>SUM(D16:D20)</f>
        <v>2089184.5</v>
      </c>
      <c r="E21" s="201">
        <f>SUM(E16:E20)</f>
        <v>2611330</v>
      </c>
      <c r="F21" s="137">
        <f>(+D21-E21)/E21</f>
        <v>-0.199953854932161</v>
      </c>
      <c r="G21" s="212">
        <f>D21/C21</f>
        <v>0.26482593193953474</v>
      </c>
      <c r="H21" s="123"/>
    </row>
    <row r="22" spans="1:8" ht="15.75" customHeight="1" thickTop="1" x14ac:dyDescent="0.25">
      <c r="A22" s="255"/>
      <c r="B22" s="139"/>
      <c r="C22" s="205"/>
      <c r="D22" s="205"/>
      <c r="E22" s="205"/>
      <c r="F22" s="140"/>
      <c r="G22" s="219"/>
      <c r="H22" s="123"/>
    </row>
    <row r="23" spans="1:8" ht="15.75" x14ac:dyDescent="0.25">
      <c r="A23" s="19" t="s">
        <v>65</v>
      </c>
      <c r="B23" s="131">
        <f>DATE(2020,7,1)</f>
        <v>44013</v>
      </c>
      <c r="C23" s="204">
        <v>1270413</v>
      </c>
      <c r="D23" s="204">
        <v>362069</v>
      </c>
      <c r="E23" s="204">
        <v>293379.5</v>
      </c>
      <c r="F23" s="132">
        <f>(+D23-E23)/E23</f>
        <v>0.23413190083151686</v>
      </c>
      <c r="G23" s="215">
        <f>D23/C23</f>
        <v>0.28500101935354882</v>
      </c>
      <c r="H23" s="123"/>
    </row>
    <row r="24" spans="1:8" ht="15.75" x14ac:dyDescent="0.25">
      <c r="A24" s="19"/>
      <c r="B24" s="131">
        <f>DATE(2020,8,1)</f>
        <v>44044</v>
      </c>
      <c r="C24" s="204">
        <v>1273813</v>
      </c>
      <c r="D24" s="204">
        <v>264520</v>
      </c>
      <c r="E24" s="204">
        <v>306469</v>
      </c>
      <c r="F24" s="132">
        <f>(+D24-E24)/E24</f>
        <v>-0.13687844447562397</v>
      </c>
      <c r="G24" s="215">
        <f>D24/C24</f>
        <v>0.20765999404936203</v>
      </c>
      <c r="H24" s="123"/>
    </row>
    <row r="25" spans="1:8" ht="15.75" x14ac:dyDescent="0.25">
      <c r="A25" s="19"/>
      <c r="B25" s="131">
        <f>DATE(2020,9,1)</f>
        <v>44075</v>
      </c>
      <c r="C25" s="204">
        <v>1439276</v>
      </c>
      <c r="D25" s="204">
        <v>282126.5</v>
      </c>
      <c r="E25" s="204">
        <v>301048.5</v>
      </c>
      <c r="F25" s="132">
        <f>(+D25-E25)/E25</f>
        <v>-6.2853659792359032E-2</v>
      </c>
      <c r="G25" s="215">
        <f>D25/C25</f>
        <v>0.19601973492228036</v>
      </c>
      <c r="H25" s="123"/>
    </row>
    <row r="26" spans="1:8" ht="15.75" x14ac:dyDescent="0.25">
      <c r="A26" s="19"/>
      <c r="B26" s="131">
        <f>DATE(2020,10,1)</f>
        <v>44105</v>
      </c>
      <c r="C26" s="204">
        <v>1274380</v>
      </c>
      <c r="D26" s="204">
        <v>409251</v>
      </c>
      <c r="E26" s="204">
        <v>332474</v>
      </c>
      <c r="F26" s="132">
        <f>(+D26-E26)/E26</f>
        <v>0.2309263280737742</v>
      </c>
      <c r="G26" s="215">
        <f>D26/C26</f>
        <v>0.32113733737189848</v>
      </c>
      <c r="H26" s="123"/>
    </row>
    <row r="27" spans="1:8" ht="15.75" thickBot="1" x14ac:dyDescent="0.25">
      <c r="A27" s="133"/>
      <c r="B27" s="131"/>
      <c r="C27" s="204"/>
      <c r="D27" s="204"/>
      <c r="E27" s="204"/>
      <c r="F27" s="132"/>
      <c r="G27" s="215"/>
      <c r="H27" s="123"/>
    </row>
    <row r="28" spans="1:8" ht="17.25" thickTop="1" thickBot="1" x14ac:dyDescent="0.3">
      <c r="A28" s="141" t="s">
        <v>14</v>
      </c>
      <c r="B28" s="142"/>
      <c r="C28" s="206">
        <f>SUM(C23:C27)</f>
        <v>5257882</v>
      </c>
      <c r="D28" s="206">
        <f>SUM(D23:D27)</f>
        <v>1317966.5</v>
      </c>
      <c r="E28" s="206">
        <f>SUM(E23:E27)</f>
        <v>1233371</v>
      </c>
      <c r="F28" s="143">
        <f>(+D28-E28)/E28</f>
        <v>6.8588851205355086E-2</v>
      </c>
      <c r="G28" s="217">
        <f>D28/C28</f>
        <v>0.25066490651558937</v>
      </c>
      <c r="H28" s="123"/>
    </row>
    <row r="29" spans="1:8" ht="15.75" thickTop="1" x14ac:dyDescent="0.2">
      <c r="A29" s="133"/>
      <c r="B29" s="134"/>
      <c r="C29" s="204"/>
      <c r="D29" s="204"/>
      <c r="E29" s="204"/>
      <c r="F29" s="132"/>
      <c r="G29" s="218"/>
      <c r="H29" s="123"/>
    </row>
    <row r="30" spans="1:8" ht="15.75" x14ac:dyDescent="0.25">
      <c r="A30" s="177" t="s">
        <v>59</v>
      </c>
      <c r="B30" s="131">
        <f>DATE(2020,7,1)</f>
        <v>44013</v>
      </c>
      <c r="C30" s="204">
        <v>10382905</v>
      </c>
      <c r="D30" s="204">
        <v>1708169.06</v>
      </c>
      <c r="E30" s="204">
        <v>3167330.9</v>
      </c>
      <c r="F30" s="132">
        <f>(+D30-E30)/E30</f>
        <v>-0.46069131583315148</v>
      </c>
      <c r="G30" s="215">
        <f>D30/C30</f>
        <v>0.16451745055935696</v>
      </c>
      <c r="H30" s="123"/>
    </row>
    <row r="31" spans="1:8" ht="15.75" x14ac:dyDescent="0.25">
      <c r="A31" s="177"/>
      <c r="B31" s="131">
        <f>DATE(2020,8,1)</f>
        <v>44044</v>
      </c>
      <c r="C31" s="204">
        <v>11468634</v>
      </c>
      <c r="D31" s="204">
        <v>2028826.5</v>
      </c>
      <c r="E31" s="204">
        <v>3869820.12</v>
      </c>
      <c r="F31" s="132">
        <f>(+D31-E31)/E31</f>
        <v>-0.47573105801103749</v>
      </c>
      <c r="G31" s="215">
        <f>D31/C31</f>
        <v>0.17690219253661771</v>
      </c>
      <c r="H31" s="123"/>
    </row>
    <row r="32" spans="1:8" ht="15.75" x14ac:dyDescent="0.25">
      <c r="A32" s="177"/>
      <c r="B32" s="131">
        <f>DATE(2020,9,1)</f>
        <v>44075</v>
      </c>
      <c r="C32" s="204">
        <v>10567803</v>
      </c>
      <c r="D32" s="204">
        <v>2149169</v>
      </c>
      <c r="E32" s="204">
        <v>2776000.96</v>
      </c>
      <c r="F32" s="132">
        <f>(+D32-E32)/E32</f>
        <v>-0.22580394208509205</v>
      </c>
      <c r="G32" s="215">
        <f>D32/C32</f>
        <v>0.20336951777015524</v>
      </c>
      <c r="H32" s="123"/>
    </row>
    <row r="33" spans="1:8" ht="15.75" x14ac:dyDescent="0.25">
      <c r="A33" s="177"/>
      <c r="B33" s="131">
        <f>DATE(2020,10,1)</f>
        <v>44105</v>
      </c>
      <c r="C33" s="204">
        <v>11375206</v>
      </c>
      <c r="D33" s="204">
        <v>2042559.98</v>
      </c>
      <c r="E33" s="204">
        <v>3235048.5</v>
      </c>
      <c r="F33" s="132">
        <f>(+D33-E33)/E33</f>
        <v>-0.3686153453340808</v>
      </c>
      <c r="G33" s="215">
        <f>D33/C33</f>
        <v>0.17956246067104192</v>
      </c>
      <c r="H33" s="123"/>
    </row>
    <row r="34" spans="1:8" ht="15.75" customHeight="1" thickBot="1" x14ac:dyDescent="0.25">
      <c r="A34" s="133"/>
      <c r="B34" s="134"/>
      <c r="C34" s="204"/>
      <c r="D34" s="204"/>
      <c r="E34" s="204"/>
      <c r="F34" s="132"/>
      <c r="G34" s="215"/>
      <c r="H34" s="123"/>
    </row>
    <row r="35" spans="1:8" ht="17.25" customHeight="1" thickTop="1" thickBot="1" x14ac:dyDescent="0.3">
      <c r="A35" s="141" t="s">
        <v>14</v>
      </c>
      <c r="B35" s="142"/>
      <c r="C35" s="206">
        <f>SUM(C30:C34)</f>
        <v>43794548</v>
      </c>
      <c r="D35" s="206">
        <f>SUM(D30:D34)</f>
        <v>7928724.540000001</v>
      </c>
      <c r="E35" s="206">
        <f>SUM(E30:E34)</f>
        <v>13048200.48</v>
      </c>
      <c r="F35" s="143">
        <f>(+D35-E35)/E35</f>
        <v>-0.39235110985970989</v>
      </c>
      <c r="G35" s="217">
        <f>D35/C35</f>
        <v>0.18104364360604888</v>
      </c>
      <c r="H35" s="123"/>
    </row>
    <row r="36" spans="1:8" ht="15.75" customHeight="1" thickTop="1" x14ac:dyDescent="0.2">
      <c r="A36" s="133"/>
      <c r="B36" s="134"/>
      <c r="C36" s="204"/>
      <c r="D36" s="204"/>
      <c r="E36" s="204"/>
      <c r="F36" s="132"/>
      <c r="G36" s="218"/>
      <c r="H36" s="123"/>
    </row>
    <row r="37" spans="1:8" ht="15" customHeight="1" x14ac:dyDescent="0.25">
      <c r="A37" s="130" t="s">
        <v>63</v>
      </c>
      <c r="B37" s="131">
        <f>DATE(2020,7,1)</f>
        <v>44013</v>
      </c>
      <c r="C37" s="204">
        <v>12794651</v>
      </c>
      <c r="D37" s="204">
        <v>2410424.5</v>
      </c>
      <c r="E37" s="204">
        <v>2665528.5</v>
      </c>
      <c r="F37" s="132">
        <f>(+D37-E37)/E37</f>
        <v>-9.5704848025447861E-2</v>
      </c>
      <c r="G37" s="215">
        <f>D37/C37</f>
        <v>0.18839314179026845</v>
      </c>
      <c r="H37" s="123"/>
    </row>
    <row r="38" spans="1:8" ht="15" customHeight="1" x14ac:dyDescent="0.25">
      <c r="A38" s="130"/>
      <c r="B38" s="131">
        <f>DATE(2020,8,1)</f>
        <v>44044</v>
      </c>
      <c r="C38" s="204">
        <v>14515756</v>
      </c>
      <c r="D38" s="204">
        <v>3089216</v>
      </c>
      <c r="E38" s="204">
        <v>3359489.5</v>
      </c>
      <c r="F38" s="132">
        <f>(+D38-E38)/E38</f>
        <v>-8.0450764915324186E-2</v>
      </c>
      <c r="G38" s="215">
        <f>D38/C38</f>
        <v>0.21281812673070558</v>
      </c>
      <c r="H38" s="123"/>
    </row>
    <row r="39" spans="1:8" ht="15" customHeight="1" x14ac:dyDescent="0.25">
      <c r="A39" s="130"/>
      <c r="B39" s="131">
        <f>DATE(2020,9,1)</f>
        <v>44075</v>
      </c>
      <c r="C39" s="204">
        <v>14427547.390000001</v>
      </c>
      <c r="D39" s="204">
        <v>3482647.89</v>
      </c>
      <c r="E39" s="204">
        <v>3201605.5</v>
      </c>
      <c r="F39" s="132">
        <f>(+D39-E39)/E39</f>
        <v>8.7781705147620515E-2</v>
      </c>
      <c r="G39" s="215">
        <f>D39/C39</f>
        <v>0.24138876801845666</v>
      </c>
      <c r="H39" s="123"/>
    </row>
    <row r="40" spans="1:8" ht="15" customHeight="1" x14ac:dyDescent="0.25">
      <c r="A40" s="130"/>
      <c r="B40" s="131">
        <f>DATE(2020,10,1)</f>
        <v>44105</v>
      </c>
      <c r="C40" s="204">
        <v>13869107</v>
      </c>
      <c r="D40" s="204">
        <v>3519544</v>
      </c>
      <c r="E40" s="204">
        <v>3223827</v>
      </c>
      <c r="F40" s="132">
        <f>(+D40-E40)/E40</f>
        <v>9.1728557394674087E-2</v>
      </c>
      <c r="G40" s="215">
        <f>D40/C40</f>
        <v>0.25376860961560105</v>
      </c>
      <c r="H40" s="123"/>
    </row>
    <row r="41" spans="1:8" ht="15.75" thickBot="1" x14ac:dyDescent="0.25">
      <c r="A41" s="133"/>
      <c r="B41" s="131"/>
      <c r="C41" s="204"/>
      <c r="D41" s="204"/>
      <c r="E41" s="204"/>
      <c r="F41" s="132"/>
      <c r="G41" s="215"/>
      <c r="H41" s="123"/>
    </row>
    <row r="42" spans="1:8" ht="17.25" customHeight="1" thickTop="1" thickBot="1" x14ac:dyDescent="0.3">
      <c r="A42" s="141" t="s">
        <v>14</v>
      </c>
      <c r="B42" s="142"/>
      <c r="C42" s="207">
        <f>SUM(C37:C41)</f>
        <v>55607061.390000001</v>
      </c>
      <c r="D42" s="261">
        <f>SUM(D37:D41)</f>
        <v>12501832.390000001</v>
      </c>
      <c r="E42" s="206">
        <f>SUM(E37:E41)</f>
        <v>12450450.5</v>
      </c>
      <c r="F42" s="268">
        <f>(+D42-E42)/E42</f>
        <v>4.1269101065861506E-3</v>
      </c>
      <c r="G42" s="267">
        <f>D42/C42</f>
        <v>0.22482454705380719</v>
      </c>
      <c r="H42" s="123"/>
    </row>
    <row r="43" spans="1:8" ht="15.75" customHeight="1" thickTop="1" x14ac:dyDescent="0.25">
      <c r="A43" s="130"/>
      <c r="B43" s="134"/>
      <c r="C43" s="204"/>
      <c r="D43" s="204"/>
      <c r="E43" s="204"/>
      <c r="F43" s="132"/>
      <c r="G43" s="218"/>
      <c r="H43" s="123"/>
    </row>
    <row r="44" spans="1:8" ht="15.75" x14ac:dyDescent="0.25">
      <c r="A44" s="130" t="s">
        <v>68</v>
      </c>
      <c r="B44" s="131">
        <f>DATE(2020,7,1)</f>
        <v>44013</v>
      </c>
      <c r="C44" s="204">
        <v>2263375</v>
      </c>
      <c r="D44" s="204">
        <v>572750</v>
      </c>
      <c r="E44" s="204">
        <v>550912.5</v>
      </c>
      <c r="F44" s="132">
        <f>(+D44-E44)/E44</f>
        <v>3.9638781113153179E-2</v>
      </c>
      <c r="G44" s="215">
        <f>D44/C44</f>
        <v>0.25305130612470317</v>
      </c>
      <c r="H44" s="123"/>
    </row>
    <row r="45" spans="1:8" ht="15.75" x14ac:dyDescent="0.25">
      <c r="A45" s="130"/>
      <c r="B45" s="131">
        <f>DATE(2020,8,1)</f>
        <v>44044</v>
      </c>
      <c r="C45" s="204">
        <v>2272442</v>
      </c>
      <c r="D45" s="204">
        <v>629353.5</v>
      </c>
      <c r="E45" s="204">
        <v>544892.5</v>
      </c>
      <c r="F45" s="132">
        <f>(+D45-E45)/E45</f>
        <v>0.15500488628490941</v>
      </c>
      <c r="G45" s="215">
        <f>D45/C45</f>
        <v>0.27695030280200772</v>
      </c>
      <c r="H45" s="123"/>
    </row>
    <row r="46" spans="1:8" ht="15.75" x14ac:dyDescent="0.25">
      <c r="A46" s="130"/>
      <c r="B46" s="131">
        <f>DATE(2020,9,1)</f>
        <v>44075</v>
      </c>
      <c r="C46" s="204">
        <v>1993931</v>
      </c>
      <c r="D46" s="204">
        <v>564621.5</v>
      </c>
      <c r="E46" s="204">
        <v>648210.4</v>
      </c>
      <c r="F46" s="132">
        <f>(+D46-E46)/E46</f>
        <v>-0.12895334601234418</v>
      </c>
      <c r="G46" s="215">
        <f>D46/C46</f>
        <v>0.2831700294543793</v>
      </c>
      <c r="H46" s="123"/>
    </row>
    <row r="47" spans="1:8" ht="15.75" x14ac:dyDescent="0.25">
      <c r="A47" s="130"/>
      <c r="B47" s="131">
        <f>DATE(2020,10,1)</f>
        <v>44105</v>
      </c>
      <c r="C47" s="204">
        <v>1898010</v>
      </c>
      <c r="D47" s="204">
        <v>553335.5</v>
      </c>
      <c r="E47" s="204">
        <v>633881.5</v>
      </c>
      <c r="F47" s="132">
        <f>(+D47-E47)/E47</f>
        <v>-0.12706791411328458</v>
      </c>
      <c r="G47" s="215">
        <f>D47/C47</f>
        <v>0.29153455461246253</v>
      </c>
      <c r="H47" s="123"/>
    </row>
    <row r="48" spans="1:8" ht="15.75" customHeight="1" thickBot="1" x14ac:dyDescent="0.3">
      <c r="A48" s="130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7">
        <f>SUM(C44:C48)</f>
        <v>8427758</v>
      </c>
      <c r="D49" s="261">
        <f>SUM(D44:D48)</f>
        <v>2320060.5</v>
      </c>
      <c r="E49" s="207">
        <f>SUM(E44:E48)</f>
        <v>2377896.9</v>
      </c>
      <c r="F49" s="268">
        <f>(+D49-E49)/E49</f>
        <v>-2.4322501114324976E-2</v>
      </c>
      <c r="G49" s="267">
        <f>D49/C49</f>
        <v>0.27528798287753398</v>
      </c>
      <c r="H49" s="123"/>
    </row>
    <row r="50" spans="1:8" ht="15.75" customHeight="1" thickTop="1" x14ac:dyDescent="0.25">
      <c r="A50" s="130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30" t="s">
        <v>66</v>
      </c>
      <c r="B51" s="131">
        <f>DATE(2020,7,1)</f>
        <v>44013</v>
      </c>
      <c r="C51" s="204">
        <v>1014737</v>
      </c>
      <c r="D51" s="204">
        <v>248734.5</v>
      </c>
      <c r="E51" s="204">
        <v>255421</v>
      </c>
      <c r="F51" s="132">
        <f>(+D51-E51)/E51</f>
        <v>-2.6178348687069582E-2</v>
      </c>
      <c r="G51" s="215">
        <f>D51/C51</f>
        <v>0.24512213509510347</v>
      </c>
      <c r="H51" s="123"/>
    </row>
    <row r="52" spans="1:8" ht="15.75" x14ac:dyDescent="0.25">
      <c r="A52" s="130"/>
      <c r="B52" s="131">
        <f>DATE(2020,8,1)</f>
        <v>44044</v>
      </c>
      <c r="C52" s="204">
        <v>1314485</v>
      </c>
      <c r="D52" s="204">
        <v>268487</v>
      </c>
      <c r="E52" s="204">
        <v>366605.5</v>
      </c>
      <c r="F52" s="132">
        <f>(+D52-E52)/E52</f>
        <v>-0.26764055640190887</v>
      </c>
      <c r="G52" s="215">
        <f>D52/C52</f>
        <v>0.20425261604354558</v>
      </c>
      <c r="H52" s="123"/>
    </row>
    <row r="53" spans="1:8" ht="15.75" x14ac:dyDescent="0.25">
      <c r="A53" s="130"/>
      <c r="B53" s="131">
        <f>DATE(2020,9,1)</f>
        <v>44075</v>
      </c>
      <c r="C53" s="204">
        <v>1245407</v>
      </c>
      <c r="D53" s="204">
        <v>277957.5</v>
      </c>
      <c r="E53" s="204">
        <v>323382</v>
      </c>
      <c r="F53" s="132">
        <f>(+D53-E53)/E53</f>
        <v>-0.14046700187394476</v>
      </c>
      <c r="G53" s="215">
        <f>D53/C53</f>
        <v>0.22318607491366277</v>
      </c>
      <c r="H53" s="123"/>
    </row>
    <row r="54" spans="1:8" ht="15.75" x14ac:dyDescent="0.25">
      <c r="A54" s="130"/>
      <c r="B54" s="131">
        <f>DATE(2020,10,1)</f>
        <v>44105</v>
      </c>
      <c r="C54" s="204">
        <v>1388391</v>
      </c>
      <c r="D54" s="204">
        <v>307011.5</v>
      </c>
      <c r="E54" s="204">
        <v>301934</v>
      </c>
      <c r="F54" s="132">
        <f>(+D54-E54)/E54</f>
        <v>1.6816589055886386E-2</v>
      </c>
      <c r="G54" s="215">
        <f>D54/C54</f>
        <v>0.22112754980405375</v>
      </c>
      <c r="H54" s="123"/>
    </row>
    <row r="55" spans="1:8" ht="15.75" customHeight="1" thickBot="1" x14ac:dyDescent="0.3">
      <c r="A55" s="130"/>
      <c r="B55" s="131"/>
      <c r="C55" s="204"/>
      <c r="D55" s="204"/>
      <c r="E55" s="204"/>
      <c r="F55" s="132"/>
      <c r="G55" s="215"/>
      <c r="H55" s="123"/>
    </row>
    <row r="56" spans="1:8" ht="17.25" thickTop="1" thickBot="1" x14ac:dyDescent="0.3">
      <c r="A56" s="141" t="s">
        <v>14</v>
      </c>
      <c r="B56" s="142"/>
      <c r="C56" s="207">
        <f>SUM(C51:C55)</f>
        <v>4963020</v>
      </c>
      <c r="D56" s="261">
        <f>SUM(D51:D55)</f>
        <v>1102190.5</v>
      </c>
      <c r="E56" s="207">
        <f>SUM(E51:E55)</f>
        <v>1247342.5</v>
      </c>
      <c r="F56" s="269">
        <f>(+D56-E56)/E56</f>
        <v>-0.11636900049505249</v>
      </c>
      <c r="G56" s="267">
        <f>D56/C56</f>
        <v>0.22208060817808511</v>
      </c>
      <c r="H56" s="123"/>
    </row>
    <row r="57" spans="1:8" ht="15.75" customHeight="1" thickTop="1" x14ac:dyDescent="0.25">
      <c r="A57" s="130"/>
      <c r="B57" s="139"/>
      <c r="C57" s="205"/>
      <c r="D57" s="205"/>
      <c r="E57" s="205"/>
      <c r="F57" s="140"/>
      <c r="G57" s="216"/>
      <c r="H57" s="123"/>
    </row>
    <row r="58" spans="1:8" ht="15.75" x14ac:dyDescent="0.25">
      <c r="A58" s="130" t="s">
        <v>52</v>
      </c>
      <c r="B58" s="131">
        <f>DATE(2020,7,1)</f>
        <v>44013</v>
      </c>
      <c r="C58" s="204">
        <v>3151915</v>
      </c>
      <c r="D58" s="204">
        <v>671384</v>
      </c>
      <c r="E58" s="204">
        <v>1702644.86</v>
      </c>
      <c r="F58" s="132">
        <f>(+D58-E58)/E58</f>
        <v>-0.60568171568086138</v>
      </c>
      <c r="G58" s="215">
        <f>D58/C58</f>
        <v>0.21300828226649512</v>
      </c>
      <c r="H58" s="123"/>
    </row>
    <row r="59" spans="1:8" ht="15.75" x14ac:dyDescent="0.25">
      <c r="A59" s="130"/>
      <c r="B59" s="131">
        <f>DATE(2020,8,1)</f>
        <v>44044</v>
      </c>
      <c r="C59" s="204">
        <v>3093947</v>
      </c>
      <c r="D59" s="204">
        <v>647438.06000000006</v>
      </c>
      <c r="E59" s="204">
        <v>2308275.88</v>
      </c>
      <c r="F59" s="132">
        <f>(+D59-E59)/E59</f>
        <v>-0.71951443689651162</v>
      </c>
      <c r="G59" s="215">
        <f>D59/C59</f>
        <v>0.2092595833089578</v>
      </c>
      <c r="H59" s="123"/>
    </row>
    <row r="60" spans="1:8" ht="15.75" x14ac:dyDescent="0.25">
      <c r="A60" s="130"/>
      <c r="B60" s="131">
        <f>DATE(2020,9,1)</f>
        <v>44075</v>
      </c>
      <c r="C60" s="204">
        <v>3761958</v>
      </c>
      <c r="D60" s="204">
        <v>476389</v>
      </c>
      <c r="E60" s="204">
        <v>1996051.56</v>
      </c>
      <c r="F60" s="132">
        <f>(+D60-E60)/E60</f>
        <v>-0.76133432144408131</v>
      </c>
      <c r="G60" s="215">
        <f>D60/C60</f>
        <v>0.12663325853186028</v>
      </c>
      <c r="H60" s="123"/>
    </row>
    <row r="61" spans="1:8" ht="15.75" x14ac:dyDescent="0.25">
      <c r="A61" s="130"/>
      <c r="B61" s="131">
        <f>DATE(2020,10,1)</f>
        <v>44105</v>
      </c>
      <c r="C61" s="204">
        <v>3789812</v>
      </c>
      <c r="D61" s="204">
        <v>822284.63</v>
      </c>
      <c r="E61" s="204">
        <v>2026195.69</v>
      </c>
      <c r="F61" s="132">
        <f>(+D61-E61)/E61</f>
        <v>-0.59417314227926332</v>
      </c>
      <c r="G61" s="215">
        <f>D61/C61</f>
        <v>0.21697240654681552</v>
      </c>
      <c r="H61" s="123"/>
    </row>
    <row r="62" spans="1:8" ht="15.75" customHeight="1" thickBot="1" x14ac:dyDescent="0.3">
      <c r="A62" s="130"/>
      <c r="B62" s="131"/>
      <c r="C62" s="204"/>
      <c r="D62" s="204"/>
      <c r="E62" s="204"/>
      <c r="F62" s="132"/>
      <c r="G62" s="215"/>
      <c r="H62" s="123"/>
    </row>
    <row r="63" spans="1:8" ht="17.25" thickTop="1" thickBot="1" x14ac:dyDescent="0.3">
      <c r="A63" s="141" t="s">
        <v>14</v>
      </c>
      <c r="B63" s="142"/>
      <c r="C63" s="206">
        <f>SUM(C58:C62)</f>
        <v>13797632</v>
      </c>
      <c r="D63" s="206">
        <f>SUM(D58:D62)</f>
        <v>2617495.69</v>
      </c>
      <c r="E63" s="206">
        <f>SUM(E58:E62)</f>
        <v>8033167.9900000002</v>
      </c>
      <c r="F63" s="143">
        <f>(+D63-E63)/E63</f>
        <v>-0.67416395458698741</v>
      </c>
      <c r="G63" s="217">
        <f>D63/C63</f>
        <v>0.1897061532007811</v>
      </c>
      <c r="H63" s="123"/>
    </row>
    <row r="64" spans="1:8" ht="15.75" customHeight="1" thickTop="1" x14ac:dyDescent="0.25">
      <c r="A64" s="138"/>
      <c r="B64" s="139"/>
      <c r="C64" s="205"/>
      <c r="D64" s="205"/>
      <c r="E64" s="205"/>
      <c r="F64" s="140"/>
      <c r="G64" s="216"/>
      <c r="H64" s="123"/>
    </row>
    <row r="65" spans="1:8" ht="15.75" x14ac:dyDescent="0.25">
      <c r="A65" s="130" t="s">
        <v>16</v>
      </c>
      <c r="B65" s="131">
        <f>DATE(2020,7,1)</f>
        <v>44013</v>
      </c>
      <c r="C65" s="204">
        <v>8611169</v>
      </c>
      <c r="D65" s="204">
        <v>1702806.5</v>
      </c>
      <c r="E65" s="204">
        <v>2126431.5</v>
      </c>
      <c r="F65" s="132">
        <f>(+D65-E65)/E65</f>
        <v>-0.19921873805951426</v>
      </c>
      <c r="G65" s="215">
        <f>D65/C65</f>
        <v>0.19774394161814732</v>
      </c>
      <c r="H65" s="123"/>
    </row>
    <row r="66" spans="1:8" ht="15.75" x14ac:dyDescent="0.25">
      <c r="A66" s="130"/>
      <c r="B66" s="131">
        <f>DATE(2020,8,1)</f>
        <v>44044</v>
      </c>
      <c r="C66" s="204">
        <v>7982010</v>
      </c>
      <c r="D66" s="204">
        <v>1570570.5</v>
      </c>
      <c r="E66" s="204">
        <v>2726871</v>
      </c>
      <c r="F66" s="132">
        <f>(+D66-E66)/E66</f>
        <v>-0.4240393109905089</v>
      </c>
      <c r="G66" s="215">
        <f>D66/C66</f>
        <v>0.1967637850616574</v>
      </c>
      <c r="H66" s="123"/>
    </row>
    <row r="67" spans="1:8" ht="15.75" x14ac:dyDescent="0.25">
      <c r="A67" s="130"/>
      <c r="B67" s="131">
        <f>DATE(2020,9,1)</f>
        <v>44075</v>
      </c>
      <c r="C67" s="204">
        <v>8162396</v>
      </c>
      <c r="D67" s="204">
        <v>1447626.5</v>
      </c>
      <c r="E67" s="204">
        <v>2679876</v>
      </c>
      <c r="F67" s="132">
        <f>(+D67-E67)/E67</f>
        <v>-0.45981586461463142</v>
      </c>
      <c r="G67" s="215">
        <f>D67/C67</f>
        <v>0.17735313258508897</v>
      </c>
      <c r="H67" s="123"/>
    </row>
    <row r="68" spans="1:8" ht="15.75" x14ac:dyDescent="0.25">
      <c r="A68" s="130"/>
      <c r="B68" s="131">
        <f>DATE(2020,10,1)</f>
        <v>44105</v>
      </c>
      <c r="C68" s="204">
        <v>8619144</v>
      </c>
      <c r="D68" s="204">
        <v>1659455</v>
      </c>
      <c r="E68" s="204">
        <v>3088329</v>
      </c>
      <c r="F68" s="132">
        <f>(+D68-E68)/E68</f>
        <v>-0.46266897082532332</v>
      </c>
      <c r="G68" s="215">
        <f>D68/C68</f>
        <v>0.1925313000919813</v>
      </c>
      <c r="H68" s="123"/>
    </row>
    <row r="69" spans="1:8" ht="15.75" customHeight="1" thickBot="1" x14ac:dyDescent="0.3">
      <c r="A69" s="130"/>
      <c r="B69" s="131"/>
      <c r="C69" s="204"/>
      <c r="D69" s="204"/>
      <c r="E69" s="204"/>
      <c r="F69" s="132"/>
      <c r="G69" s="215"/>
      <c r="H69" s="123"/>
    </row>
    <row r="70" spans="1:8" ht="17.25" thickTop="1" thickBot="1" x14ac:dyDescent="0.3">
      <c r="A70" s="141" t="s">
        <v>14</v>
      </c>
      <c r="B70" s="142"/>
      <c r="C70" s="206">
        <f>SUM(C65:C69)</f>
        <v>33374719</v>
      </c>
      <c r="D70" s="206">
        <f>SUM(D65:D69)</f>
        <v>6380458.5</v>
      </c>
      <c r="E70" s="206">
        <f>SUM(E65:E69)</f>
        <v>10621507.5</v>
      </c>
      <c r="F70" s="143">
        <f>(+D70-E70)/E70</f>
        <v>-0.39928880151899343</v>
      </c>
      <c r="G70" s="217">
        <f>D70/C70</f>
        <v>0.19117639612186699</v>
      </c>
      <c r="H70" s="123"/>
    </row>
    <row r="71" spans="1:8" ht="15.75" customHeight="1" thickTop="1" x14ac:dyDescent="0.25">
      <c r="A71" s="138"/>
      <c r="B71" s="139"/>
      <c r="C71" s="205"/>
      <c r="D71" s="205"/>
      <c r="E71" s="205"/>
      <c r="F71" s="140"/>
      <c r="G71" s="216"/>
      <c r="H71" s="123"/>
    </row>
    <row r="72" spans="1:8" ht="15.75" x14ac:dyDescent="0.25">
      <c r="A72" s="130" t="s">
        <v>54</v>
      </c>
      <c r="B72" s="131">
        <f>DATE(2020,7,1)</f>
        <v>44013</v>
      </c>
      <c r="C72" s="204">
        <v>10453635</v>
      </c>
      <c r="D72" s="204">
        <v>1923931.33</v>
      </c>
      <c r="E72" s="204">
        <v>1977732.9</v>
      </c>
      <c r="F72" s="132">
        <f>(+D72-E72)/E72</f>
        <v>-2.7203658289751784E-2</v>
      </c>
      <c r="G72" s="215">
        <f>D72/C72</f>
        <v>0.18404424202681652</v>
      </c>
      <c r="H72" s="123"/>
    </row>
    <row r="73" spans="1:8" ht="15.75" x14ac:dyDescent="0.25">
      <c r="A73" s="130"/>
      <c r="B73" s="131">
        <f>DATE(2020,8,1)</f>
        <v>44044</v>
      </c>
      <c r="C73" s="204">
        <v>12051254</v>
      </c>
      <c r="D73" s="204">
        <v>2707272.86</v>
      </c>
      <c r="E73" s="204">
        <v>2646777.5</v>
      </c>
      <c r="F73" s="132">
        <f>(+D73-E73)/E73</f>
        <v>2.2856231776188164E-2</v>
      </c>
      <c r="G73" s="215">
        <f>D73/C73</f>
        <v>0.2246465687305238</v>
      </c>
      <c r="H73" s="123"/>
    </row>
    <row r="74" spans="1:8" ht="15.75" x14ac:dyDescent="0.25">
      <c r="A74" s="130"/>
      <c r="B74" s="131">
        <f>DATE(2020,9,1)</f>
        <v>44075</v>
      </c>
      <c r="C74" s="204">
        <v>11460638</v>
      </c>
      <c r="D74" s="204">
        <v>2773332.44</v>
      </c>
      <c r="E74" s="204">
        <v>2514781.23</v>
      </c>
      <c r="F74" s="132">
        <f>(+D74-E74)/E74</f>
        <v>0.10281260529370181</v>
      </c>
      <c r="G74" s="215">
        <f>D74/C74</f>
        <v>0.24198761360405938</v>
      </c>
      <c r="H74" s="123"/>
    </row>
    <row r="75" spans="1:8" ht="15.75" x14ac:dyDescent="0.25">
      <c r="A75" s="130"/>
      <c r="B75" s="131">
        <f>DATE(2020,10,1)</f>
        <v>44105</v>
      </c>
      <c r="C75" s="204">
        <v>11609263</v>
      </c>
      <c r="D75" s="204">
        <v>2099358.0099999998</v>
      </c>
      <c r="E75" s="204">
        <v>2541006.48</v>
      </c>
      <c r="F75" s="132">
        <f>(+D75-E75)/E75</f>
        <v>-0.17380847844197556</v>
      </c>
      <c r="G75" s="215">
        <f>D75/C75</f>
        <v>0.18083473602071035</v>
      </c>
      <c r="H75" s="123"/>
    </row>
    <row r="76" spans="1:8" ht="15.75" thickBot="1" x14ac:dyDescent="0.25">
      <c r="A76" s="133"/>
      <c r="B76" s="131"/>
      <c r="C76" s="204"/>
      <c r="D76" s="204"/>
      <c r="E76" s="204"/>
      <c r="F76" s="132"/>
      <c r="G76" s="215"/>
      <c r="H76" s="123"/>
    </row>
    <row r="77" spans="1:8" ht="17.25" thickTop="1" thickBot="1" x14ac:dyDescent="0.3">
      <c r="A77" s="141" t="s">
        <v>14</v>
      </c>
      <c r="B77" s="142"/>
      <c r="C77" s="207">
        <f>SUM(C72:C76)</f>
        <v>45574790</v>
      </c>
      <c r="D77" s="207">
        <f>SUM(D72:D76)</f>
        <v>9503894.6399999987</v>
      </c>
      <c r="E77" s="207">
        <f>SUM(E72:E76)</f>
        <v>9680298.1100000013</v>
      </c>
      <c r="F77" s="143">
        <f>(+D77-E77)/E77</f>
        <v>-1.8222937764465447E-2</v>
      </c>
      <c r="G77" s="267">
        <f>D77/C77</f>
        <v>0.20853403032685391</v>
      </c>
      <c r="H77" s="123"/>
    </row>
    <row r="78" spans="1:8" ht="15.75" customHeight="1" thickTop="1" x14ac:dyDescent="0.25">
      <c r="A78" s="138"/>
      <c r="B78" s="139"/>
      <c r="C78" s="205"/>
      <c r="D78" s="205"/>
      <c r="E78" s="205"/>
      <c r="F78" s="140"/>
      <c r="G78" s="219"/>
      <c r="H78" s="123"/>
    </row>
    <row r="79" spans="1:8" ht="15.75" x14ac:dyDescent="0.25">
      <c r="A79" s="130" t="s">
        <v>55</v>
      </c>
      <c r="B79" s="131">
        <f>DATE(2020,7,1)</f>
        <v>44013</v>
      </c>
      <c r="C79" s="204">
        <v>472126</v>
      </c>
      <c r="D79" s="204">
        <v>188605.5</v>
      </c>
      <c r="E79" s="204">
        <v>135934</v>
      </c>
      <c r="F79" s="132">
        <f>(+D79-E79)/E79</f>
        <v>0.38747848220459929</v>
      </c>
      <c r="G79" s="215">
        <f>D79/C79</f>
        <v>0.39948128253898324</v>
      </c>
      <c r="H79" s="123"/>
    </row>
    <row r="80" spans="1:8" ht="15.75" x14ac:dyDescent="0.25">
      <c r="A80" s="130"/>
      <c r="B80" s="131">
        <f>DATE(2020,8,1)</f>
        <v>44044</v>
      </c>
      <c r="C80" s="204">
        <v>370157</v>
      </c>
      <c r="D80" s="204">
        <v>111546</v>
      </c>
      <c r="E80" s="204">
        <v>134255.5</v>
      </c>
      <c r="F80" s="132">
        <f>(+D80-E80)/E80</f>
        <v>-0.16915135692764915</v>
      </c>
      <c r="G80" s="215">
        <f>D80/C80</f>
        <v>0.3013478064713081</v>
      </c>
      <c r="H80" s="123"/>
    </row>
    <row r="81" spans="1:8" ht="15.75" x14ac:dyDescent="0.25">
      <c r="A81" s="130"/>
      <c r="B81" s="131">
        <f>DATE(2020,9,1)</f>
        <v>44075</v>
      </c>
      <c r="C81" s="204">
        <v>425232</v>
      </c>
      <c r="D81" s="204">
        <v>108554</v>
      </c>
      <c r="E81" s="204">
        <v>147952</v>
      </c>
      <c r="F81" s="132">
        <f>(+D81-E81)/E81</f>
        <v>-0.26628906672434305</v>
      </c>
      <c r="G81" s="215">
        <f>D81/C81</f>
        <v>0.25528182262858862</v>
      </c>
      <c r="H81" s="123"/>
    </row>
    <row r="82" spans="1:8" ht="15.75" x14ac:dyDescent="0.25">
      <c r="A82" s="130"/>
      <c r="B82" s="131">
        <f>DATE(2020,10,1)</f>
        <v>44105</v>
      </c>
      <c r="C82" s="204">
        <v>382275</v>
      </c>
      <c r="D82" s="204">
        <v>95084.5</v>
      </c>
      <c r="E82" s="204">
        <v>160874.5</v>
      </c>
      <c r="F82" s="132">
        <f>(+D82-E82)/E82</f>
        <v>-0.40895231997613046</v>
      </c>
      <c r="G82" s="215">
        <f>D82/C82</f>
        <v>0.24873324177620823</v>
      </c>
      <c r="H82" s="123"/>
    </row>
    <row r="83" spans="1:8" ht="15.75" thickBot="1" x14ac:dyDescent="0.25">
      <c r="A83" s="133"/>
      <c r="B83" s="134"/>
      <c r="C83" s="204"/>
      <c r="D83" s="204"/>
      <c r="E83" s="204"/>
      <c r="F83" s="132"/>
      <c r="G83" s="215"/>
      <c r="H83" s="123"/>
    </row>
    <row r="84" spans="1:8" ht="17.25" thickTop="1" thickBot="1" x14ac:dyDescent="0.3">
      <c r="A84" s="144" t="s">
        <v>14</v>
      </c>
      <c r="B84" s="145"/>
      <c r="C84" s="207">
        <f>SUM(C79:C83)</f>
        <v>1649790</v>
      </c>
      <c r="D84" s="207">
        <f>SUM(D79:D83)</f>
        <v>503790</v>
      </c>
      <c r="E84" s="207">
        <f>SUM(E79:E83)</f>
        <v>579016</v>
      </c>
      <c r="F84" s="143">
        <f>(+D84-E84)/E84</f>
        <v>-0.12992041670696491</v>
      </c>
      <c r="G84" s="217">
        <f>D84/C84</f>
        <v>0.30536613750841018</v>
      </c>
      <c r="H84" s="123"/>
    </row>
    <row r="85" spans="1:8" ht="15.75" customHeight="1" thickTop="1" x14ac:dyDescent="0.25">
      <c r="A85" s="130"/>
      <c r="B85" s="134"/>
      <c r="C85" s="204"/>
      <c r="D85" s="204"/>
      <c r="E85" s="204"/>
      <c r="F85" s="132"/>
      <c r="G85" s="218"/>
      <c r="H85" s="123"/>
    </row>
    <row r="86" spans="1:8" ht="15.75" x14ac:dyDescent="0.25">
      <c r="A86" s="130" t="s">
        <v>37</v>
      </c>
      <c r="B86" s="131">
        <f>DATE(2020,7,1)</f>
        <v>44013</v>
      </c>
      <c r="C86" s="204">
        <v>18681267</v>
      </c>
      <c r="D86" s="204">
        <v>4944391.55</v>
      </c>
      <c r="E86" s="204">
        <v>3678875.65</v>
      </c>
      <c r="F86" s="132">
        <f>(+D86-E86)/E86</f>
        <v>0.34399529106127846</v>
      </c>
      <c r="G86" s="215">
        <f>D86/C86</f>
        <v>0.26467110341070549</v>
      </c>
      <c r="H86" s="123"/>
    </row>
    <row r="87" spans="1:8" ht="15.75" x14ac:dyDescent="0.25">
      <c r="A87" s="130"/>
      <c r="B87" s="131">
        <f>DATE(2020,8,1)</f>
        <v>44044</v>
      </c>
      <c r="C87" s="204">
        <v>17505825</v>
      </c>
      <c r="D87" s="204">
        <v>3489579.3</v>
      </c>
      <c r="E87" s="204">
        <v>3806318.41</v>
      </c>
      <c r="F87" s="132">
        <f>(+D87-E87)/E87</f>
        <v>-8.3214034109143367E-2</v>
      </c>
      <c r="G87" s="215">
        <f>D87/C87</f>
        <v>0.19933818029141728</v>
      </c>
      <c r="H87" s="123"/>
    </row>
    <row r="88" spans="1:8" ht="15.75" x14ac:dyDescent="0.25">
      <c r="A88" s="130"/>
      <c r="B88" s="131">
        <f>DATE(2020,9,1)</f>
        <v>44075</v>
      </c>
      <c r="C88" s="204">
        <v>17711205.5</v>
      </c>
      <c r="D88" s="204">
        <v>3694673.89</v>
      </c>
      <c r="E88" s="204">
        <v>3987675.53</v>
      </c>
      <c r="F88" s="132">
        <f>(+D88-E88)/E88</f>
        <v>-7.3476800656346195E-2</v>
      </c>
      <c r="G88" s="215">
        <f>D88/C88</f>
        <v>0.20860657339219513</v>
      </c>
      <c r="H88" s="123"/>
    </row>
    <row r="89" spans="1:8" ht="15.75" x14ac:dyDescent="0.25">
      <c r="A89" s="130"/>
      <c r="B89" s="131">
        <f>DATE(2020,10,1)</f>
        <v>44105</v>
      </c>
      <c r="C89" s="204">
        <v>17114468.25</v>
      </c>
      <c r="D89" s="204">
        <v>4167594.55</v>
      </c>
      <c r="E89" s="204">
        <v>3485177.78</v>
      </c>
      <c r="F89" s="132">
        <f>(+D89-E89)/E89</f>
        <v>0.19580544037555525</v>
      </c>
      <c r="G89" s="215">
        <f>D89/C89</f>
        <v>0.24351294408460514</v>
      </c>
      <c r="H89" s="123"/>
    </row>
    <row r="90" spans="1:8" ht="15.75" thickBot="1" x14ac:dyDescent="0.25">
      <c r="A90" s="133"/>
      <c r="B90" s="134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6">
        <f>SUM(C86:C90)</f>
        <v>71012765.75</v>
      </c>
      <c r="D91" s="207">
        <f>SUM(D86:D90)</f>
        <v>16296239.289999999</v>
      </c>
      <c r="E91" s="206">
        <f>SUM(E86:E90)</f>
        <v>14958047.369999999</v>
      </c>
      <c r="F91" s="143">
        <f>(+D91-E91)/E91</f>
        <v>8.9463008566471741E-2</v>
      </c>
      <c r="G91" s="217">
        <f>D91/C91</f>
        <v>0.22948323611800742</v>
      </c>
      <c r="H91" s="123"/>
    </row>
    <row r="92" spans="1:8" ht="15.75" customHeight="1" thickTop="1" x14ac:dyDescent="0.25">
      <c r="A92" s="130"/>
      <c r="B92" s="134"/>
      <c r="C92" s="204"/>
      <c r="D92" s="204"/>
      <c r="E92" s="204"/>
      <c r="F92" s="132"/>
      <c r="G92" s="218"/>
      <c r="H92" s="123"/>
    </row>
    <row r="93" spans="1:8" ht="15.75" x14ac:dyDescent="0.25">
      <c r="A93" s="130" t="s">
        <v>58</v>
      </c>
      <c r="B93" s="131">
        <f>DATE(2020,7,1)</f>
        <v>44013</v>
      </c>
      <c r="C93" s="204">
        <v>674370</v>
      </c>
      <c r="D93" s="204">
        <v>155770.5</v>
      </c>
      <c r="E93" s="204">
        <v>102948</v>
      </c>
      <c r="F93" s="132">
        <f>(+D93-E93)/E93</f>
        <v>0.51309884601934952</v>
      </c>
      <c r="G93" s="215">
        <f>D93/C93</f>
        <v>0.23098669869656124</v>
      </c>
      <c r="H93" s="123"/>
    </row>
    <row r="94" spans="1:8" ht="15.75" x14ac:dyDescent="0.25">
      <c r="A94" s="130"/>
      <c r="B94" s="131">
        <f>DATE(2020,8,1)</f>
        <v>44044</v>
      </c>
      <c r="C94" s="204">
        <v>698636</v>
      </c>
      <c r="D94" s="204">
        <v>187855</v>
      </c>
      <c r="E94" s="204">
        <v>208443.5</v>
      </c>
      <c r="F94" s="132">
        <f>(+D94-E94)/E94</f>
        <v>-9.8772569065478169E-2</v>
      </c>
      <c r="G94" s="215">
        <f>D94/C94</f>
        <v>0.26888823364384312</v>
      </c>
      <c r="H94" s="123"/>
    </row>
    <row r="95" spans="1:8" ht="15.75" x14ac:dyDescent="0.25">
      <c r="A95" s="130"/>
      <c r="B95" s="131">
        <f>DATE(2020,9,1)</f>
        <v>44075</v>
      </c>
      <c r="C95" s="204">
        <v>619816</v>
      </c>
      <c r="D95" s="204">
        <v>175772.5</v>
      </c>
      <c r="E95" s="204">
        <v>206651.5</v>
      </c>
      <c r="F95" s="132">
        <f>(+D95-E95)/E95</f>
        <v>-0.14942548203134262</v>
      </c>
      <c r="G95" s="215">
        <f>D95/C95</f>
        <v>0.28358819391561368</v>
      </c>
      <c r="H95" s="123"/>
    </row>
    <row r="96" spans="1:8" ht="15.75" x14ac:dyDescent="0.25">
      <c r="A96" s="130"/>
      <c r="B96" s="131">
        <f>DATE(2020,10,1)</f>
        <v>44105</v>
      </c>
      <c r="C96" s="204">
        <v>525356</v>
      </c>
      <c r="D96" s="204">
        <v>128393</v>
      </c>
      <c r="E96" s="204">
        <v>159975</v>
      </c>
      <c r="F96" s="132">
        <f>(+D96-E96)/E96</f>
        <v>-0.19741834661665886</v>
      </c>
      <c r="G96" s="215">
        <f>D96/C96</f>
        <v>0.2443923739331044</v>
      </c>
      <c r="H96" s="123"/>
    </row>
    <row r="97" spans="1:8" ht="15.75" thickBot="1" x14ac:dyDescent="0.25">
      <c r="A97" s="133"/>
      <c r="B97" s="134"/>
      <c r="C97" s="204"/>
      <c r="D97" s="204"/>
      <c r="E97" s="204"/>
      <c r="F97" s="132"/>
      <c r="G97" s="215"/>
      <c r="H97" s="123"/>
    </row>
    <row r="98" spans="1:8" ht="17.25" thickTop="1" thickBot="1" x14ac:dyDescent="0.3">
      <c r="A98" s="135" t="s">
        <v>14</v>
      </c>
      <c r="B98" s="136"/>
      <c r="C98" s="201">
        <f>SUM(C93:C97)</f>
        <v>2518178</v>
      </c>
      <c r="D98" s="207">
        <f>SUM(D93:D97)</f>
        <v>647791</v>
      </c>
      <c r="E98" s="207">
        <f>SUM(E93:E97)</f>
        <v>678018</v>
      </c>
      <c r="F98" s="143">
        <f>(+D98-E98)/E98</f>
        <v>-4.4581412292888978E-2</v>
      </c>
      <c r="G98" s="217">
        <f>D98/C98</f>
        <v>0.2572459135136595</v>
      </c>
      <c r="H98" s="123"/>
    </row>
    <row r="99" spans="1:8" ht="16.5" thickTop="1" thickBot="1" x14ac:dyDescent="0.25">
      <c r="A99" s="146"/>
      <c r="B99" s="139"/>
      <c r="C99" s="205"/>
      <c r="D99" s="205"/>
      <c r="E99" s="205"/>
      <c r="F99" s="140"/>
      <c r="G99" s="216"/>
      <c r="H99" s="123"/>
    </row>
    <row r="100" spans="1:8" ht="17.25" thickTop="1" thickBot="1" x14ac:dyDescent="0.3">
      <c r="A100" s="147" t="s">
        <v>38</v>
      </c>
      <c r="B100" s="121"/>
      <c r="C100" s="201">
        <f>C98+C91+C70+C56+C42+C28+C14+C35+C84+C21+C63+C77+C49</f>
        <v>330102844.54999995</v>
      </c>
      <c r="D100" s="201">
        <f>D98+D91+D70+D56+D42+D28+D14+D35+D84+D21+D63+D77+D49</f>
        <v>69610074.459999993</v>
      </c>
      <c r="E100" s="201">
        <f>E98+E91+E70+E56+E42+E28+E14+E35+E84+E21+E63+E77+E49</f>
        <v>85104229.849999994</v>
      </c>
      <c r="F100" s="137">
        <f>(+D100-E100)/E100</f>
        <v>-0.18206093183980562</v>
      </c>
      <c r="G100" s="212">
        <f>D100/C100</f>
        <v>0.21087390069265613</v>
      </c>
      <c r="H100" s="123"/>
    </row>
    <row r="101" spans="1:8" ht="17.25" thickTop="1" thickBot="1" x14ac:dyDescent="0.3">
      <c r="A101" s="147"/>
      <c r="B101" s="121"/>
      <c r="C101" s="201"/>
      <c r="D101" s="201"/>
      <c r="E101" s="201"/>
      <c r="F101" s="137"/>
      <c r="G101" s="212"/>
      <c r="H101" s="123"/>
    </row>
    <row r="102" spans="1:8" ht="17.25" thickTop="1" thickBot="1" x14ac:dyDescent="0.3">
      <c r="A102" s="265" t="s">
        <v>39</v>
      </c>
      <c r="B102" s="266"/>
      <c r="C102" s="206">
        <f>SUM(C12+C19+C26+C33+C40+C47+C54+C61+C68+C75+C82+C89+C96)</f>
        <v>82973876.25</v>
      </c>
      <c r="D102" s="206">
        <f>SUM(D12+D19+D26+D33+D40+D47+D54+D61+D68+D75+D82+D89+D96)</f>
        <v>17913858.670000002</v>
      </c>
      <c r="E102" s="206">
        <f>SUM(E12+E19+E26+E33+E40+E47+E54+E61+E68+E75+E82+E89+E96)</f>
        <v>21624611.949999999</v>
      </c>
      <c r="F102" s="143">
        <f>(+D102-E102)/E102</f>
        <v>-0.17159860665152873</v>
      </c>
      <c r="G102" s="217">
        <f>D102/C102</f>
        <v>0.21589757499126119</v>
      </c>
      <c r="H102" s="123"/>
    </row>
    <row r="103" spans="1:8" ht="16.5" thickTop="1" x14ac:dyDescent="0.25">
      <c r="A103" s="256"/>
      <c r="B103" s="258"/>
      <c r="C103" s="259"/>
      <c r="D103" s="259"/>
      <c r="E103" s="259"/>
      <c r="F103" s="260"/>
      <c r="G103" s="257"/>
      <c r="H103" s="257"/>
    </row>
    <row r="104" spans="1:8" ht="18.75" x14ac:dyDescent="0.3">
      <c r="A104" s="263" t="s">
        <v>40</v>
      </c>
      <c r="B104" s="117"/>
      <c r="C104" s="208"/>
      <c r="D104" s="208"/>
      <c r="E104" s="208"/>
      <c r="F104" s="148"/>
      <c r="G104" s="220"/>
    </row>
    <row r="105" spans="1:8" ht="15.75" x14ac:dyDescent="0.25">
      <c r="A105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49" max="7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view="pageBreakPreview" topLeftCell="A76" zoomScale="60" zoomScaleNormal="100" workbookViewId="0">
      <selection activeCell="A79" sqref="A79:IV79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thickBot="1" x14ac:dyDescent="0.25">
      <c r="A14" s="167"/>
      <c r="B14" s="168"/>
      <c r="C14" s="226"/>
      <c r="D14" s="226"/>
      <c r="E14" s="226"/>
      <c r="F14" s="166"/>
      <c r="G14" s="241"/>
      <c r="H14" s="242"/>
    </row>
    <row r="15" spans="1:8" ht="17.25" thickTop="1" thickBot="1" x14ac:dyDescent="0.3">
      <c r="A15" s="169" t="s">
        <v>14</v>
      </c>
      <c r="B15" s="155"/>
      <c r="C15" s="223">
        <f>SUM(C10:C14)</f>
        <v>0</v>
      </c>
      <c r="D15" s="223">
        <f>SUM(D10:D14)</f>
        <v>0</v>
      </c>
      <c r="E15" s="223">
        <f>SUM(E10:E14)</f>
        <v>0</v>
      </c>
      <c r="F15" s="170">
        <v>0</v>
      </c>
      <c r="G15" s="236">
        <v>0</v>
      </c>
      <c r="H15" s="237">
        <v>0</v>
      </c>
    </row>
    <row r="16" spans="1:8" ht="15.75" thickTop="1" x14ac:dyDescent="0.2">
      <c r="A16" s="171"/>
      <c r="B16" s="172"/>
      <c r="C16" s="227"/>
      <c r="D16" s="227"/>
      <c r="E16" s="227"/>
      <c r="F16" s="173"/>
      <c r="G16" s="243"/>
      <c r="H16" s="244"/>
    </row>
    <row r="17" spans="1:8" ht="15.75" x14ac:dyDescent="0.25">
      <c r="A17" s="19" t="s">
        <v>48</v>
      </c>
      <c r="B17" s="165">
        <f>DATE(20,7,1)</f>
        <v>7488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9"/>
      <c r="B18" s="165">
        <f>DATE(20,8,1)</f>
        <v>7519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9"/>
      <c r="B19" s="165">
        <f>DATE(20,9,1)</f>
        <v>7550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DATE(20,10,1)</f>
        <v>7580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thickBot="1" x14ac:dyDescent="0.25">
      <c r="A21" s="167"/>
      <c r="B21" s="165"/>
      <c r="C21" s="226"/>
      <c r="D21" s="226"/>
      <c r="E21" s="226"/>
      <c r="F21" s="166"/>
      <c r="G21" s="241"/>
      <c r="H21" s="242"/>
    </row>
    <row r="22" spans="1:8" ht="17.25" thickTop="1" thickBot="1" x14ac:dyDescent="0.3">
      <c r="A22" s="169" t="s">
        <v>14</v>
      </c>
      <c r="B22" s="155"/>
      <c r="C22" s="223">
        <f>SUM(C17:C21)</f>
        <v>0</v>
      </c>
      <c r="D22" s="223">
        <f>SUM(D17:D21)</f>
        <v>0</v>
      </c>
      <c r="E22" s="223">
        <f>SUM(E17:E21)</f>
        <v>0</v>
      </c>
      <c r="F22" s="170">
        <v>0</v>
      </c>
      <c r="G22" s="236">
        <v>0</v>
      </c>
      <c r="H22" s="237">
        <v>0</v>
      </c>
    </row>
    <row r="23" spans="1:8" ht="15.75" thickTop="1" x14ac:dyDescent="0.2">
      <c r="A23" s="171"/>
      <c r="B23" s="172"/>
      <c r="C23" s="227"/>
      <c r="D23" s="227"/>
      <c r="E23" s="227"/>
      <c r="F23" s="173"/>
      <c r="G23" s="243"/>
      <c r="H23" s="244"/>
    </row>
    <row r="24" spans="1:8" ht="15.75" x14ac:dyDescent="0.25">
      <c r="A24" s="19" t="s">
        <v>65</v>
      </c>
      <c r="B24" s="165">
        <f>DATE(20,7,1)</f>
        <v>7488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DATE(20,8,1)</f>
        <v>7519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DATE(20,9,1)</f>
        <v>7550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DATE(20,10,1)</f>
        <v>7580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thickBot="1" x14ac:dyDescent="0.25">
      <c r="A28" s="167"/>
      <c r="B28" s="165"/>
      <c r="C28" s="226"/>
      <c r="D28" s="226"/>
      <c r="E28" s="226"/>
      <c r="F28" s="166"/>
      <c r="G28" s="241"/>
      <c r="H28" s="242"/>
    </row>
    <row r="29" spans="1:8" ht="17.25" thickTop="1" thickBot="1" x14ac:dyDescent="0.3">
      <c r="A29" s="174" t="s">
        <v>14</v>
      </c>
      <c r="B29" s="175"/>
      <c r="C29" s="228">
        <f>SUM(C24:C28)</f>
        <v>0</v>
      </c>
      <c r="D29" s="228">
        <f>SUM(D24:D28)</f>
        <v>0</v>
      </c>
      <c r="E29" s="228">
        <f>SUM(E24:E28)</f>
        <v>0</v>
      </c>
      <c r="F29" s="176">
        <v>0</v>
      </c>
      <c r="G29" s="245">
        <v>0</v>
      </c>
      <c r="H29" s="246">
        <v>0</v>
      </c>
    </row>
    <row r="30" spans="1:8" ht="15.75" thickTop="1" x14ac:dyDescent="0.2">
      <c r="A30" s="167"/>
      <c r="B30" s="168"/>
      <c r="C30" s="226"/>
      <c r="D30" s="226"/>
      <c r="E30" s="226"/>
      <c r="F30" s="166"/>
      <c r="G30" s="241"/>
      <c r="H30" s="242"/>
    </row>
    <row r="31" spans="1:8" ht="15.75" x14ac:dyDescent="0.25">
      <c r="A31" s="177" t="s">
        <v>59</v>
      </c>
      <c r="B31" s="165">
        <f>DATE(20,7,1)</f>
        <v>7488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77"/>
      <c r="B32" s="165">
        <f>DATE(20,8,1)</f>
        <v>7519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77"/>
      <c r="B33" s="165">
        <f>DATE(20,9,1)</f>
        <v>7550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77"/>
      <c r="B34" s="165">
        <f>DATE(20,10,1)</f>
        <v>7580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thickBot="1" x14ac:dyDescent="0.25">
      <c r="A35" s="167"/>
      <c r="B35" s="168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74" t="s">
        <v>14</v>
      </c>
      <c r="B36" s="178"/>
      <c r="C36" s="228">
        <f>SUM(C31:C35)</f>
        <v>0</v>
      </c>
      <c r="D36" s="228">
        <f>SUM(D31:D35)</f>
        <v>0</v>
      </c>
      <c r="E36" s="228">
        <f>SUM(E31:E35)</f>
        <v>0</v>
      </c>
      <c r="F36" s="176">
        <v>0</v>
      </c>
      <c r="G36" s="245">
        <v>0</v>
      </c>
      <c r="H36" s="246">
        <v>0</v>
      </c>
    </row>
    <row r="37" spans="1:8" ht="15.75" thickTop="1" x14ac:dyDescent="0.2">
      <c r="A37" s="167"/>
      <c r="B37" s="168"/>
      <c r="C37" s="226"/>
      <c r="D37" s="226"/>
      <c r="E37" s="226"/>
      <c r="F37" s="166"/>
      <c r="G37" s="241"/>
      <c r="H37" s="242"/>
    </row>
    <row r="38" spans="1:8" ht="15.75" x14ac:dyDescent="0.25">
      <c r="A38" s="164" t="s">
        <v>63</v>
      </c>
      <c r="B38" s="165">
        <f>DATE(20,7,1)</f>
        <v>7488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64"/>
      <c r="B39" s="165">
        <f>DATE(20,8,1)</f>
        <v>7519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64"/>
      <c r="B40" s="165">
        <f>DATE(20,9,1)</f>
        <v>7550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DATE(20,10,1)</f>
        <v>7580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thickBot="1" x14ac:dyDescent="0.25">
      <c r="A42" s="167"/>
      <c r="B42" s="165"/>
      <c r="C42" s="226"/>
      <c r="D42" s="226"/>
      <c r="E42" s="226"/>
      <c r="F42" s="166"/>
      <c r="G42" s="241"/>
      <c r="H42" s="242"/>
    </row>
    <row r="43" spans="1:8" ht="17.25" thickTop="1" thickBot="1" x14ac:dyDescent="0.3">
      <c r="A43" s="174" t="s">
        <v>14</v>
      </c>
      <c r="B43" s="175"/>
      <c r="C43" s="228">
        <f>SUM(C38:C42)</f>
        <v>0</v>
      </c>
      <c r="D43" s="230">
        <f>SUM(D38:D42)</f>
        <v>0</v>
      </c>
      <c r="E43" s="271">
        <f>SUM(E38:E42)</f>
        <v>0</v>
      </c>
      <c r="F43" s="176">
        <v>0</v>
      </c>
      <c r="G43" s="245">
        <v>0</v>
      </c>
      <c r="H43" s="246">
        <v>0</v>
      </c>
    </row>
    <row r="44" spans="1:8" ht="15.75" thickTop="1" x14ac:dyDescent="0.2">
      <c r="A44" s="167"/>
      <c r="B44" s="168"/>
      <c r="C44" s="226"/>
      <c r="D44" s="226"/>
      <c r="E44" s="226"/>
      <c r="F44" s="166"/>
      <c r="G44" s="241"/>
      <c r="H44" s="242"/>
    </row>
    <row r="45" spans="1:8" ht="15.75" x14ac:dyDescent="0.25">
      <c r="A45" s="164" t="s">
        <v>68</v>
      </c>
      <c r="B45" s="165">
        <f>DATE(20,7,1)</f>
        <v>7488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DATE(20,8,1)</f>
        <v>7519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DATE(20,9,1)</f>
        <v>7550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DATE(20,10,1)</f>
        <v>7580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SUM(C45:C49)</f>
        <v>0</v>
      </c>
      <c r="D50" s="230">
        <f>SUM(D45:D49)</f>
        <v>0</v>
      </c>
      <c r="E50" s="271">
        <f>SUM(E45:E49)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64" t="s">
        <v>66</v>
      </c>
      <c r="B52" s="165">
        <f>DATE(20,7,1)</f>
        <v>7488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DATE(20,8,1)</f>
        <v>7519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DATE(20,9,1)</f>
        <v>7550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DATE(20,10,1)</f>
        <v>7580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thickBot="1" x14ac:dyDescent="0.25">
      <c r="A56" s="167"/>
      <c r="B56" s="165"/>
      <c r="C56" s="226"/>
      <c r="D56" s="226"/>
      <c r="E56" s="226"/>
      <c r="F56" s="166"/>
      <c r="G56" s="241"/>
      <c r="H56" s="242"/>
    </row>
    <row r="57" spans="1:8" ht="17.25" thickTop="1" thickBot="1" x14ac:dyDescent="0.3">
      <c r="A57" s="174" t="s">
        <v>14</v>
      </c>
      <c r="B57" s="175"/>
      <c r="C57" s="228">
        <f>SUM(C52:C56)</f>
        <v>0</v>
      </c>
      <c r="D57" s="230">
        <f>SUM(D52:D56)</f>
        <v>0</v>
      </c>
      <c r="E57" s="271">
        <f>SUM(E52:E56)</f>
        <v>0</v>
      </c>
      <c r="F57" s="176">
        <v>0</v>
      </c>
      <c r="G57" s="245">
        <v>0</v>
      </c>
      <c r="H57" s="246">
        <v>0</v>
      </c>
    </row>
    <row r="58" spans="1:8" ht="15.75" thickTop="1" x14ac:dyDescent="0.2">
      <c r="A58" s="167"/>
      <c r="B58" s="168"/>
      <c r="C58" s="226"/>
      <c r="D58" s="226"/>
      <c r="E58" s="226"/>
      <c r="F58" s="166"/>
      <c r="G58" s="241"/>
      <c r="H58" s="242"/>
    </row>
    <row r="59" spans="1:8" ht="15.75" x14ac:dyDescent="0.25">
      <c r="A59" s="164" t="s">
        <v>60</v>
      </c>
      <c r="B59" s="165">
        <f>DATE(20,7,1)</f>
        <v>7488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DATE(20,8,1)</f>
        <v>7519</v>
      </c>
      <c r="C60" s="226">
        <v>2426243.5</v>
      </c>
      <c r="D60" s="226">
        <v>118455</v>
      </c>
      <c r="E60" s="226">
        <v>0</v>
      </c>
      <c r="F60" s="166">
        <v>1</v>
      </c>
      <c r="G60" s="241">
        <f>D60/C60</f>
        <v>4.8822387365489078E-2</v>
      </c>
      <c r="H60" s="242">
        <f>1-G60</f>
        <v>0.95117761263451095</v>
      </c>
    </row>
    <row r="61" spans="1:8" ht="15.75" x14ac:dyDescent="0.25">
      <c r="A61" s="164"/>
      <c r="B61" s="165">
        <f>DATE(20,9,1)</f>
        <v>7550</v>
      </c>
      <c r="C61" s="226">
        <v>1791988</v>
      </c>
      <c r="D61" s="226">
        <v>106241</v>
      </c>
      <c r="E61" s="226">
        <v>0</v>
      </c>
      <c r="F61" s="166">
        <v>1</v>
      </c>
      <c r="G61" s="241">
        <f>D61/C61</f>
        <v>5.9286669330374978E-2</v>
      </c>
      <c r="H61" s="242">
        <f>1-G61</f>
        <v>0.94071333066962504</v>
      </c>
    </row>
    <row r="62" spans="1:8" ht="15.75" x14ac:dyDescent="0.25">
      <c r="A62" s="164"/>
      <c r="B62" s="165">
        <f>DATE(20,10,1)</f>
        <v>7580</v>
      </c>
      <c r="C62" s="226">
        <v>1843163.5</v>
      </c>
      <c r="D62" s="226">
        <v>82618</v>
      </c>
      <c r="E62" s="226">
        <v>0</v>
      </c>
      <c r="F62" s="166">
        <v>1</v>
      </c>
      <c r="G62" s="241">
        <f>D62/C62</f>
        <v>4.4824021309015721E-2</v>
      </c>
      <c r="H62" s="242">
        <f>1-G62</f>
        <v>0.95517597869098425</v>
      </c>
    </row>
    <row r="63" spans="1:8" ht="15.75" thickBot="1" x14ac:dyDescent="0.25">
      <c r="A63" s="167"/>
      <c r="B63" s="165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5"/>
      <c r="C64" s="228">
        <f>SUM(C59:C63)</f>
        <v>6061395</v>
      </c>
      <c r="D64" s="230">
        <f>SUM(D59:D63)</f>
        <v>307314</v>
      </c>
      <c r="E64" s="271">
        <f>SUM(E59:E63)</f>
        <v>0</v>
      </c>
      <c r="F64" s="176">
        <v>1</v>
      </c>
      <c r="G64" s="249">
        <f>D64/C64</f>
        <v>5.070021010015021E-2</v>
      </c>
      <c r="H64" s="270">
        <f>1-G64</f>
        <v>0.94929978989984976</v>
      </c>
    </row>
    <row r="65" spans="1:8" ht="15.75" thickTop="1" x14ac:dyDescent="0.2">
      <c r="A65" s="167"/>
      <c r="B65" s="179"/>
      <c r="C65" s="229"/>
      <c r="D65" s="229"/>
      <c r="E65" s="229"/>
      <c r="F65" s="180"/>
      <c r="G65" s="247"/>
      <c r="H65" s="248"/>
    </row>
    <row r="66" spans="1:8" ht="15.75" x14ac:dyDescent="0.25">
      <c r="A66" s="164" t="s">
        <v>16</v>
      </c>
      <c r="B66" s="165">
        <f>DATE(20,7,1)</f>
        <v>7488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DATE(20,8,1)</f>
        <v>7519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DATE(20,9,1)</f>
        <v>7550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DATE(20,10,1)</f>
        <v>7580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6.5" thickBot="1" x14ac:dyDescent="0.3">
      <c r="A70" s="164"/>
      <c r="B70" s="165"/>
      <c r="C70" s="226"/>
      <c r="D70" s="226"/>
      <c r="E70" s="226"/>
      <c r="F70" s="166"/>
      <c r="G70" s="241"/>
      <c r="H70" s="242"/>
    </row>
    <row r="71" spans="1:8" ht="17.25" thickTop="1" thickBot="1" x14ac:dyDescent="0.3">
      <c r="A71" s="174" t="s">
        <v>14</v>
      </c>
      <c r="B71" s="181"/>
      <c r="C71" s="228">
        <f>SUM(C66:C70)</f>
        <v>0</v>
      </c>
      <c r="D71" s="228">
        <f>SUM(D66:D70)</f>
        <v>0</v>
      </c>
      <c r="E71" s="228">
        <f>SUM(E66:E70)</f>
        <v>0</v>
      </c>
      <c r="F71" s="176">
        <v>0</v>
      </c>
      <c r="G71" s="245">
        <v>0</v>
      </c>
      <c r="H71" s="246">
        <v>0</v>
      </c>
    </row>
    <row r="72" spans="1:8" ht="15.75" thickTop="1" x14ac:dyDescent="0.2">
      <c r="A72" s="171"/>
      <c r="B72" s="172"/>
      <c r="C72" s="227"/>
      <c r="D72" s="227"/>
      <c r="E72" s="227"/>
      <c r="F72" s="173"/>
      <c r="G72" s="243"/>
      <c r="H72" s="244"/>
    </row>
    <row r="73" spans="1:8" ht="15.75" x14ac:dyDescent="0.25">
      <c r="A73" s="164" t="s">
        <v>54</v>
      </c>
      <c r="B73" s="165">
        <f>DATE(20,7,1)</f>
        <v>7488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DATE(20,8,1)</f>
        <v>7519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DATE(20,9,1)</f>
        <v>7550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DATE(20,10,1)</f>
        <v>7580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8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SUM(C73:C77)</f>
        <v>0</v>
      </c>
      <c r="D78" s="228">
        <f>SUM(D73:D77)</f>
        <v>0</v>
      </c>
      <c r="E78" s="228">
        <f>SUM(E73:E77)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55</v>
      </c>
      <c r="B80" s="165">
        <f>DATE(20,7,1)</f>
        <v>7488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DATE(20,8,1)</f>
        <v>7519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DATE(20,9,1)</f>
        <v>7550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DATE(20,10,1)</f>
        <v>7580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thickBot="1" x14ac:dyDescent="0.25">
      <c r="A84" s="167"/>
      <c r="B84" s="168"/>
      <c r="C84" s="226"/>
      <c r="D84" s="226"/>
      <c r="E84" s="226"/>
      <c r="F84" s="166"/>
      <c r="G84" s="241"/>
      <c r="H84" s="242"/>
    </row>
    <row r="85" spans="1:8" ht="17.25" thickTop="1" thickBot="1" x14ac:dyDescent="0.3">
      <c r="A85" s="182" t="s">
        <v>14</v>
      </c>
      <c r="B85" s="183"/>
      <c r="C85" s="230">
        <f>SUM(C80:C84)</f>
        <v>0</v>
      </c>
      <c r="D85" s="230">
        <f>SUM(D80:D84)</f>
        <v>0</v>
      </c>
      <c r="E85" s="230">
        <f>SUM(E80:E84)</f>
        <v>0</v>
      </c>
      <c r="F85" s="176">
        <v>0</v>
      </c>
      <c r="G85" s="245">
        <v>0</v>
      </c>
      <c r="H85" s="246">
        <v>0</v>
      </c>
    </row>
    <row r="86" spans="1:8" ht="15.75" thickTop="1" x14ac:dyDescent="0.2">
      <c r="A86" s="167"/>
      <c r="B86" s="168"/>
      <c r="C86" s="226"/>
      <c r="D86" s="226"/>
      <c r="E86" s="226"/>
      <c r="F86" s="166"/>
      <c r="G86" s="241"/>
      <c r="H86" s="242"/>
    </row>
    <row r="87" spans="1:8" ht="15.75" x14ac:dyDescent="0.25">
      <c r="A87" s="164" t="s">
        <v>37</v>
      </c>
      <c r="B87" s="165">
        <f>DATE(20,7,1)</f>
        <v>7488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DATE(20,8,1)</f>
        <v>7519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DATE(20,9,1)</f>
        <v>7550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DATE(20,10,1)</f>
        <v>7580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 x14ac:dyDescent="0.25">
      <c r="A91" s="167"/>
      <c r="B91" s="168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SUM(C87:C91)</f>
        <v>0</v>
      </c>
      <c r="D92" s="228">
        <f>SUM(D87:D91)</f>
        <v>0</v>
      </c>
      <c r="E92" s="228">
        <f>SUM(E87:E91)</f>
        <v>0</v>
      </c>
      <c r="F92" s="176">
        <v>0</v>
      </c>
      <c r="G92" s="245">
        <v>0</v>
      </c>
      <c r="H92" s="246">
        <v>0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58</v>
      </c>
      <c r="B94" s="165">
        <f>DATE(20,7,1)</f>
        <v>7488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DATE(20,8,1)</f>
        <v>7519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DATE(20,9,1)</f>
        <v>7550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DATE(20,10,1)</f>
        <v>7580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thickBot="1" x14ac:dyDescent="0.25">
      <c r="A98" s="167"/>
      <c r="B98" s="168"/>
      <c r="C98" s="226"/>
      <c r="D98" s="226"/>
      <c r="E98" s="226"/>
      <c r="F98" s="166"/>
      <c r="G98" s="241"/>
      <c r="H98" s="242"/>
    </row>
    <row r="99" spans="1:8" ht="17.25" thickTop="1" thickBot="1" x14ac:dyDescent="0.3">
      <c r="A99" s="169" t="s">
        <v>14</v>
      </c>
      <c r="B99" s="155"/>
      <c r="C99" s="223">
        <f>SUM(C94:C98)</f>
        <v>0</v>
      </c>
      <c r="D99" s="223">
        <f>SUM(D94:D98)</f>
        <v>0</v>
      </c>
      <c r="E99" s="223">
        <f>SUM(E94:E98)</f>
        <v>0</v>
      </c>
      <c r="F99" s="176">
        <v>0</v>
      </c>
      <c r="G99" s="245">
        <v>0</v>
      </c>
      <c r="H99" s="246">
        <v>0</v>
      </c>
    </row>
    <row r="100" spans="1:8" ht="16.5" thickTop="1" thickBot="1" x14ac:dyDescent="0.25">
      <c r="A100" s="171"/>
      <c r="B100" s="172"/>
      <c r="C100" s="227"/>
      <c r="D100" s="227"/>
      <c r="E100" s="227"/>
      <c r="F100" s="173"/>
      <c r="G100" s="243"/>
      <c r="H100" s="244"/>
    </row>
    <row r="101" spans="1:8" ht="17.25" thickTop="1" thickBot="1" x14ac:dyDescent="0.3">
      <c r="A101" s="184" t="s">
        <v>38</v>
      </c>
      <c r="B101" s="155"/>
      <c r="C101" s="223">
        <f>C99+C92+C71+C57+C43+C29+C15+C36+C85+C22+C64+C78+C50</f>
        <v>6061395</v>
      </c>
      <c r="D101" s="223">
        <f>D99+D92+D71+D57+D43+D29+D15+D36+D85+D22+D64+D78+D50</f>
        <v>307314</v>
      </c>
      <c r="E101" s="223">
        <f>E99+E92+E71+E57+E43+E29+E15+E36+E85+E22+E64+E78+E50</f>
        <v>0</v>
      </c>
      <c r="F101" s="170">
        <v>1</v>
      </c>
      <c r="G101" s="236">
        <f>D101/C101</f>
        <v>5.070021010015021E-2</v>
      </c>
      <c r="H101" s="237">
        <f>1-G101</f>
        <v>0.94929978989984976</v>
      </c>
    </row>
    <row r="102" spans="1:8" ht="17.25" thickTop="1" thickBot="1" x14ac:dyDescent="0.3">
      <c r="A102" s="184"/>
      <c r="B102" s="155"/>
      <c r="C102" s="223"/>
      <c r="D102" s="223"/>
      <c r="E102" s="223"/>
      <c r="F102" s="170"/>
      <c r="G102" s="236"/>
      <c r="H102" s="237"/>
    </row>
    <row r="103" spans="1:8" ht="17.25" thickTop="1" thickBot="1" x14ac:dyDescent="0.3">
      <c r="A103" s="184" t="s">
        <v>39</v>
      </c>
      <c r="B103" s="155"/>
      <c r="C103" s="223">
        <f>SUM(C13+C20+C27+C34+C41+C48+C55+C62+C69+C76+C83+C90+C97)</f>
        <v>1843163.5</v>
      </c>
      <c r="D103" s="223">
        <f>SUM(D13+D20+D27+D34+D41+D48+D55+D62+D69+D76+D83+D90+D97)</f>
        <v>82618</v>
      </c>
      <c r="E103" s="223">
        <f>SUM(E11+E18+E25+E32+E39+E46+E53+E60+E67+E74+E81+E88+E95)</f>
        <v>0</v>
      </c>
      <c r="F103" s="170">
        <v>1</v>
      </c>
      <c r="G103" s="236">
        <f>D103/C103</f>
        <v>4.4824021309015721E-2</v>
      </c>
      <c r="H103" s="246">
        <f>1-G103</f>
        <v>0.95517597869098425</v>
      </c>
    </row>
    <row r="104" spans="1:8" ht="16.5" thickTop="1" x14ac:dyDescent="0.25">
      <c r="A104" s="185"/>
      <c r="B104" s="186"/>
      <c r="C104" s="231"/>
      <c r="D104" s="231"/>
      <c r="E104" s="231"/>
      <c r="F104" s="187"/>
      <c r="G104" s="250"/>
      <c r="H104" s="250"/>
    </row>
    <row r="105" spans="1:8" ht="18.75" x14ac:dyDescent="0.3">
      <c r="A105" s="188" t="s">
        <v>49</v>
      </c>
      <c r="B105" s="189"/>
      <c r="C105" s="232"/>
      <c r="D105" s="232"/>
      <c r="E105" s="232"/>
      <c r="F105" s="190"/>
      <c r="G105" s="251"/>
      <c r="H105" s="251"/>
    </row>
    <row r="106" spans="1:8" ht="15.75" x14ac:dyDescent="0.25">
      <c r="A106" s="191"/>
      <c r="B106" s="189"/>
      <c r="C106" s="232"/>
      <c r="D106" s="232"/>
      <c r="E106" s="232"/>
      <c r="F106" s="190"/>
      <c r="G106" s="257"/>
      <c r="H106" s="257"/>
    </row>
  </sheetData>
  <printOptions horizontalCentered="1"/>
  <pageMargins left="0.7" right="0.45" top="0.25" bottom="0.25" header="0.3" footer="0.3"/>
  <pageSetup scale="64" orientation="landscape" r:id="rId1"/>
  <rowBreaks count="2" manualBreakCount="2">
    <brk id="50" max="16383" man="1"/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7"/>
  <sheetViews>
    <sheetView showOutlineSymbols="0" view="pageBreakPreview" topLeftCell="A52" zoomScale="60" zoomScaleNormal="100" workbookViewId="0">
      <selection activeCell="A58" sqref="A58:IV58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>(+D10-E10)/E10</f>
        <v>-6.0056695617709627E-2</v>
      </c>
      <c r="G10" s="241">
        <f>D10/C10</f>
        <v>9.8905631427633423E-2</v>
      </c>
      <c r="H10" s="242">
        <f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>(+D11-E11)/E11</f>
        <v>-0.12639918002058387</v>
      </c>
      <c r="G11" s="241">
        <f>D11/C11</f>
        <v>9.6630672307611229E-2</v>
      </c>
      <c r="H11" s="242">
        <f>1-G11</f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>(+D12-E12)/E12</f>
        <v>-1.7634032631991081E-3</v>
      </c>
      <c r="G12" s="241">
        <f>D12/C12</f>
        <v>9.6757913761272615E-2</v>
      </c>
      <c r="H12" s="242">
        <f>1-G12</f>
        <v>0.90324208623872737</v>
      </c>
      <c r="I12" s="157"/>
    </row>
    <row r="13" spans="1:9" ht="15.75" x14ac:dyDescent="0.25">
      <c r="A13" s="164"/>
      <c r="B13" s="165">
        <f>DATE(20,10,1)</f>
        <v>7580</v>
      </c>
      <c r="C13" s="226">
        <v>116152341.93000001</v>
      </c>
      <c r="D13" s="226">
        <v>11431719.140000001</v>
      </c>
      <c r="E13" s="226">
        <v>11529928.41</v>
      </c>
      <c r="F13" s="166">
        <f>(+D13-E13)/E13</f>
        <v>-8.5177692790201417E-3</v>
      </c>
      <c r="G13" s="241">
        <f>D13/C13</f>
        <v>9.8420048619333081E-2</v>
      </c>
      <c r="H13" s="242">
        <f>1-G13</f>
        <v>0.90157995138066693</v>
      </c>
      <c r="I13" s="157"/>
    </row>
    <row r="14" spans="1:9" ht="15.75" thickBot="1" x14ac:dyDescent="0.25">
      <c r="A14" s="167"/>
      <c r="B14" s="168"/>
      <c r="C14" s="226"/>
      <c r="D14" s="226"/>
      <c r="E14" s="226"/>
      <c r="F14" s="166"/>
      <c r="G14" s="241"/>
      <c r="H14" s="242"/>
      <c r="I14" s="157"/>
    </row>
    <row r="15" spans="1:9" ht="17.25" thickTop="1" thickBot="1" x14ac:dyDescent="0.3">
      <c r="A15" s="169" t="s">
        <v>14</v>
      </c>
      <c r="B15" s="155"/>
      <c r="C15" s="223">
        <f>SUM(C10:C14)</f>
        <v>462638313.51000005</v>
      </c>
      <c r="D15" s="223">
        <f>SUM(D10:D14)</f>
        <v>45195524.25</v>
      </c>
      <c r="E15" s="223">
        <f>SUM(E10:E14)</f>
        <v>47657796.939999998</v>
      </c>
      <c r="F15" s="170">
        <f>(+D15-E15)/E15</f>
        <v>-5.1665684276172873E-2</v>
      </c>
      <c r="G15" s="236">
        <f>D15/C15</f>
        <v>9.7690837378134887E-2</v>
      </c>
      <c r="H15" s="237">
        <f>1-G15</f>
        <v>0.90230916262186511</v>
      </c>
      <c r="I15" s="157"/>
    </row>
    <row r="16" spans="1:9" ht="15.75" thickTop="1" x14ac:dyDescent="0.2">
      <c r="A16" s="171"/>
      <c r="B16" s="172"/>
      <c r="C16" s="227"/>
      <c r="D16" s="227"/>
      <c r="E16" s="227"/>
      <c r="F16" s="173"/>
      <c r="G16" s="243"/>
      <c r="H16" s="244"/>
      <c r="I16" s="157"/>
    </row>
    <row r="17" spans="1:9" ht="15.75" x14ac:dyDescent="0.25">
      <c r="A17" s="19" t="s">
        <v>48</v>
      </c>
      <c r="B17" s="165">
        <f>DATE(20,7,1)</f>
        <v>7488</v>
      </c>
      <c r="C17" s="226">
        <v>50404182.520000003</v>
      </c>
      <c r="D17" s="226">
        <v>5066109.03</v>
      </c>
      <c r="E17" s="226">
        <v>6237251.8300000001</v>
      </c>
      <c r="F17" s="166">
        <f>(+D17-E17)/E17</f>
        <v>-0.1877658353262289</v>
      </c>
      <c r="G17" s="241">
        <f>D17/C17</f>
        <v>0.10050969536089205</v>
      </c>
      <c r="H17" s="242">
        <f>1-G17</f>
        <v>0.89949030463910795</v>
      </c>
      <c r="I17" s="157"/>
    </row>
    <row r="18" spans="1:9" ht="15.75" x14ac:dyDescent="0.25">
      <c r="A18" s="19"/>
      <c r="B18" s="165">
        <f>DATE(20,8,1)</f>
        <v>7519</v>
      </c>
      <c r="C18" s="226">
        <v>55094697.780000001</v>
      </c>
      <c r="D18" s="226">
        <v>5468550.7300000004</v>
      </c>
      <c r="E18" s="226">
        <v>6248302.3499999996</v>
      </c>
      <c r="F18" s="166">
        <f>(+D18-E18)/E18</f>
        <v>-0.12479415628790742</v>
      </c>
      <c r="G18" s="241">
        <f>D18/C18</f>
        <v>9.925729608022546E-2</v>
      </c>
      <c r="H18" s="242">
        <f>1-G18</f>
        <v>0.90074270391977451</v>
      </c>
      <c r="I18" s="157"/>
    </row>
    <row r="19" spans="1:9" ht="15.75" x14ac:dyDescent="0.25">
      <c r="A19" s="19"/>
      <c r="B19" s="165">
        <f>DATE(20,9,1)</f>
        <v>7550</v>
      </c>
      <c r="C19" s="226">
        <v>55214801.950000003</v>
      </c>
      <c r="D19" s="226">
        <v>5506925.1600000001</v>
      </c>
      <c r="E19" s="226">
        <v>5841517.5999999996</v>
      </c>
      <c r="F19" s="166">
        <f>(+D19-E19)/E19</f>
        <v>-5.727834150495404E-2</v>
      </c>
      <c r="G19" s="241">
        <f>D19/C19</f>
        <v>9.9736392516391159E-2</v>
      </c>
      <c r="H19" s="242">
        <f>1-G19</f>
        <v>0.90026360748360879</v>
      </c>
      <c r="I19" s="157"/>
    </row>
    <row r="20" spans="1:9" ht="15.75" x14ac:dyDescent="0.25">
      <c r="A20" s="19"/>
      <c r="B20" s="165">
        <f>DATE(20,10,1)</f>
        <v>7580</v>
      </c>
      <c r="C20" s="226">
        <v>53988473.469999999</v>
      </c>
      <c r="D20" s="226">
        <v>5104255.3899999997</v>
      </c>
      <c r="E20" s="226">
        <v>5457854.2400000002</v>
      </c>
      <c r="F20" s="166">
        <f>(+D20-E20)/E20</f>
        <v>-6.4787155253893433E-2</v>
      </c>
      <c r="G20" s="241">
        <f>D20/C20</f>
        <v>9.4543428660495518E-2</v>
      </c>
      <c r="H20" s="242">
        <f>1-G20</f>
        <v>0.90545657133950452</v>
      </c>
      <c r="I20" s="157"/>
    </row>
    <row r="21" spans="1:9" ht="15.75" thickBot="1" x14ac:dyDescent="0.25">
      <c r="A21" s="167"/>
      <c r="B21" s="165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SUM(C17:C21)</f>
        <v>214702155.72</v>
      </c>
      <c r="D22" s="223">
        <f>SUM(D17:D21)</f>
        <v>21145840.310000002</v>
      </c>
      <c r="E22" s="223">
        <f>SUM(E17:E21)</f>
        <v>23784926.020000003</v>
      </c>
      <c r="F22" s="170">
        <f>(+D22-E22)/E22</f>
        <v>-0.11095622949513806</v>
      </c>
      <c r="G22" s="236">
        <f>D22/C22</f>
        <v>9.8489184885395251E-2</v>
      </c>
      <c r="H22" s="237">
        <f>1-G22</f>
        <v>0.90151081511460474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65</v>
      </c>
      <c r="B24" s="165">
        <f>DATE(20,7,1)</f>
        <v>7488</v>
      </c>
      <c r="C24" s="226">
        <v>28855708.969999999</v>
      </c>
      <c r="D24" s="226">
        <v>3105687.6</v>
      </c>
      <c r="E24" s="226">
        <v>2967073.27</v>
      </c>
      <c r="F24" s="166">
        <f>(+D24-E24)/E24</f>
        <v>4.6717528482200267E-2</v>
      </c>
      <c r="G24" s="241">
        <f>D24/C24</f>
        <v>0.10762818557772556</v>
      </c>
      <c r="H24" s="242">
        <f>1-G24</f>
        <v>0.89237181442227442</v>
      </c>
      <c r="I24" s="157"/>
    </row>
    <row r="25" spans="1:9" ht="15.75" x14ac:dyDescent="0.25">
      <c r="A25" s="19"/>
      <c r="B25" s="165">
        <f>DATE(20,8,1)</f>
        <v>7519</v>
      </c>
      <c r="C25" s="226">
        <v>29064729.829999998</v>
      </c>
      <c r="D25" s="226">
        <v>3031801</v>
      </c>
      <c r="E25" s="226">
        <v>2916117.84</v>
      </c>
      <c r="F25" s="166">
        <f>(+D25-E25)/E25</f>
        <v>3.9670262433564807E-2</v>
      </c>
      <c r="G25" s="241">
        <f>D25/C25</f>
        <v>0.10431203103325046</v>
      </c>
      <c r="H25" s="242">
        <f>1-G25</f>
        <v>0.89568796896674951</v>
      </c>
      <c r="I25" s="157"/>
    </row>
    <row r="26" spans="1:9" ht="15.75" x14ac:dyDescent="0.25">
      <c r="A26" s="19"/>
      <c r="B26" s="165">
        <f>DATE(20,9,1)</f>
        <v>7550</v>
      </c>
      <c r="C26" s="226">
        <v>27838192.809999999</v>
      </c>
      <c r="D26" s="226">
        <v>2818231.18</v>
      </c>
      <c r="E26" s="226">
        <v>2810959.49</v>
      </c>
      <c r="F26" s="166">
        <f>(+D26-E26)/E26</f>
        <v>2.5869067220175212E-3</v>
      </c>
      <c r="G26" s="241">
        <f>D26/C26</f>
        <v>0.10123613983259858</v>
      </c>
      <c r="H26" s="242">
        <f>1-G26</f>
        <v>0.8987638601674014</v>
      </c>
      <c r="I26" s="157"/>
    </row>
    <row r="27" spans="1:9" ht="15.75" x14ac:dyDescent="0.25">
      <c r="A27" s="19"/>
      <c r="B27" s="165">
        <f>DATE(20,10,1)</f>
        <v>7580</v>
      </c>
      <c r="C27" s="226">
        <v>28682754.149999999</v>
      </c>
      <c r="D27" s="226">
        <v>2969140.93</v>
      </c>
      <c r="E27" s="226">
        <v>2793135.18</v>
      </c>
      <c r="F27" s="166">
        <f>(+D27-E27)/E27</f>
        <v>6.3013688438810181E-2</v>
      </c>
      <c r="G27" s="241">
        <f>D27/C27</f>
        <v>0.10351659099654488</v>
      </c>
      <c r="H27" s="242">
        <f>1-G27</f>
        <v>0.89648340900345513</v>
      </c>
      <c r="I27" s="157"/>
    </row>
    <row r="28" spans="1:9" ht="15.75" thickBot="1" x14ac:dyDescent="0.25">
      <c r="A28" s="167"/>
      <c r="B28" s="165"/>
      <c r="C28" s="226"/>
      <c r="D28" s="226"/>
      <c r="E28" s="226"/>
      <c r="F28" s="166"/>
      <c r="G28" s="241"/>
      <c r="H28" s="242"/>
      <c r="I28" s="157"/>
    </row>
    <row r="29" spans="1:9" ht="17.25" thickTop="1" thickBot="1" x14ac:dyDescent="0.3">
      <c r="A29" s="174" t="s">
        <v>14</v>
      </c>
      <c r="B29" s="175"/>
      <c r="C29" s="228">
        <f>SUM(C24:C28)</f>
        <v>114441385.75999999</v>
      </c>
      <c r="D29" s="228">
        <f>SUM(D24:D28)</f>
        <v>11924860.709999999</v>
      </c>
      <c r="E29" s="228">
        <f>SUM(E24:E28)</f>
        <v>11487285.779999999</v>
      </c>
      <c r="F29" s="176">
        <f>(+D29-E29)/E29</f>
        <v>3.8092107951370191E-2</v>
      </c>
      <c r="G29" s="245">
        <f>D29/C29</f>
        <v>0.10420059693272278</v>
      </c>
      <c r="H29" s="246">
        <f>1-G29</f>
        <v>0.89579940306727723</v>
      </c>
      <c r="I29" s="157"/>
    </row>
    <row r="30" spans="1:9" ht="15.75" thickTop="1" x14ac:dyDescent="0.2">
      <c r="A30" s="167"/>
      <c r="B30" s="168"/>
      <c r="C30" s="226"/>
      <c r="D30" s="226"/>
      <c r="E30" s="226"/>
      <c r="F30" s="166"/>
      <c r="G30" s="241"/>
      <c r="H30" s="242"/>
      <c r="I30" s="157"/>
    </row>
    <row r="31" spans="1:9" ht="15.75" x14ac:dyDescent="0.25">
      <c r="A31" s="177" t="s">
        <v>59</v>
      </c>
      <c r="B31" s="165">
        <f>DATE(20,7,1)</f>
        <v>7488</v>
      </c>
      <c r="C31" s="226">
        <v>143439230.22</v>
      </c>
      <c r="D31" s="226">
        <v>12870761.890000001</v>
      </c>
      <c r="E31" s="226">
        <v>17279710.350000001</v>
      </c>
      <c r="F31" s="166">
        <f>(+D31-E31)/E31</f>
        <v>-0.2551517572168101</v>
      </c>
      <c r="G31" s="241">
        <f>D31/C31</f>
        <v>8.9729719479527764E-2</v>
      </c>
      <c r="H31" s="242">
        <f>1-G31</f>
        <v>0.91027028052047221</v>
      </c>
      <c r="I31" s="157"/>
    </row>
    <row r="32" spans="1:9" ht="15.75" x14ac:dyDescent="0.25">
      <c r="A32" s="177"/>
      <c r="B32" s="165">
        <f>DATE(20,8,1)</f>
        <v>7519</v>
      </c>
      <c r="C32" s="226">
        <v>144700809.44999999</v>
      </c>
      <c r="D32" s="226">
        <v>13070251.67</v>
      </c>
      <c r="E32" s="226">
        <v>17467037.460000001</v>
      </c>
      <c r="F32" s="166">
        <f>(+D32-E32)/E32</f>
        <v>-0.25171903364086567</v>
      </c>
      <c r="G32" s="241">
        <f>D32/C32</f>
        <v>9.0326043922486166E-2</v>
      </c>
      <c r="H32" s="242">
        <f>1-G32</f>
        <v>0.90967395607751378</v>
      </c>
      <c r="I32" s="157"/>
    </row>
    <row r="33" spans="1:9" ht="15.75" x14ac:dyDescent="0.25">
      <c r="A33" s="177"/>
      <c r="B33" s="165">
        <f>DATE(20,9,1)</f>
        <v>7550</v>
      </c>
      <c r="C33" s="226">
        <v>139818303.37</v>
      </c>
      <c r="D33" s="226">
        <v>12783360.18</v>
      </c>
      <c r="E33" s="226">
        <v>16156127.949999999</v>
      </c>
      <c r="F33" s="166">
        <f>(+D33-E33)/E33</f>
        <v>-0.20876089744015675</v>
      </c>
      <c r="G33" s="241">
        <f>D33/C33</f>
        <v>9.1428374339313084E-2</v>
      </c>
      <c r="H33" s="242">
        <f>1-G33</f>
        <v>0.90857162566068694</v>
      </c>
      <c r="I33" s="157"/>
    </row>
    <row r="34" spans="1:9" ht="15.75" x14ac:dyDescent="0.25">
      <c r="A34" s="177"/>
      <c r="B34" s="165">
        <f>DATE(20,10,1)</f>
        <v>7580</v>
      </c>
      <c r="C34" s="226">
        <v>145940508.44</v>
      </c>
      <c r="D34" s="226">
        <v>13838790.18</v>
      </c>
      <c r="E34" s="226">
        <v>15798088.050000001</v>
      </c>
      <c r="F34" s="166">
        <f>(+D34-E34)/E34</f>
        <v>-0.12402120204666164</v>
      </c>
      <c r="G34" s="241">
        <f>D34/C34</f>
        <v>9.4824873011111185E-2</v>
      </c>
      <c r="H34" s="242">
        <f>1-G34</f>
        <v>0.9051751269888888</v>
      </c>
      <c r="I34" s="157"/>
    </row>
    <row r="35" spans="1:9" ht="15.75" thickBot="1" x14ac:dyDescent="0.25">
      <c r="A35" s="167"/>
      <c r="B35" s="168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74" t="s">
        <v>14</v>
      </c>
      <c r="B36" s="178"/>
      <c r="C36" s="228">
        <f>SUM(C31:C35)</f>
        <v>573898851.48000002</v>
      </c>
      <c r="D36" s="228">
        <f>SUM(D31:D35)</f>
        <v>52563163.920000002</v>
      </c>
      <c r="E36" s="228">
        <f>SUM(E31:E35)</f>
        <v>66700963.810000002</v>
      </c>
      <c r="F36" s="176">
        <f>(+D36-E36)/E36</f>
        <v>-0.21195795506451767</v>
      </c>
      <c r="G36" s="245">
        <f>D36/C36</f>
        <v>9.1589595944385316E-2</v>
      </c>
      <c r="H36" s="246">
        <f>1-G36</f>
        <v>0.90841040405561468</v>
      </c>
      <c r="I36" s="157"/>
    </row>
    <row r="37" spans="1:9" ht="15.75" thickTop="1" x14ac:dyDescent="0.2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 x14ac:dyDescent="0.25">
      <c r="A38" s="164" t="s">
        <v>63</v>
      </c>
      <c r="B38" s="165">
        <f>DATE(20,7,1)</f>
        <v>7488</v>
      </c>
      <c r="C38" s="226">
        <v>129097611.84999999</v>
      </c>
      <c r="D38" s="226">
        <v>13388447.99</v>
      </c>
      <c r="E38" s="226">
        <v>11411946.24</v>
      </c>
      <c r="F38" s="166">
        <f>(+D38-E38)/E38</f>
        <v>0.17319585182343095</v>
      </c>
      <c r="G38" s="241">
        <f>D38/C38</f>
        <v>0.10370794469502807</v>
      </c>
      <c r="H38" s="242">
        <f>1-G38</f>
        <v>0.89629205530497191</v>
      </c>
      <c r="I38" s="157"/>
    </row>
    <row r="39" spans="1:9" ht="15.75" x14ac:dyDescent="0.25">
      <c r="A39" s="164"/>
      <c r="B39" s="165">
        <f>DATE(20,8,1)</f>
        <v>7519</v>
      </c>
      <c r="C39" s="226">
        <v>126740821.34999999</v>
      </c>
      <c r="D39" s="226">
        <v>12503132.880000001</v>
      </c>
      <c r="E39" s="226">
        <v>12220877.76</v>
      </c>
      <c r="F39" s="166">
        <f>(+D39-E39)/E39</f>
        <v>2.3096141336414206E-2</v>
      </c>
      <c r="G39" s="241">
        <f>D39/C39</f>
        <v>9.8651190254417598E-2</v>
      </c>
      <c r="H39" s="242">
        <f>1-G39</f>
        <v>0.9013488097455824</v>
      </c>
      <c r="I39" s="157"/>
    </row>
    <row r="40" spans="1:9" ht="15.75" x14ac:dyDescent="0.25">
      <c r="A40" s="164"/>
      <c r="B40" s="165">
        <f>DATE(20,9,1)</f>
        <v>7550</v>
      </c>
      <c r="C40" s="226">
        <v>113747305.23</v>
      </c>
      <c r="D40" s="226">
        <v>11218535.91</v>
      </c>
      <c r="E40" s="226">
        <v>11441576.98</v>
      </c>
      <c r="F40" s="166">
        <f>(+D40-E40)/E40</f>
        <v>-1.9493909833397834E-2</v>
      </c>
      <c r="G40" s="241">
        <f>D40/C40</f>
        <v>9.8626828014218265E-2</v>
      </c>
      <c r="H40" s="242">
        <f>1-G40</f>
        <v>0.90137317198578171</v>
      </c>
      <c r="I40" s="157"/>
    </row>
    <row r="41" spans="1:9" ht="15.75" x14ac:dyDescent="0.25">
      <c r="A41" s="164"/>
      <c r="B41" s="165">
        <f>DATE(20,10,1)</f>
        <v>7580</v>
      </c>
      <c r="C41" s="226">
        <v>112893213.81</v>
      </c>
      <c r="D41" s="226">
        <v>11439504.380000001</v>
      </c>
      <c r="E41" s="226">
        <v>11451574.32</v>
      </c>
      <c r="F41" s="166">
        <f>(+D41-E41)/E41</f>
        <v>-1.0539983117360127E-3</v>
      </c>
      <c r="G41" s="241">
        <f>D41/C41</f>
        <v>0.10133031024568721</v>
      </c>
      <c r="H41" s="242">
        <f>1-G41</f>
        <v>0.89866968975431283</v>
      </c>
      <c r="I41" s="157"/>
    </row>
    <row r="42" spans="1:9" ht="15.75" thickBot="1" x14ac:dyDescent="0.25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Top="1" thickBot="1" x14ac:dyDescent="0.3">
      <c r="A43" s="174" t="s">
        <v>14</v>
      </c>
      <c r="B43" s="175"/>
      <c r="C43" s="228">
        <f>SUM(C38:C42)</f>
        <v>482478952.24000001</v>
      </c>
      <c r="D43" s="230">
        <f>SUM(D38:D42)</f>
        <v>48549621.160000004</v>
      </c>
      <c r="E43" s="271">
        <f>SUM(E38:E42)</f>
        <v>46525975.300000004</v>
      </c>
      <c r="F43" s="272">
        <f>(+D43-E43)/E43</f>
        <v>4.3494969142538302E-2</v>
      </c>
      <c r="G43" s="249">
        <f>D43/C43</f>
        <v>0.10062536600736505</v>
      </c>
      <c r="H43" s="270">
        <f>1-G43</f>
        <v>0.89937463399263495</v>
      </c>
      <c r="I43" s="157"/>
    </row>
    <row r="44" spans="1:9" ht="15.75" thickTop="1" x14ac:dyDescent="0.2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 x14ac:dyDescent="0.25">
      <c r="A45" s="164" t="s">
        <v>68</v>
      </c>
      <c r="B45" s="165">
        <f>DATE(20,7,1)</f>
        <v>7488</v>
      </c>
      <c r="C45" s="226">
        <v>42751040.829999998</v>
      </c>
      <c r="D45" s="226">
        <v>4434379.57</v>
      </c>
      <c r="E45" s="226">
        <v>3906046.69</v>
      </c>
      <c r="F45" s="166">
        <f>(+D45-E45)/E45</f>
        <v>0.13526025721930127</v>
      </c>
      <c r="G45" s="241">
        <f>D45/C45</f>
        <v>0.10372565167789391</v>
      </c>
      <c r="H45" s="242">
        <f>1-G45</f>
        <v>0.89627434832210606</v>
      </c>
      <c r="I45" s="157"/>
    </row>
    <row r="46" spans="1:9" ht="15.75" x14ac:dyDescent="0.25">
      <c r="A46" s="164"/>
      <c r="B46" s="165">
        <f>DATE(20,8,1)</f>
        <v>7519</v>
      </c>
      <c r="C46" s="226">
        <v>42673866.380000003</v>
      </c>
      <c r="D46" s="226">
        <v>4333573.3</v>
      </c>
      <c r="E46" s="226">
        <v>4670857.45</v>
      </c>
      <c r="F46" s="166">
        <f>(+D46-E46)/E46</f>
        <v>-7.2210328319910588E-2</v>
      </c>
      <c r="G46" s="241">
        <f>D46/C46</f>
        <v>0.1015509881717917</v>
      </c>
      <c r="H46" s="242">
        <f>1-G46</f>
        <v>0.89844901182820824</v>
      </c>
      <c r="I46" s="157"/>
    </row>
    <row r="47" spans="1:9" ht="15.75" x14ac:dyDescent="0.25">
      <c r="A47" s="164"/>
      <c r="B47" s="165">
        <f>DATE(20,9,1)</f>
        <v>7550</v>
      </c>
      <c r="C47" s="226">
        <v>41605422.850000001</v>
      </c>
      <c r="D47" s="226">
        <v>4417017.5599999996</v>
      </c>
      <c r="E47" s="226">
        <v>4421418.32</v>
      </c>
      <c r="F47" s="166">
        <f>(+D47-E47)/E47</f>
        <v>-9.9532767123485097E-4</v>
      </c>
      <c r="G47" s="241">
        <f>D47/C47</f>
        <v>0.10616446745234796</v>
      </c>
      <c r="H47" s="242">
        <f>1-G47</f>
        <v>0.89383553254765202</v>
      </c>
      <c r="I47" s="157"/>
    </row>
    <row r="48" spans="1:9" ht="15.75" x14ac:dyDescent="0.25">
      <c r="A48" s="164"/>
      <c r="B48" s="165">
        <f>DATE(20,10,1)</f>
        <v>7580</v>
      </c>
      <c r="C48" s="226">
        <v>43714895.32</v>
      </c>
      <c r="D48" s="226">
        <v>4440838.8899999997</v>
      </c>
      <c r="E48" s="226">
        <v>4469558.96</v>
      </c>
      <c r="F48" s="166">
        <f>(+D48-E48)/E48</f>
        <v>-6.4257055913186341E-3</v>
      </c>
      <c r="G48" s="241">
        <f>D48/C48</f>
        <v>0.10158640109949597</v>
      </c>
      <c r="H48" s="242">
        <f>1-G48</f>
        <v>0.89841359890050398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SUM(C45:C49)</f>
        <v>170745225.38</v>
      </c>
      <c r="D50" s="230">
        <f>SUM(D45:D49)</f>
        <v>17625809.32</v>
      </c>
      <c r="E50" s="271">
        <f>SUM(E45:E49)</f>
        <v>17467881.420000002</v>
      </c>
      <c r="F50" s="272">
        <f>(+D50-E50)/E50</f>
        <v>9.0410448870564004E-3</v>
      </c>
      <c r="G50" s="249">
        <f>D50/C50</f>
        <v>0.1032287097971442</v>
      </c>
      <c r="H50" s="270">
        <f>1-G50</f>
        <v>0.89677129020285584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64" t="s">
        <v>66</v>
      </c>
      <c r="B52" s="165">
        <f>DATE(20,7,1)</f>
        <v>7488</v>
      </c>
      <c r="C52" s="226">
        <v>39014288.030000001</v>
      </c>
      <c r="D52" s="226">
        <v>4303428.05</v>
      </c>
      <c r="E52" s="226">
        <v>4987956.2</v>
      </c>
      <c r="F52" s="166">
        <f>(+D52-E52)/E52</f>
        <v>-0.13723619906686438</v>
      </c>
      <c r="G52" s="241">
        <f>D52/C52</f>
        <v>0.11030389806654636</v>
      </c>
      <c r="H52" s="242">
        <f>1-G52</f>
        <v>0.88969610193345361</v>
      </c>
      <c r="I52" s="157"/>
    </row>
    <row r="53" spans="1:9" ht="15.75" x14ac:dyDescent="0.25">
      <c r="A53" s="164"/>
      <c r="B53" s="165">
        <f>DATE(20,8,1)</f>
        <v>7519</v>
      </c>
      <c r="C53" s="226">
        <v>37294361.380000003</v>
      </c>
      <c r="D53" s="226">
        <v>4134795.6</v>
      </c>
      <c r="E53" s="226">
        <v>5297182</v>
      </c>
      <c r="F53" s="166">
        <f>(+D53-E53)/E53</f>
        <v>-0.21943486178122631</v>
      </c>
      <c r="G53" s="241">
        <f>D53/C53</f>
        <v>0.11086918898730315</v>
      </c>
      <c r="H53" s="242">
        <f>1-G53</f>
        <v>0.88913081101269686</v>
      </c>
      <c r="I53" s="157"/>
    </row>
    <row r="54" spans="1:9" ht="15.75" x14ac:dyDescent="0.25">
      <c r="A54" s="164"/>
      <c r="B54" s="165">
        <f>DATE(20,9,1)</f>
        <v>7550</v>
      </c>
      <c r="C54" s="226">
        <v>46478172.090000004</v>
      </c>
      <c r="D54" s="226">
        <v>5078159.95</v>
      </c>
      <c r="E54" s="226">
        <v>4757922.75</v>
      </c>
      <c r="F54" s="166">
        <f>(+D54-E54)/E54</f>
        <v>6.7306094870918237E-2</v>
      </c>
      <c r="G54" s="241">
        <f>D54/C54</f>
        <v>0.10925902895162674</v>
      </c>
      <c r="H54" s="242">
        <f>1-G54</f>
        <v>0.89074097104837324</v>
      </c>
      <c r="I54" s="157"/>
    </row>
    <row r="55" spans="1:9" ht="15.75" x14ac:dyDescent="0.25">
      <c r="A55" s="164"/>
      <c r="B55" s="165">
        <f>DATE(20,10,1)</f>
        <v>7580</v>
      </c>
      <c r="C55" s="226">
        <v>52985429.619999997</v>
      </c>
      <c r="D55" s="226">
        <v>5823943.8200000003</v>
      </c>
      <c r="E55" s="226">
        <v>5100767.21</v>
      </c>
      <c r="F55" s="166">
        <f>(+D55-E55)/E55</f>
        <v>0.14177800715590788</v>
      </c>
      <c r="G55" s="241">
        <f>D55/C55</f>
        <v>0.10991594975766096</v>
      </c>
      <c r="H55" s="242">
        <f>1-G55</f>
        <v>0.89008405024233905</v>
      </c>
      <c r="I55" s="157"/>
    </row>
    <row r="56" spans="1:9" ht="15.75" thickBot="1" x14ac:dyDescent="0.25">
      <c r="A56" s="167"/>
      <c r="B56" s="165"/>
      <c r="C56" s="226"/>
      <c r="D56" s="226"/>
      <c r="E56" s="226"/>
      <c r="F56" s="166"/>
      <c r="G56" s="241"/>
      <c r="H56" s="242"/>
      <c r="I56" s="157"/>
    </row>
    <row r="57" spans="1:9" ht="17.25" thickTop="1" thickBot="1" x14ac:dyDescent="0.3">
      <c r="A57" s="174" t="s">
        <v>14</v>
      </c>
      <c r="B57" s="175"/>
      <c r="C57" s="228">
        <f>SUM(C52:C56)</f>
        <v>175772251.12</v>
      </c>
      <c r="D57" s="230">
        <f>SUM(D52:D56)</f>
        <v>19340327.420000002</v>
      </c>
      <c r="E57" s="271">
        <f>SUM(E52:E56)</f>
        <v>20143828.16</v>
      </c>
      <c r="F57" s="272">
        <f>(+D57-E57)/E57</f>
        <v>-3.988818478880423E-2</v>
      </c>
      <c r="G57" s="249">
        <f>D57/C57</f>
        <v>0.11003060663310461</v>
      </c>
      <c r="H57" s="270">
        <f>1-G57</f>
        <v>0.8899693933668954</v>
      </c>
      <c r="I57" s="157"/>
    </row>
    <row r="58" spans="1:9" ht="15.75" thickTop="1" x14ac:dyDescent="0.2">
      <c r="A58" s="167"/>
      <c r="B58" s="168"/>
      <c r="C58" s="226"/>
      <c r="D58" s="226"/>
      <c r="E58" s="226"/>
      <c r="F58" s="166"/>
      <c r="G58" s="241"/>
      <c r="H58" s="242"/>
      <c r="I58" s="157"/>
    </row>
    <row r="59" spans="1:9" ht="15.75" x14ac:dyDescent="0.25">
      <c r="A59" s="164" t="s">
        <v>60</v>
      </c>
      <c r="B59" s="165">
        <f>DATE(20,7,1)</f>
        <v>7488</v>
      </c>
      <c r="C59" s="226">
        <v>111521100.17</v>
      </c>
      <c r="D59" s="226">
        <v>10751795.77</v>
      </c>
      <c r="E59" s="226">
        <v>10859844.9</v>
      </c>
      <c r="F59" s="166">
        <f>(+D59-E59)/E59</f>
        <v>-9.9494174175545382E-3</v>
      </c>
      <c r="G59" s="241">
        <f>D59/C59</f>
        <v>9.6410416984859623E-2</v>
      </c>
      <c r="H59" s="242">
        <f>1-G59</f>
        <v>0.90358958301514036</v>
      </c>
      <c r="I59" s="157"/>
    </row>
    <row r="60" spans="1:9" ht="15.75" x14ac:dyDescent="0.25">
      <c r="A60" s="164"/>
      <c r="B60" s="165">
        <f>DATE(20,8,1)</f>
        <v>7519</v>
      </c>
      <c r="C60" s="226">
        <v>112369794.01000001</v>
      </c>
      <c r="D60" s="226">
        <v>11312353.68</v>
      </c>
      <c r="E60" s="226">
        <v>10606265.73</v>
      </c>
      <c r="F60" s="166">
        <f>(+D60-E60)/E60</f>
        <v>6.6572719180777992E-2</v>
      </c>
      <c r="G60" s="241">
        <f>D60/C60</f>
        <v>0.10067076993122628</v>
      </c>
      <c r="H60" s="242">
        <f>1-G60</f>
        <v>0.89932923006877374</v>
      </c>
      <c r="I60" s="157"/>
    </row>
    <row r="61" spans="1:9" ht="15.75" x14ac:dyDescent="0.25">
      <c r="A61" s="164"/>
      <c r="B61" s="165">
        <f>DATE(20,9,1)</f>
        <v>7550</v>
      </c>
      <c r="C61" s="226">
        <v>112239380.63</v>
      </c>
      <c r="D61" s="226">
        <v>10956999.039999999</v>
      </c>
      <c r="E61" s="226">
        <v>10294221.539999999</v>
      </c>
      <c r="F61" s="166">
        <f>(+D61-E61)/E61</f>
        <v>6.4383450212788018E-2</v>
      </c>
      <c r="G61" s="241">
        <f>D61/C61</f>
        <v>9.7621699072984264E-2</v>
      </c>
      <c r="H61" s="242">
        <f>1-G61</f>
        <v>0.90237830092701576</v>
      </c>
      <c r="I61" s="157"/>
    </row>
    <row r="62" spans="1:9" ht="15.75" x14ac:dyDescent="0.25">
      <c r="A62" s="164"/>
      <c r="B62" s="165">
        <f>DATE(20,10,1)</f>
        <v>7580</v>
      </c>
      <c r="C62" s="226">
        <v>107780626.91</v>
      </c>
      <c r="D62" s="226">
        <v>10410650.699999999</v>
      </c>
      <c r="E62" s="226">
        <v>9880729.3699999992</v>
      </c>
      <c r="F62" s="166">
        <f>(+D62-E62)/E62</f>
        <v>5.3631802891895231E-2</v>
      </c>
      <c r="G62" s="241">
        <f>D62/C62</f>
        <v>9.6591112878692015E-2</v>
      </c>
      <c r="H62" s="242">
        <f>1-G62</f>
        <v>0.90340888712130796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SUM(C59:C63)</f>
        <v>443910901.72000003</v>
      </c>
      <c r="D64" s="230">
        <f>SUM(D59:D63)</f>
        <v>43431799.189999998</v>
      </c>
      <c r="E64" s="271">
        <f>SUM(E59:E63)</f>
        <v>41641061.539999999</v>
      </c>
      <c r="F64" s="176">
        <f>(+D64-E64)/E64</f>
        <v>4.3004130629086708E-2</v>
      </c>
      <c r="G64" s="249">
        <f>D64/C64</f>
        <v>9.7839001073676976E-2</v>
      </c>
      <c r="H64" s="270">
        <f>1-G64</f>
        <v>0.90216099892632307</v>
      </c>
      <c r="I64" s="157"/>
    </row>
    <row r="65" spans="1:9" ht="15.75" thickTop="1" x14ac:dyDescent="0.2">
      <c r="A65" s="167"/>
      <c r="B65" s="179"/>
      <c r="C65" s="229"/>
      <c r="D65" s="229"/>
      <c r="E65" s="229"/>
      <c r="F65" s="180"/>
      <c r="G65" s="247"/>
      <c r="H65" s="248"/>
      <c r="I65" s="157"/>
    </row>
    <row r="66" spans="1:9" ht="15.75" x14ac:dyDescent="0.25">
      <c r="A66" s="164" t="s">
        <v>16</v>
      </c>
      <c r="B66" s="165">
        <f>DATE(20,7,1)</f>
        <v>7488</v>
      </c>
      <c r="C66" s="226">
        <v>122917916.14</v>
      </c>
      <c r="D66" s="226">
        <v>12124639.109999999</v>
      </c>
      <c r="E66" s="226">
        <v>13562944.539999999</v>
      </c>
      <c r="F66" s="166">
        <f>(+D66-E66)/E66</f>
        <v>-0.10604669404627676</v>
      </c>
      <c r="G66" s="241">
        <f>D66/C66</f>
        <v>9.8640129045064362E-2</v>
      </c>
      <c r="H66" s="242">
        <f>1-G66</f>
        <v>0.90135987095493564</v>
      </c>
      <c r="I66" s="157"/>
    </row>
    <row r="67" spans="1:9" ht="15.75" x14ac:dyDescent="0.25">
      <c r="A67" s="164"/>
      <c r="B67" s="165">
        <f>DATE(20,8,1)</f>
        <v>7519</v>
      </c>
      <c r="C67" s="226">
        <v>129077535.78</v>
      </c>
      <c r="D67" s="226">
        <v>12772714.18</v>
      </c>
      <c r="E67" s="226">
        <v>13870661.279999999</v>
      </c>
      <c r="F67" s="166">
        <f>(+D67-E67)/E67</f>
        <v>-7.9156074669858828E-2</v>
      </c>
      <c r="G67" s="241">
        <f>D67/C67</f>
        <v>9.8953811775349024E-2</v>
      </c>
      <c r="H67" s="242">
        <f>1-G67</f>
        <v>0.90104618822465099</v>
      </c>
      <c r="I67" s="157"/>
    </row>
    <row r="68" spans="1:9" ht="15.75" x14ac:dyDescent="0.25">
      <c r="A68" s="164"/>
      <c r="B68" s="165">
        <f>DATE(20,9,1)</f>
        <v>7550</v>
      </c>
      <c r="C68" s="226">
        <v>120244266.26000001</v>
      </c>
      <c r="D68" s="226">
        <v>12144964.720000001</v>
      </c>
      <c r="E68" s="226">
        <v>12786419.43</v>
      </c>
      <c r="F68" s="166">
        <f>(+D68-E68)/E68</f>
        <v>-5.0166875372083662E-2</v>
      </c>
      <c r="G68" s="241">
        <f>D68/C68</f>
        <v>0.10100244359044418</v>
      </c>
      <c r="H68" s="242">
        <f>1-G68</f>
        <v>0.89899755640955581</v>
      </c>
      <c r="I68" s="157"/>
    </row>
    <row r="69" spans="1:9" ht="15.75" x14ac:dyDescent="0.25">
      <c r="A69" s="164"/>
      <c r="B69" s="165">
        <f>DATE(20,10,1)</f>
        <v>7580</v>
      </c>
      <c r="C69" s="226">
        <v>126651805.83</v>
      </c>
      <c r="D69" s="226">
        <v>12788232.33</v>
      </c>
      <c r="E69" s="226">
        <v>13251508.66</v>
      </c>
      <c r="F69" s="166">
        <f>(+D69-E69)/E69</f>
        <v>-3.496027070475461E-2</v>
      </c>
      <c r="G69" s="241">
        <f>D69/C69</f>
        <v>0.10097157514804936</v>
      </c>
      <c r="H69" s="242">
        <f>1-G69</f>
        <v>0.89902842485195067</v>
      </c>
      <c r="I69" s="157"/>
    </row>
    <row r="70" spans="1:9" ht="15.75" customHeight="1" thickBot="1" x14ac:dyDescent="0.3">
      <c r="A70" s="164"/>
      <c r="B70" s="165"/>
      <c r="C70" s="226"/>
      <c r="D70" s="226"/>
      <c r="E70" s="226"/>
      <c r="F70" s="166"/>
      <c r="G70" s="241"/>
      <c r="H70" s="242"/>
      <c r="I70" s="157"/>
    </row>
    <row r="71" spans="1:9" ht="17.25" thickTop="1" thickBot="1" x14ac:dyDescent="0.3">
      <c r="A71" s="174" t="s">
        <v>14</v>
      </c>
      <c r="B71" s="181"/>
      <c r="C71" s="228">
        <f>SUM(C66:C70)</f>
        <v>498891524.00999999</v>
      </c>
      <c r="D71" s="228">
        <f>SUM(D66:D70)</f>
        <v>49830550.339999996</v>
      </c>
      <c r="E71" s="228">
        <f>SUM(E66:E70)</f>
        <v>53471533.909999996</v>
      </c>
      <c r="F71" s="176">
        <f>(+D71-E71)/E71</f>
        <v>-6.809199781192514E-2</v>
      </c>
      <c r="G71" s="245">
        <f>D71/C71</f>
        <v>9.9882535464766026E-2</v>
      </c>
      <c r="H71" s="246">
        <f>1-G71</f>
        <v>0.900117464535234</v>
      </c>
      <c r="I71" s="157"/>
    </row>
    <row r="72" spans="1:9" ht="15.75" thickTop="1" x14ac:dyDescent="0.2">
      <c r="A72" s="171"/>
      <c r="B72" s="172"/>
      <c r="C72" s="227"/>
      <c r="D72" s="227"/>
      <c r="E72" s="227"/>
      <c r="F72" s="173"/>
      <c r="G72" s="243"/>
      <c r="H72" s="244"/>
      <c r="I72" s="157"/>
    </row>
    <row r="73" spans="1:9" ht="15.75" x14ac:dyDescent="0.25">
      <c r="A73" s="164" t="s">
        <v>54</v>
      </c>
      <c r="B73" s="165">
        <f>DATE(20,7,1)</f>
        <v>7488</v>
      </c>
      <c r="C73" s="226">
        <v>139778413.28999999</v>
      </c>
      <c r="D73" s="226">
        <v>13113665.15</v>
      </c>
      <c r="E73" s="226">
        <v>16247033.9</v>
      </c>
      <c r="F73" s="166">
        <f>(+D73-E73)/E73</f>
        <v>-0.19285789451082513</v>
      </c>
      <c r="G73" s="241">
        <f>D73/C73</f>
        <v>9.3817527623474437E-2</v>
      </c>
      <c r="H73" s="242">
        <f>1-G73</f>
        <v>0.90618247237652561</v>
      </c>
      <c r="I73" s="157"/>
    </row>
    <row r="74" spans="1:9" ht="15.75" x14ac:dyDescent="0.25">
      <c r="A74" s="164"/>
      <c r="B74" s="165">
        <f>DATE(20,8,1)</f>
        <v>7519</v>
      </c>
      <c r="C74" s="226">
        <v>139190485.06</v>
      </c>
      <c r="D74" s="226">
        <v>13163225.939999999</v>
      </c>
      <c r="E74" s="226">
        <v>16871517.800000001</v>
      </c>
      <c r="F74" s="166">
        <f>(+D74-E74)/E74</f>
        <v>-0.21979598421192437</v>
      </c>
      <c r="G74" s="241">
        <f>D74/C74</f>
        <v>9.4569869013142724E-2</v>
      </c>
      <c r="H74" s="242">
        <f>1-G74</f>
        <v>0.90543013098685732</v>
      </c>
      <c r="I74" s="157"/>
    </row>
    <row r="75" spans="1:9" ht="15.75" x14ac:dyDescent="0.25">
      <c r="A75" s="164"/>
      <c r="B75" s="165">
        <f>DATE(20,9,1)</f>
        <v>7550</v>
      </c>
      <c r="C75" s="226">
        <v>144179628.53</v>
      </c>
      <c r="D75" s="226">
        <v>13632742.51</v>
      </c>
      <c r="E75" s="226">
        <v>15944541.300000001</v>
      </c>
      <c r="F75" s="166">
        <f>(+D75-E75)/E75</f>
        <v>-0.1449899841270442</v>
      </c>
      <c r="G75" s="241">
        <f>D75/C75</f>
        <v>9.4553874559077419E-2</v>
      </c>
      <c r="H75" s="242">
        <f>1-G75</f>
        <v>0.90544612544092262</v>
      </c>
      <c r="I75" s="157"/>
    </row>
    <row r="76" spans="1:9" ht="15.75" x14ac:dyDescent="0.25">
      <c r="A76" s="164"/>
      <c r="B76" s="165">
        <f>DATE(20,10,1)</f>
        <v>7580</v>
      </c>
      <c r="C76" s="226">
        <v>153697637.43000001</v>
      </c>
      <c r="D76" s="226">
        <v>14284849.609999999</v>
      </c>
      <c r="E76" s="226">
        <v>16080736.01</v>
      </c>
      <c r="F76" s="166">
        <f>(+D76-E76)/E76</f>
        <v>-0.11167936585012071</v>
      </c>
      <c r="G76" s="241">
        <f>D76/C76</f>
        <v>9.2941243917987262E-2</v>
      </c>
      <c r="H76" s="242">
        <f>1-G76</f>
        <v>0.9070587560820127</v>
      </c>
      <c r="I76" s="157"/>
    </row>
    <row r="77" spans="1:9" ht="15.75" thickBot="1" x14ac:dyDescent="0.25">
      <c r="A77" s="167"/>
      <c r="B77" s="168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SUM(C73:C77)</f>
        <v>576846164.30999994</v>
      </c>
      <c r="D78" s="228">
        <f>SUM(D73:D77)</f>
        <v>54194483.210000001</v>
      </c>
      <c r="E78" s="228">
        <f>SUM(E73:E77)</f>
        <v>65143829.009999998</v>
      </c>
      <c r="F78" s="176">
        <f>(+D78-E78)/E78</f>
        <v>-0.16807955513820352</v>
      </c>
      <c r="G78" s="249">
        <f>D78/C78</f>
        <v>9.3949629143890129E-2</v>
      </c>
      <c r="H78" s="270">
        <f>1-G78</f>
        <v>0.90605037085610984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55</v>
      </c>
      <c r="B80" s="165">
        <f>DATE(20,7,1)</f>
        <v>7488</v>
      </c>
      <c r="C80" s="226">
        <v>25124152.59</v>
      </c>
      <c r="D80" s="226">
        <v>2784731.95</v>
      </c>
      <c r="E80" s="226">
        <v>2612988.94</v>
      </c>
      <c r="F80" s="166">
        <f>(+D80-E80)/E80</f>
        <v>6.5726650186280641E-2</v>
      </c>
      <c r="G80" s="241">
        <f>D80/C80</f>
        <v>0.11083884083351685</v>
      </c>
      <c r="H80" s="242">
        <f>1-G80</f>
        <v>0.88916115916648319</v>
      </c>
      <c r="I80" s="157"/>
    </row>
    <row r="81" spans="1:9" ht="15.75" x14ac:dyDescent="0.25">
      <c r="A81" s="164"/>
      <c r="B81" s="165">
        <f>DATE(20,8,1)</f>
        <v>7519</v>
      </c>
      <c r="C81" s="226">
        <v>26128366.460000001</v>
      </c>
      <c r="D81" s="226">
        <v>2961173.82</v>
      </c>
      <c r="E81" s="226">
        <v>2826240.12</v>
      </c>
      <c r="F81" s="166">
        <f>(+D81-E81)/E81</f>
        <v>4.7743183264980227E-2</v>
      </c>
      <c r="G81" s="241">
        <f>D81/C81</f>
        <v>0.1133317624174198</v>
      </c>
      <c r="H81" s="242">
        <f>1-G81</f>
        <v>0.88666823758258018</v>
      </c>
      <c r="I81" s="157"/>
    </row>
    <row r="82" spans="1:9" ht="15.75" x14ac:dyDescent="0.25">
      <c r="A82" s="164"/>
      <c r="B82" s="165">
        <f>DATE(20,9,1)</f>
        <v>7550</v>
      </c>
      <c r="C82" s="226">
        <v>25242024.670000002</v>
      </c>
      <c r="D82" s="226">
        <v>2707604.99</v>
      </c>
      <c r="E82" s="226">
        <v>2549839.52</v>
      </c>
      <c r="F82" s="166">
        <f>(+D82-E82)/E82</f>
        <v>6.1872705620313002E-2</v>
      </c>
      <c r="G82" s="241">
        <f>D82/C82</f>
        <v>0.10726576118190602</v>
      </c>
      <c r="H82" s="242">
        <f>1-G82</f>
        <v>0.89273423881809399</v>
      </c>
      <c r="I82" s="157"/>
    </row>
    <row r="83" spans="1:9" ht="15.75" x14ac:dyDescent="0.25">
      <c r="A83" s="164"/>
      <c r="B83" s="165">
        <f>DATE(20,10,1)</f>
        <v>7580</v>
      </c>
      <c r="C83" s="226">
        <v>24651178.559999999</v>
      </c>
      <c r="D83" s="226">
        <v>2777127.87</v>
      </c>
      <c r="E83" s="226">
        <v>2654170.6800000002</v>
      </c>
      <c r="F83" s="166">
        <f>(+D83-E83)/E83</f>
        <v>4.6326029793984438E-2</v>
      </c>
      <c r="G83" s="241">
        <f>D83/C83</f>
        <v>0.11265700190522657</v>
      </c>
      <c r="H83" s="242">
        <f>1-G83</f>
        <v>0.88734299809477346</v>
      </c>
      <c r="I83" s="157"/>
    </row>
    <row r="84" spans="1:9" ht="15.75" thickBot="1" x14ac:dyDescent="0.25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7.25" thickTop="1" thickBot="1" x14ac:dyDescent="0.3">
      <c r="A85" s="182" t="s">
        <v>14</v>
      </c>
      <c r="B85" s="183"/>
      <c r="C85" s="230">
        <f>SUM(C80:C84)</f>
        <v>101145722.28</v>
      </c>
      <c r="D85" s="230">
        <f>SUM(D80:D84)</f>
        <v>11230638.629999999</v>
      </c>
      <c r="E85" s="230">
        <f>SUM(E80:E84)</f>
        <v>10643239.26</v>
      </c>
      <c r="F85" s="176">
        <f>(+D85-E85)/E85</f>
        <v>5.518990559646586E-2</v>
      </c>
      <c r="G85" s="249">
        <f>D85/C85</f>
        <v>0.11103424224813395</v>
      </c>
      <c r="H85" s="246">
        <f>1-G85</f>
        <v>0.88896575775186604</v>
      </c>
      <c r="I85" s="157"/>
    </row>
    <row r="86" spans="1:9" ht="15.75" thickTop="1" x14ac:dyDescent="0.2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 x14ac:dyDescent="0.25">
      <c r="A87" s="164" t="s">
        <v>37</v>
      </c>
      <c r="B87" s="165">
        <f>DATE(20,7,1)</f>
        <v>7488</v>
      </c>
      <c r="C87" s="226">
        <v>193788423.05000001</v>
      </c>
      <c r="D87" s="226">
        <v>17781520.260000002</v>
      </c>
      <c r="E87" s="226">
        <v>19119192.239999998</v>
      </c>
      <c r="F87" s="166">
        <f>(+D87-E87)/E87</f>
        <v>-6.9964879436768337E-2</v>
      </c>
      <c r="G87" s="241">
        <f>D87/C87</f>
        <v>9.1757391799468485E-2</v>
      </c>
      <c r="H87" s="242">
        <f>1-G87</f>
        <v>0.90824260820053149</v>
      </c>
      <c r="I87" s="157"/>
    </row>
    <row r="88" spans="1:9" ht="15.75" x14ac:dyDescent="0.25">
      <c r="A88" s="164"/>
      <c r="B88" s="165">
        <f>DATE(20,8,1)</f>
        <v>7519</v>
      </c>
      <c r="C88" s="226">
        <v>187407837.13</v>
      </c>
      <c r="D88" s="226">
        <v>17286123.989999998</v>
      </c>
      <c r="E88" s="226">
        <v>19394509.940000001</v>
      </c>
      <c r="F88" s="166">
        <f>(+D88-E88)/E88</f>
        <v>-0.10871045241785587</v>
      </c>
      <c r="G88" s="241">
        <f>D88/C88</f>
        <v>9.223799951337712E-2</v>
      </c>
      <c r="H88" s="242">
        <f>1-G88</f>
        <v>0.90776200048662292</v>
      </c>
      <c r="I88" s="157"/>
    </row>
    <row r="89" spans="1:9" ht="15.75" x14ac:dyDescent="0.25">
      <c r="A89" s="164"/>
      <c r="B89" s="165">
        <f>DATE(20,9,1)</f>
        <v>7550</v>
      </c>
      <c r="C89" s="226">
        <v>182127854.37</v>
      </c>
      <c r="D89" s="226">
        <v>16702603.76</v>
      </c>
      <c r="E89" s="226">
        <v>17543226.640000001</v>
      </c>
      <c r="F89" s="166">
        <f>(+D89-E89)/E89</f>
        <v>-4.7917233086604005E-2</v>
      </c>
      <c r="G89" s="241">
        <f>D89/C89</f>
        <v>9.1708123492565796E-2</v>
      </c>
      <c r="H89" s="242">
        <f>1-G89</f>
        <v>0.90829187650743415</v>
      </c>
      <c r="I89" s="157"/>
    </row>
    <row r="90" spans="1:9" ht="15.75" x14ac:dyDescent="0.25">
      <c r="A90" s="164"/>
      <c r="B90" s="165">
        <f>DATE(20,10,1)</f>
        <v>7580</v>
      </c>
      <c r="C90" s="226">
        <v>186473597.18000001</v>
      </c>
      <c r="D90" s="226">
        <v>17754592.84</v>
      </c>
      <c r="E90" s="226">
        <v>18312994.41</v>
      </c>
      <c r="F90" s="166">
        <f>(+D90-E90)/E90</f>
        <v>-3.0492095257511755E-2</v>
      </c>
      <c r="G90" s="241">
        <f>D90/C90</f>
        <v>9.5212368445178719E-2</v>
      </c>
      <c r="H90" s="242">
        <f>1-G90</f>
        <v>0.90478763155482134</v>
      </c>
      <c r="I90" s="157"/>
    </row>
    <row r="91" spans="1:9" ht="15.75" thickBot="1" x14ac:dyDescent="0.25">
      <c r="A91" s="167"/>
      <c r="B91" s="168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SUM(C87:C91)</f>
        <v>749797711.73000002</v>
      </c>
      <c r="D92" s="228">
        <f>SUM(D87:D91)</f>
        <v>69524840.849999994</v>
      </c>
      <c r="E92" s="228">
        <f>SUM(E87:E91)</f>
        <v>74369923.230000004</v>
      </c>
      <c r="F92" s="176">
        <f>(+D92-E92)/E92</f>
        <v>-6.5148411744568771E-2</v>
      </c>
      <c r="G92" s="245">
        <f>D92/C92</f>
        <v>9.2724797318447516E-2</v>
      </c>
      <c r="H92" s="246">
        <f>1-G92</f>
        <v>0.90727520268155248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58</v>
      </c>
      <c r="B94" s="165">
        <f>DATE(20,7,1)</f>
        <v>7488</v>
      </c>
      <c r="C94" s="226">
        <v>30630065.859999999</v>
      </c>
      <c r="D94" s="226">
        <v>3357321.79</v>
      </c>
      <c r="E94" s="226">
        <v>3293709.88</v>
      </c>
      <c r="F94" s="166">
        <f>(+D94-E94)/E94</f>
        <v>1.9313149098608574E-2</v>
      </c>
      <c r="G94" s="241">
        <f>D94/C94</f>
        <v>0.10960870294387282</v>
      </c>
      <c r="H94" s="242">
        <f>1-G94</f>
        <v>0.89039129705612718</v>
      </c>
      <c r="I94" s="157"/>
    </row>
    <row r="95" spans="1:9" ht="15.75" x14ac:dyDescent="0.25">
      <c r="A95" s="164"/>
      <c r="B95" s="165">
        <f>DATE(20,8,1)</f>
        <v>7519</v>
      </c>
      <c r="C95" s="226">
        <v>29521795.920000002</v>
      </c>
      <c r="D95" s="226">
        <v>3360444.04</v>
      </c>
      <c r="E95" s="226">
        <v>3283356.99</v>
      </c>
      <c r="F95" s="166">
        <f>(+D95-E95)/E95</f>
        <v>2.3478120178457906E-2</v>
      </c>
      <c r="G95" s="241">
        <f>D95/C95</f>
        <v>0.11382925514106053</v>
      </c>
      <c r="H95" s="242">
        <f>1-G95</f>
        <v>0.88617074485893943</v>
      </c>
      <c r="I95" s="157"/>
    </row>
    <row r="96" spans="1:9" ht="15.75" x14ac:dyDescent="0.25">
      <c r="A96" s="164"/>
      <c r="B96" s="165">
        <f>DATE(20,9,1)</f>
        <v>7550</v>
      </c>
      <c r="C96" s="226">
        <v>27722632.809999999</v>
      </c>
      <c r="D96" s="226">
        <v>3031984.28</v>
      </c>
      <c r="E96" s="226">
        <v>3164787.25</v>
      </c>
      <c r="F96" s="166">
        <f>(+D96-E96)/E96</f>
        <v>-4.1962684853460594E-2</v>
      </c>
      <c r="G96" s="241">
        <f>D96/C96</f>
        <v>0.10936855459508574</v>
      </c>
      <c r="H96" s="242">
        <f>1-G96</f>
        <v>0.89063144540491423</v>
      </c>
      <c r="I96" s="157"/>
    </row>
    <row r="97" spans="1:9" ht="15.75" x14ac:dyDescent="0.25">
      <c r="A97" s="164"/>
      <c r="B97" s="165">
        <f>DATE(20,10,1)</f>
        <v>7580</v>
      </c>
      <c r="C97" s="226">
        <v>24051972.260000002</v>
      </c>
      <c r="D97" s="226">
        <v>2770053.1200000001</v>
      </c>
      <c r="E97" s="226">
        <v>3114034.79</v>
      </c>
      <c r="F97" s="166">
        <f>(+D97-E97)/E97</f>
        <v>-0.11046172994104536</v>
      </c>
      <c r="G97" s="241">
        <f>D97/C97</f>
        <v>0.11516947924502553</v>
      </c>
      <c r="H97" s="242">
        <f>1-G97</f>
        <v>0.88483052075497448</v>
      </c>
      <c r="I97" s="157"/>
    </row>
    <row r="98" spans="1:9" ht="15.75" thickBot="1" x14ac:dyDescent="0.25">
      <c r="A98" s="167"/>
      <c r="B98" s="168"/>
      <c r="C98" s="226"/>
      <c r="D98" s="226"/>
      <c r="E98" s="226"/>
      <c r="F98" s="166"/>
      <c r="G98" s="241"/>
      <c r="H98" s="242"/>
      <c r="I98" s="157"/>
    </row>
    <row r="99" spans="1:9" ht="17.25" thickTop="1" thickBot="1" x14ac:dyDescent="0.3">
      <c r="A99" s="169" t="s">
        <v>14</v>
      </c>
      <c r="B99" s="155"/>
      <c r="C99" s="223">
        <f>SUM(C94:C98)</f>
        <v>111926466.85000001</v>
      </c>
      <c r="D99" s="223">
        <f>SUM(D94:D98)</f>
        <v>12519803.23</v>
      </c>
      <c r="E99" s="223">
        <f>SUM(E94:E98)</f>
        <v>12855888.91</v>
      </c>
      <c r="F99" s="176">
        <f>(+D99-E99)/E99</f>
        <v>-2.6142546995608699E-2</v>
      </c>
      <c r="G99" s="245">
        <f>D99/C99</f>
        <v>0.11185739693524507</v>
      </c>
      <c r="H99" s="246">
        <f>1-G99</f>
        <v>0.8881426030647549</v>
      </c>
      <c r="I99" s="157"/>
    </row>
    <row r="100" spans="1:9" ht="16.5" thickTop="1" thickBot="1" x14ac:dyDescent="0.25">
      <c r="A100" s="171"/>
      <c r="B100" s="172"/>
      <c r="C100" s="227"/>
      <c r="D100" s="227"/>
      <c r="E100" s="227"/>
      <c r="F100" s="173"/>
      <c r="G100" s="243"/>
      <c r="H100" s="244"/>
      <c r="I100" s="157"/>
    </row>
    <row r="101" spans="1:9" ht="17.25" thickTop="1" thickBot="1" x14ac:dyDescent="0.3">
      <c r="A101" s="184" t="s">
        <v>38</v>
      </c>
      <c r="B101" s="155"/>
      <c r="C101" s="223">
        <f>C99+C92+C71+C57+C43+C29+C15+C36+C85+C22+C64+C78+C50</f>
        <v>4677195626.1099997</v>
      </c>
      <c r="D101" s="223">
        <f>D99+D92+D71+D57+D43+D29+D15+D36+D85+D22+D64+D78+D50</f>
        <v>457077262.53999996</v>
      </c>
      <c r="E101" s="223">
        <f>E99+E92+E71+E57+E43+E29+E15+E36+E85+E22+E64+E78+E50</f>
        <v>491894133.29000002</v>
      </c>
      <c r="F101" s="170">
        <f>(+D101-E101)/E101</f>
        <v>-7.0781227897819834E-2</v>
      </c>
      <c r="G101" s="236">
        <f>D101/C101</f>
        <v>9.772464080578748E-2</v>
      </c>
      <c r="H101" s="237">
        <f>1-G101</f>
        <v>0.90227535919421253</v>
      </c>
      <c r="I101" s="157"/>
    </row>
    <row r="102" spans="1:9" ht="17.25" thickTop="1" thickBot="1" x14ac:dyDescent="0.3">
      <c r="A102" s="184"/>
      <c r="B102" s="155"/>
      <c r="C102" s="223"/>
      <c r="D102" s="223"/>
      <c r="E102" s="223"/>
      <c r="F102" s="170"/>
      <c r="G102" s="236"/>
      <c r="H102" s="237"/>
      <c r="I102" s="157"/>
    </row>
    <row r="103" spans="1:9" ht="17.25" thickTop="1" thickBot="1" x14ac:dyDescent="0.3">
      <c r="A103" s="184" t="s">
        <v>39</v>
      </c>
      <c r="B103" s="155"/>
      <c r="C103" s="223">
        <f>SUM(C13+C20+C27+C34+C41+C48+C55+C62+C69+C76+C83+C90+C97)</f>
        <v>1177664434.9100001</v>
      </c>
      <c r="D103" s="223">
        <f>SUM(D13+D20+D27+D34+D41+D48+D55+D62+D69+D76+D83+D90+D97)</f>
        <v>115833699.20000002</v>
      </c>
      <c r="E103" s="223">
        <f>SUM(E13+E20+E27+E34+E41+E48+E55+E62+E69+E76+E83+E90+E97)</f>
        <v>119895080.29000001</v>
      </c>
      <c r="F103" s="170">
        <f>(+D103-E103)/E103</f>
        <v>-3.3874459904246236E-2</v>
      </c>
      <c r="G103" s="236">
        <f>D103/C103</f>
        <v>9.8358832759394915E-2</v>
      </c>
      <c r="H103" s="246">
        <f>1-G103</f>
        <v>0.90164116724060506</v>
      </c>
      <c r="I103" s="157"/>
    </row>
    <row r="104" spans="1:9" ht="16.5" thickTop="1" x14ac:dyDescent="0.25">
      <c r="A104" s="185"/>
      <c r="B104" s="186"/>
      <c r="C104" s="231"/>
      <c r="D104" s="231"/>
      <c r="E104" s="231"/>
      <c r="F104" s="187"/>
      <c r="G104" s="250"/>
      <c r="H104" s="250"/>
      <c r="I104" s="151"/>
    </row>
    <row r="105" spans="1:9" ht="16.5" customHeight="1" x14ac:dyDescent="0.3">
      <c r="A105" s="188" t="s">
        <v>49</v>
      </c>
      <c r="B105" s="189"/>
      <c r="C105" s="232"/>
      <c r="D105" s="232"/>
      <c r="E105" s="232"/>
      <c r="F105" s="190"/>
      <c r="G105" s="251"/>
      <c r="H105" s="251"/>
      <c r="I105" s="151"/>
    </row>
    <row r="106" spans="1:9" ht="15.75" x14ac:dyDescent="0.25">
      <c r="A106" s="191"/>
      <c r="B106" s="189"/>
      <c r="C106" s="232"/>
      <c r="D106" s="232"/>
      <c r="E106" s="232"/>
      <c r="F106" s="190"/>
      <c r="G106" s="257"/>
      <c r="H106" s="257"/>
      <c r="I106" s="151"/>
    </row>
    <row r="107" spans="1:9" ht="15.75" x14ac:dyDescent="0.25">
      <c r="A107" s="72"/>
      <c r="I107" s="151"/>
    </row>
  </sheetData>
  <phoneticPr fontId="0" type="noConversion"/>
  <printOptions horizontalCentered="1"/>
  <pageMargins left="0.75" right="0.25" top="0.31940000000000002" bottom="0.2" header="0.5" footer="0.5"/>
  <pageSetup scale="64" orientation="landscape" r:id="rId1"/>
  <headerFooter alignWithMargins="0"/>
  <rowBreaks count="2" manualBreakCount="2">
    <brk id="50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2020-11-09T20:07:38Z</cp:lastPrinted>
  <dcterms:created xsi:type="dcterms:W3CDTF">2003-09-09T14:41:43Z</dcterms:created>
  <dcterms:modified xsi:type="dcterms:W3CDTF">2020-11-09T22:21:40Z</dcterms:modified>
</cp:coreProperties>
</file>