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etpub\wwwroot\2017mgcweb\Casino_Gaming\rb_financials\FY21_FinReport\05_May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STATS'!$A$1:$M$196</definedName>
    <definedName name="_xlnm.Print_Area" localSheetId="4">'SLOT STATS'!$A$1:$I$197</definedName>
    <definedName name="_xlnm.Print_Area" localSheetId="2">'TABLE STATS'!$A$1:$H$196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calcMode="autoNoTable" fullCalcOnLoad="1" iterate="1" iterateCount="1" iterateDelta="0"/>
</workbook>
</file>

<file path=xl/calcChain.xml><?xml version="1.0" encoding="utf-8"?>
<calcChain xmlns="http://schemas.openxmlformats.org/spreadsheetml/2006/main">
  <c r="E194" i="4" l="1"/>
  <c r="D194" i="4"/>
  <c r="C194" i="4"/>
  <c r="G188" i="4"/>
  <c r="H188" i="4"/>
  <c r="G174" i="4"/>
  <c r="H174" i="4"/>
  <c r="G160" i="4"/>
  <c r="H160" i="4"/>
  <c r="G146" i="4"/>
  <c r="H146" i="4"/>
  <c r="G132" i="4"/>
  <c r="H132" i="4"/>
  <c r="G118" i="4"/>
  <c r="H118" i="4"/>
  <c r="G104" i="4"/>
  <c r="H104" i="4"/>
  <c r="G90" i="4"/>
  <c r="H90" i="4"/>
  <c r="G76" i="4"/>
  <c r="H76" i="4"/>
  <c r="G62" i="4"/>
  <c r="H62" i="4"/>
  <c r="G48" i="4"/>
  <c r="H48" i="4"/>
  <c r="G34" i="4"/>
  <c r="H34" i="4"/>
  <c r="G20" i="4"/>
  <c r="H20" i="4"/>
  <c r="B188" i="4"/>
  <c r="B174" i="4"/>
  <c r="B160" i="4"/>
  <c r="B146" i="4"/>
  <c r="B132" i="4"/>
  <c r="B118" i="4"/>
  <c r="B104" i="4"/>
  <c r="B90" i="4"/>
  <c r="B76" i="4"/>
  <c r="B62" i="4"/>
  <c r="B48" i="4"/>
  <c r="B34" i="4"/>
  <c r="B20" i="4"/>
  <c r="E194" i="5"/>
  <c r="D194" i="5"/>
  <c r="C194" i="5"/>
  <c r="G174" i="5"/>
  <c r="H174" i="5"/>
  <c r="B188" i="5"/>
  <c r="B174" i="5"/>
  <c r="B160" i="5"/>
  <c r="B146" i="5"/>
  <c r="B132" i="5"/>
  <c r="B118" i="5"/>
  <c r="B104" i="5"/>
  <c r="B90" i="5"/>
  <c r="B76" i="5"/>
  <c r="B62" i="5"/>
  <c r="B48" i="5"/>
  <c r="B34" i="5"/>
  <c r="B20" i="5"/>
  <c r="E193" i="3"/>
  <c r="D193" i="3"/>
  <c r="C193" i="3"/>
  <c r="G187" i="3"/>
  <c r="G173" i="3"/>
  <c r="G159" i="3"/>
  <c r="G145" i="3"/>
  <c r="G131" i="3"/>
  <c r="G117" i="3"/>
  <c r="G103" i="3"/>
  <c r="G89" i="3"/>
  <c r="G75" i="3"/>
  <c r="G61" i="3"/>
  <c r="G47" i="3"/>
  <c r="G33" i="3"/>
  <c r="G19" i="3"/>
  <c r="B187" i="3"/>
  <c r="B173" i="3"/>
  <c r="B159" i="3"/>
  <c r="B145" i="3"/>
  <c r="B131" i="3"/>
  <c r="B117" i="3"/>
  <c r="B103" i="3"/>
  <c r="B89" i="3"/>
  <c r="B75" i="3"/>
  <c r="B61" i="3"/>
  <c r="B47" i="3"/>
  <c r="B33" i="3"/>
  <c r="B19" i="3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41" i="2"/>
  <c r="A20" i="2"/>
  <c r="G112" i="1"/>
  <c r="F116" i="1"/>
  <c r="L193" i="1"/>
  <c r="K193" i="1"/>
  <c r="G193" i="1"/>
  <c r="F193" i="1"/>
  <c r="D193" i="1"/>
  <c r="C193" i="1"/>
  <c r="I187" i="1"/>
  <c r="J187" i="1"/>
  <c r="F187" i="1"/>
  <c r="I173" i="1"/>
  <c r="J173" i="1"/>
  <c r="F173" i="1"/>
  <c r="I159" i="1"/>
  <c r="J159" i="1"/>
  <c r="F159" i="1"/>
  <c r="I145" i="1"/>
  <c r="J145" i="1"/>
  <c r="F145" i="1"/>
  <c r="I131" i="1"/>
  <c r="J131" i="1"/>
  <c r="F131" i="1"/>
  <c r="I117" i="1"/>
  <c r="J117" i="1"/>
  <c r="F117" i="1"/>
  <c r="I103" i="1"/>
  <c r="J103" i="1"/>
  <c r="F103" i="1"/>
  <c r="I89" i="1"/>
  <c r="J89" i="1"/>
  <c r="F89" i="1"/>
  <c r="I75" i="1"/>
  <c r="J75" i="1"/>
  <c r="F75" i="1"/>
  <c r="I61" i="1"/>
  <c r="J61" i="1"/>
  <c r="F61" i="1"/>
  <c r="I47" i="1"/>
  <c r="J47" i="1"/>
  <c r="F47" i="1"/>
  <c r="I33" i="1"/>
  <c r="J33" i="1"/>
  <c r="F33" i="1"/>
  <c r="I19" i="1"/>
  <c r="J19" i="1"/>
  <c r="F19" i="1"/>
  <c r="B187" i="1"/>
  <c r="B173" i="1"/>
  <c r="B159" i="1"/>
  <c r="B145" i="1"/>
  <c r="B131" i="1"/>
  <c r="B117" i="1"/>
  <c r="B103" i="1"/>
  <c r="B89" i="1"/>
  <c r="B75" i="1"/>
  <c r="B61" i="1"/>
  <c r="B47" i="1"/>
  <c r="B33" i="1"/>
  <c r="B19" i="1"/>
  <c r="G187" i="4"/>
  <c r="H187" i="4"/>
  <c r="G173" i="4"/>
  <c r="H173" i="4"/>
  <c r="G159" i="4"/>
  <c r="H159" i="4"/>
  <c r="G145" i="4"/>
  <c r="H145" i="4"/>
  <c r="G131" i="4"/>
  <c r="H131" i="4"/>
  <c r="G117" i="4"/>
  <c r="H117" i="4"/>
  <c r="G103" i="4"/>
  <c r="H103" i="4"/>
  <c r="G89" i="4"/>
  <c r="H89" i="4"/>
  <c r="G75" i="4"/>
  <c r="H75" i="4"/>
  <c r="G61" i="4"/>
  <c r="H61" i="4"/>
  <c r="G47" i="4"/>
  <c r="H47" i="4"/>
  <c r="G33" i="4"/>
  <c r="H33" i="4"/>
  <c r="G19" i="4"/>
  <c r="H19" i="4"/>
  <c r="B187" i="4"/>
  <c r="B173" i="4"/>
  <c r="B159" i="4"/>
  <c r="B145" i="4"/>
  <c r="B131" i="4"/>
  <c r="B117" i="4"/>
  <c r="B103" i="4"/>
  <c r="B89" i="4"/>
  <c r="B75" i="4"/>
  <c r="B61" i="4"/>
  <c r="B47" i="4"/>
  <c r="B33" i="4"/>
  <c r="B19" i="4"/>
  <c r="G173" i="5"/>
  <c r="H173" i="5"/>
  <c r="B187" i="5"/>
  <c r="B173" i="5"/>
  <c r="B159" i="5"/>
  <c r="B145" i="5"/>
  <c r="B131" i="5"/>
  <c r="B117" i="5"/>
  <c r="B103" i="5"/>
  <c r="B89" i="5"/>
  <c r="B75" i="5"/>
  <c r="B61" i="5"/>
  <c r="B47" i="5"/>
  <c r="B33" i="5"/>
  <c r="B19" i="5"/>
  <c r="G186" i="3"/>
  <c r="G172" i="3"/>
  <c r="G158" i="3"/>
  <c r="G144" i="3"/>
  <c r="G130" i="3"/>
  <c r="G116" i="3"/>
  <c r="G102" i="3"/>
  <c r="G88" i="3"/>
  <c r="G74" i="3"/>
  <c r="G60" i="3"/>
  <c r="G46" i="3"/>
  <c r="G32" i="3"/>
  <c r="G18" i="3"/>
  <c r="B186" i="3"/>
  <c r="B172" i="3"/>
  <c r="B158" i="3"/>
  <c r="B144" i="3"/>
  <c r="B130" i="3"/>
  <c r="B116" i="3"/>
  <c r="B102" i="3"/>
  <c r="B88" i="3"/>
  <c r="B74" i="3"/>
  <c r="B60" i="3"/>
  <c r="B46" i="3"/>
  <c r="B32" i="3"/>
  <c r="B18" i="3"/>
  <c r="M40" i="2"/>
  <c r="N40" i="2"/>
  <c r="L40" i="2"/>
  <c r="K40" i="2"/>
  <c r="J40" i="2"/>
  <c r="I40" i="2"/>
  <c r="H40" i="2"/>
  <c r="G40" i="2"/>
  <c r="F40" i="2"/>
  <c r="E40" i="2"/>
  <c r="D40" i="2"/>
  <c r="C40" i="2"/>
  <c r="B40" i="2"/>
  <c r="N19" i="2"/>
  <c r="M19" i="2"/>
  <c r="L19" i="2"/>
  <c r="K19" i="2"/>
  <c r="J19" i="2"/>
  <c r="I19" i="2"/>
  <c r="H19" i="2"/>
  <c r="G19" i="2"/>
  <c r="F19" i="2"/>
  <c r="E19" i="2"/>
  <c r="D19" i="2"/>
  <c r="C19" i="2"/>
  <c r="O19" i="2"/>
  <c r="B19" i="2"/>
  <c r="A40" i="2"/>
  <c r="A19" i="2"/>
  <c r="F43" i="1"/>
  <c r="F40" i="1"/>
  <c r="F167" i="1"/>
  <c r="F166" i="1"/>
  <c r="F165" i="1"/>
  <c r="G44" i="1"/>
  <c r="G40" i="1"/>
  <c r="I186" i="1"/>
  <c r="F186" i="1"/>
  <c r="J186" i="1"/>
  <c r="I172" i="1"/>
  <c r="J172" i="1"/>
  <c r="F172" i="1"/>
  <c r="I158" i="1"/>
  <c r="J158" i="1"/>
  <c r="F158" i="1"/>
  <c r="I144" i="1"/>
  <c r="J144" i="1"/>
  <c r="F144" i="1"/>
  <c r="I130" i="1"/>
  <c r="J130" i="1"/>
  <c r="F130" i="1"/>
  <c r="I116" i="1"/>
  <c r="F119" i="1"/>
  <c r="J119" i="1"/>
  <c r="I102" i="1"/>
  <c r="J102" i="1"/>
  <c r="F102" i="1"/>
  <c r="I88" i="1"/>
  <c r="J88" i="1"/>
  <c r="F88" i="1"/>
  <c r="I74" i="1"/>
  <c r="J74" i="1"/>
  <c r="F74" i="1"/>
  <c r="I60" i="1"/>
  <c r="J60" i="1"/>
  <c r="F60" i="1"/>
  <c r="I46" i="1"/>
  <c r="J46" i="1"/>
  <c r="F46" i="1"/>
  <c r="I32" i="1"/>
  <c r="J32" i="1"/>
  <c r="F32" i="1"/>
  <c r="I18" i="1"/>
  <c r="J18" i="1"/>
  <c r="G18" i="1"/>
  <c r="F18" i="1"/>
  <c r="B186" i="1"/>
  <c r="B172" i="1"/>
  <c r="B158" i="1"/>
  <c r="B144" i="1"/>
  <c r="B130" i="1"/>
  <c r="B116" i="1"/>
  <c r="B102" i="1"/>
  <c r="B88" i="1"/>
  <c r="B74" i="1"/>
  <c r="B60" i="1"/>
  <c r="B46" i="1"/>
  <c r="B32" i="1"/>
  <c r="B18" i="1"/>
  <c r="F186" i="4"/>
  <c r="G186" i="4"/>
  <c r="H186" i="4"/>
  <c r="F172" i="4"/>
  <c r="G172" i="4"/>
  <c r="H172" i="4"/>
  <c r="F158" i="4"/>
  <c r="G158" i="4"/>
  <c r="H158" i="4"/>
  <c r="F144" i="4"/>
  <c r="G144" i="4"/>
  <c r="H144" i="4"/>
  <c r="F130" i="4"/>
  <c r="G130" i="4"/>
  <c r="H130" i="4"/>
  <c r="F116" i="4"/>
  <c r="G116" i="4"/>
  <c r="H116" i="4"/>
  <c r="F102" i="4"/>
  <c r="G102" i="4"/>
  <c r="H102" i="4"/>
  <c r="F88" i="4"/>
  <c r="G88" i="4"/>
  <c r="H88" i="4"/>
  <c r="F74" i="4"/>
  <c r="G74" i="4"/>
  <c r="H74" i="4"/>
  <c r="F60" i="4"/>
  <c r="G60" i="4"/>
  <c r="H60" i="4"/>
  <c r="F46" i="4"/>
  <c r="G46" i="4"/>
  <c r="H46" i="4"/>
  <c r="F32" i="4"/>
  <c r="G32" i="4"/>
  <c r="H32" i="4"/>
  <c r="F18" i="4"/>
  <c r="G18" i="4"/>
  <c r="H18" i="4"/>
  <c r="B186" i="4"/>
  <c r="B172" i="4"/>
  <c r="B158" i="4"/>
  <c r="B144" i="4"/>
  <c r="B130" i="4"/>
  <c r="B116" i="4"/>
  <c r="B102" i="4"/>
  <c r="B88" i="4"/>
  <c r="B74" i="4"/>
  <c r="B60" i="4"/>
  <c r="B46" i="4"/>
  <c r="B32" i="4"/>
  <c r="B18" i="4"/>
  <c r="G172" i="5"/>
  <c r="H172" i="5"/>
  <c r="G116" i="5"/>
  <c r="H116" i="5"/>
  <c r="B186" i="5"/>
  <c r="B172" i="5"/>
  <c r="B158" i="5"/>
  <c r="B144" i="5"/>
  <c r="B130" i="5"/>
  <c r="B116" i="5"/>
  <c r="B102" i="5"/>
  <c r="B88" i="5"/>
  <c r="B74" i="5"/>
  <c r="B60" i="5"/>
  <c r="B46" i="5"/>
  <c r="B32" i="5"/>
  <c r="B18" i="5"/>
  <c r="F185" i="3"/>
  <c r="G185" i="3"/>
  <c r="F171" i="3"/>
  <c r="G171" i="3"/>
  <c r="F157" i="3"/>
  <c r="G157" i="3"/>
  <c r="F143" i="3"/>
  <c r="G143" i="3"/>
  <c r="F129" i="3"/>
  <c r="G129" i="3"/>
  <c r="F115" i="3"/>
  <c r="G115" i="3"/>
  <c r="F101" i="3"/>
  <c r="G101" i="3"/>
  <c r="F87" i="3"/>
  <c r="G87" i="3"/>
  <c r="F73" i="3"/>
  <c r="G73" i="3"/>
  <c r="F59" i="3"/>
  <c r="G59" i="3"/>
  <c r="F45" i="3"/>
  <c r="G45" i="3"/>
  <c r="F31" i="3"/>
  <c r="G31" i="3"/>
  <c r="F17" i="3"/>
  <c r="G17" i="3"/>
  <c r="B185" i="3"/>
  <c r="B171" i="3"/>
  <c r="B157" i="3"/>
  <c r="B143" i="3"/>
  <c r="B129" i="3"/>
  <c r="B115" i="3"/>
  <c r="B101" i="3"/>
  <c r="B87" i="3"/>
  <c r="B73" i="3"/>
  <c r="B59" i="3"/>
  <c r="B45" i="3"/>
  <c r="B31" i="3"/>
  <c r="B17" i="3"/>
  <c r="N39" i="2"/>
  <c r="M39" i="2"/>
  <c r="L39" i="2"/>
  <c r="K39" i="2"/>
  <c r="J39" i="2"/>
  <c r="I39" i="2"/>
  <c r="H39" i="2"/>
  <c r="G39" i="2"/>
  <c r="F39" i="2"/>
  <c r="E39" i="2"/>
  <c r="D39" i="2"/>
  <c r="C39" i="2"/>
  <c r="O39" i="2"/>
  <c r="B39" i="2"/>
  <c r="A3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F83" i="1"/>
  <c r="J83" i="1"/>
  <c r="F110" i="1"/>
  <c r="G68" i="1"/>
  <c r="G141" i="1"/>
  <c r="G111" i="1"/>
  <c r="H185" i="1"/>
  <c r="M185" i="1"/>
  <c r="I185" i="1"/>
  <c r="J185" i="1"/>
  <c r="G185" i="1"/>
  <c r="F185" i="1"/>
  <c r="E185" i="1"/>
  <c r="H171" i="1"/>
  <c r="M171" i="1"/>
  <c r="I171" i="1"/>
  <c r="J171" i="1"/>
  <c r="G171" i="1"/>
  <c r="F171" i="1"/>
  <c r="E171" i="1"/>
  <c r="H157" i="1"/>
  <c r="M157" i="1"/>
  <c r="I157" i="1"/>
  <c r="J157" i="1"/>
  <c r="G157" i="1"/>
  <c r="F157" i="1"/>
  <c r="E157" i="1"/>
  <c r="H143" i="1"/>
  <c r="M143" i="1"/>
  <c r="I143" i="1"/>
  <c r="J143" i="1"/>
  <c r="G143" i="1"/>
  <c r="F143" i="1"/>
  <c r="E143" i="1"/>
  <c r="H129" i="1"/>
  <c r="M129" i="1"/>
  <c r="I129" i="1"/>
  <c r="J129" i="1"/>
  <c r="G129" i="1"/>
  <c r="F129" i="1"/>
  <c r="E129" i="1"/>
  <c r="H115" i="1"/>
  <c r="M115" i="1"/>
  <c r="I115" i="1"/>
  <c r="J115" i="1"/>
  <c r="G115" i="1"/>
  <c r="F115" i="1"/>
  <c r="E115" i="1"/>
  <c r="H101" i="1"/>
  <c r="M101" i="1"/>
  <c r="I101" i="1"/>
  <c r="J101" i="1"/>
  <c r="G101" i="1"/>
  <c r="F101" i="1"/>
  <c r="E101" i="1"/>
  <c r="H87" i="1"/>
  <c r="M87" i="1"/>
  <c r="I87" i="1"/>
  <c r="J87" i="1"/>
  <c r="G87" i="1"/>
  <c r="F87" i="1"/>
  <c r="E87" i="1"/>
  <c r="H73" i="1"/>
  <c r="M73" i="1"/>
  <c r="I73" i="1"/>
  <c r="J73" i="1"/>
  <c r="G73" i="1"/>
  <c r="F73" i="1"/>
  <c r="E73" i="1"/>
  <c r="H59" i="1"/>
  <c r="M59" i="1"/>
  <c r="I59" i="1"/>
  <c r="J59" i="1"/>
  <c r="G59" i="1"/>
  <c r="F59" i="1"/>
  <c r="E59" i="1"/>
  <c r="H45" i="1"/>
  <c r="M45" i="1"/>
  <c r="I45" i="1"/>
  <c r="J45" i="1"/>
  <c r="G45" i="1"/>
  <c r="F45" i="1"/>
  <c r="E45" i="1"/>
  <c r="H31" i="1"/>
  <c r="M31" i="1"/>
  <c r="I31" i="1"/>
  <c r="J31" i="1"/>
  <c r="G31" i="1"/>
  <c r="F31" i="1"/>
  <c r="E31" i="1"/>
  <c r="H17" i="1"/>
  <c r="M17" i="1"/>
  <c r="I17" i="1"/>
  <c r="J17" i="1"/>
  <c r="G17" i="1"/>
  <c r="F17" i="1"/>
  <c r="E17" i="1"/>
  <c r="B185" i="1"/>
  <c r="B171" i="1"/>
  <c r="B157" i="1"/>
  <c r="B143" i="1"/>
  <c r="B129" i="1"/>
  <c r="B115" i="1"/>
  <c r="B101" i="1"/>
  <c r="B87" i="1"/>
  <c r="B73" i="1"/>
  <c r="B59" i="1"/>
  <c r="B45" i="1"/>
  <c r="B31" i="1"/>
  <c r="B17" i="1"/>
  <c r="F185" i="4"/>
  <c r="G185" i="4"/>
  <c r="H185" i="4"/>
  <c r="F171" i="4"/>
  <c r="G171" i="4"/>
  <c r="H171" i="4"/>
  <c r="F157" i="4"/>
  <c r="G157" i="4"/>
  <c r="H157" i="4"/>
  <c r="F143" i="4"/>
  <c r="G143" i="4"/>
  <c r="H143" i="4"/>
  <c r="F129" i="4"/>
  <c r="G129" i="4"/>
  <c r="H129" i="4"/>
  <c r="F115" i="4"/>
  <c r="G115" i="4"/>
  <c r="H115" i="4"/>
  <c r="F101" i="4"/>
  <c r="G101" i="4"/>
  <c r="H101" i="4"/>
  <c r="F87" i="4"/>
  <c r="G87" i="4"/>
  <c r="H87" i="4"/>
  <c r="F73" i="4"/>
  <c r="G73" i="4"/>
  <c r="H73" i="4"/>
  <c r="F59" i="4"/>
  <c r="G59" i="4"/>
  <c r="H59" i="4"/>
  <c r="F45" i="4"/>
  <c r="G45" i="4"/>
  <c r="H45" i="4"/>
  <c r="F31" i="4"/>
  <c r="G31" i="4"/>
  <c r="H31" i="4"/>
  <c r="F17" i="4"/>
  <c r="G17" i="4"/>
  <c r="H17" i="4"/>
  <c r="B185" i="4"/>
  <c r="B171" i="4"/>
  <c r="B157" i="4"/>
  <c r="B143" i="4"/>
  <c r="B129" i="4"/>
  <c r="B115" i="4"/>
  <c r="B101" i="4"/>
  <c r="B87" i="4"/>
  <c r="B73" i="4"/>
  <c r="B59" i="4"/>
  <c r="B45" i="4"/>
  <c r="B31" i="4"/>
  <c r="B17" i="4"/>
  <c r="G171" i="5"/>
  <c r="H171" i="5"/>
  <c r="G115" i="5"/>
  <c r="H115" i="5"/>
  <c r="B185" i="5"/>
  <c r="B171" i="5"/>
  <c r="B157" i="5"/>
  <c r="B143" i="5"/>
  <c r="B129" i="5"/>
  <c r="B115" i="5"/>
  <c r="B101" i="5"/>
  <c r="B87" i="5"/>
  <c r="B73" i="5"/>
  <c r="B59" i="5"/>
  <c r="B45" i="5"/>
  <c r="B31" i="5"/>
  <c r="B17" i="5"/>
  <c r="F184" i="3"/>
  <c r="G184" i="3"/>
  <c r="F170" i="3"/>
  <c r="G170" i="3"/>
  <c r="F156" i="3"/>
  <c r="G156" i="3"/>
  <c r="F142" i="3"/>
  <c r="G142" i="3"/>
  <c r="F128" i="3"/>
  <c r="G128" i="3"/>
  <c r="F114" i="3"/>
  <c r="G114" i="3"/>
  <c r="F100" i="3"/>
  <c r="G100" i="3"/>
  <c r="F86" i="3"/>
  <c r="G86" i="3"/>
  <c r="F72" i="3"/>
  <c r="G72" i="3"/>
  <c r="F58" i="3"/>
  <c r="G58" i="3"/>
  <c r="F44" i="3"/>
  <c r="G44" i="3"/>
  <c r="F30" i="3"/>
  <c r="G30" i="3"/>
  <c r="F16" i="3"/>
  <c r="G16" i="3"/>
  <c r="B184" i="3"/>
  <c r="B170" i="3"/>
  <c r="B156" i="3"/>
  <c r="B142" i="3"/>
  <c r="B128" i="3"/>
  <c r="B114" i="3"/>
  <c r="B100" i="3"/>
  <c r="B86" i="3"/>
  <c r="B72" i="3"/>
  <c r="B58" i="3"/>
  <c r="B44" i="3"/>
  <c r="B30" i="3"/>
  <c r="B16" i="3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N17" i="2"/>
  <c r="M17" i="2"/>
  <c r="L17" i="2"/>
  <c r="K17" i="2"/>
  <c r="J17" i="2"/>
  <c r="I17" i="2"/>
  <c r="H17" i="2"/>
  <c r="G17" i="2"/>
  <c r="F17" i="2"/>
  <c r="E17" i="2"/>
  <c r="D17" i="2"/>
  <c r="C17" i="2"/>
  <c r="O17" i="2"/>
  <c r="B17" i="2"/>
  <c r="A38" i="2"/>
  <c r="A17" i="2"/>
  <c r="H184" i="1"/>
  <c r="M184" i="1"/>
  <c r="I184" i="1"/>
  <c r="J184" i="1"/>
  <c r="G184" i="1"/>
  <c r="F184" i="1"/>
  <c r="E184" i="1"/>
  <c r="H170" i="1"/>
  <c r="M170" i="1"/>
  <c r="I170" i="1"/>
  <c r="J170" i="1"/>
  <c r="G170" i="1"/>
  <c r="F170" i="1"/>
  <c r="E170" i="1"/>
  <c r="H156" i="1"/>
  <c r="M156" i="1"/>
  <c r="I156" i="1"/>
  <c r="J156" i="1"/>
  <c r="G156" i="1"/>
  <c r="F156" i="1"/>
  <c r="E156" i="1"/>
  <c r="H142" i="1"/>
  <c r="M142" i="1"/>
  <c r="I142" i="1"/>
  <c r="J142" i="1"/>
  <c r="G142" i="1"/>
  <c r="F142" i="1"/>
  <c r="E142" i="1"/>
  <c r="H128" i="1"/>
  <c r="M128" i="1"/>
  <c r="I128" i="1"/>
  <c r="J128" i="1"/>
  <c r="G128" i="1"/>
  <c r="F128" i="1"/>
  <c r="E128" i="1"/>
  <c r="H114" i="1"/>
  <c r="M114" i="1"/>
  <c r="I114" i="1"/>
  <c r="J114" i="1"/>
  <c r="G114" i="1"/>
  <c r="F114" i="1"/>
  <c r="E114" i="1"/>
  <c r="H100" i="1"/>
  <c r="M100" i="1"/>
  <c r="I100" i="1"/>
  <c r="J100" i="1"/>
  <c r="G100" i="1"/>
  <c r="F100" i="1"/>
  <c r="E100" i="1"/>
  <c r="H86" i="1"/>
  <c r="M86" i="1"/>
  <c r="I86" i="1"/>
  <c r="J86" i="1"/>
  <c r="G86" i="1"/>
  <c r="F86" i="1"/>
  <c r="E86" i="1"/>
  <c r="H72" i="1"/>
  <c r="M72" i="1"/>
  <c r="I72" i="1"/>
  <c r="J72" i="1"/>
  <c r="G72" i="1"/>
  <c r="F72" i="1"/>
  <c r="E72" i="1"/>
  <c r="H58" i="1"/>
  <c r="M58" i="1"/>
  <c r="I58" i="1"/>
  <c r="J58" i="1"/>
  <c r="G58" i="1"/>
  <c r="F58" i="1"/>
  <c r="E58" i="1"/>
  <c r="M44" i="1"/>
  <c r="I44" i="1"/>
  <c r="J44" i="1"/>
  <c r="H44" i="1"/>
  <c r="F44" i="1"/>
  <c r="E44" i="1"/>
  <c r="H30" i="1"/>
  <c r="M30" i="1"/>
  <c r="I30" i="1"/>
  <c r="J30" i="1"/>
  <c r="G30" i="1"/>
  <c r="F30" i="1"/>
  <c r="E30" i="1"/>
  <c r="H16" i="1"/>
  <c r="M16" i="1"/>
  <c r="I16" i="1"/>
  <c r="J16" i="1"/>
  <c r="G16" i="1"/>
  <c r="G21" i="1"/>
  <c r="F16" i="1"/>
  <c r="E16" i="1"/>
  <c r="B184" i="1"/>
  <c r="B170" i="1"/>
  <c r="B156" i="1"/>
  <c r="B142" i="1"/>
  <c r="B128" i="1"/>
  <c r="B114" i="1"/>
  <c r="B100" i="1"/>
  <c r="B86" i="1"/>
  <c r="B72" i="1"/>
  <c r="B58" i="1"/>
  <c r="B44" i="1"/>
  <c r="B30" i="1"/>
  <c r="B16" i="1"/>
  <c r="F184" i="4"/>
  <c r="G184" i="4"/>
  <c r="H184" i="4"/>
  <c r="F170" i="4"/>
  <c r="G170" i="4"/>
  <c r="H170" i="4"/>
  <c r="F156" i="4"/>
  <c r="G156" i="4"/>
  <c r="H156" i="4"/>
  <c r="F142" i="4"/>
  <c r="G142" i="4"/>
  <c r="H142" i="4"/>
  <c r="F128" i="4"/>
  <c r="G128" i="4"/>
  <c r="H128" i="4"/>
  <c r="F114" i="4"/>
  <c r="G114" i="4"/>
  <c r="H114" i="4"/>
  <c r="F100" i="4"/>
  <c r="G100" i="4"/>
  <c r="H100" i="4"/>
  <c r="F86" i="4"/>
  <c r="G86" i="4"/>
  <c r="H86" i="4"/>
  <c r="F72" i="4"/>
  <c r="G72" i="4"/>
  <c r="H72" i="4"/>
  <c r="F58" i="4"/>
  <c r="G58" i="4"/>
  <c r="H58" i="4"/>
  <c r="F44" i="4"/>
  <c r="G44" i="4"/>
  <c r="H44" i="4"/>
  <c r="F30" i="4"/>
  <c r="G30" i="4"/>
  <c r="H30" i="4"/>
  <c r="F16" i="4"/>
  <c r="G16" i="4"/>
  <c r="H16" i="4"/>
  <c r="B184" i="4"/>
  <c r="B170" i="4"/>
  <c r="B156" i="4"/>
  <c r="B142" i="4"/>
  <c r="B128" i="4"/>
  <c r="B114" i="4"/>
  <c r="B100" i="4"/>
  <c r="B86" i="4"/>
  <c r="B72" i="4"/>
  <c r="B58" i="4"/>
  <c r="B44" i="4"/>
  <c r="B30" i="4"/>
  <c r="B16" i="4"/>
  <c r="G114" i="5"/>
  <c r="H114" i="5"/>
  <c r="G170" i="5"/>
  <c r="H170" i="5"/>
  <c r="B184" i="5"/>
  <c r="B170" i="5"/>
  <c r="B156" i="5"/>
  <c r="B142" i="5"/>
  <c r="B128" i="5"/>
  <c r="B114" i="5"/>
  <c r="B100" i="5"/>
  <c r="B86" i="5"/>
  <c r="B72" i="5"/>
  <c r="B58" i="5"/>
  <c r="B44" i="5"/>
  <c r="B30" i="5"/>
  <c r="B16" i="5"/>
  <c r="G193" i="3"/>
  <c r="F183" i="3"/>
  <c r="G183" i="3"/>
  <c r="F169" i="3"/>
  <c r="G169" i="3"/>
  <c r="F155" i="3"/>
  <c r="G155" i="3"/>
  <c r="F141" i="3"/>
  <c r="G141" i="3"/>
  <c r="F127" i="3"/>
  <c r="G127" i="3"/>
  <c r="F113" i="3"/>
  <c r="G113" i="3"/>
  <c r="F99" i="3"/>
  <c r="G99" i="3"/>
  <c r="F85" i="3"/>
  <c r="G85" i="3"/>
  <c r="F71" i="3"/>
  <c r="G71" i="3"/>
  <c r="F57" i="3"/>
  <c r="G57" i="3"/>
  <c r="F43" i="3"/>
  <c r="G43" i="3"/>
  <c r="F29" i="3"/>
  <c r="G29" i="3"/>
  <c r="F15" i="3"/>
  <c r="G15" i="3"/>
  <c r="B183" i="3"/>
  <c r="B169" i="3"/>
  <c r="B155" i="3"/>
  <c r="B141" i="3"/>
  <c r="B127" i="3"/>
  <c r="B113" i="3"/>
  <c r="B99" i="3"/>
  <c r="B85" i="3"/>
  <c r="B71" i="3"/>
  <c r="B57" i="3"/>
  <c r="B43" i="3"/>
  <c r="B29" i="3"/>
  <c r="B15" i="3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N16" i="2"/>
  <c r="M16" i="2"/>
  <c r="L16" i="2"/>
  <c r="K16" i="2"/>
  <c r="J16" i="2"/>
  <c r="I16" i="2"/>
  <c r="H16" i="2"/>
  <c r="G16" i="2"/>
  <c r="F16" i="2"/>
  <c r="E16" i="2"/>
  <c r="D16" i="2"/>
  <c r="O16" i="2"/>
  <c r="C16" i="2"/>
  <c r="B16" i="2"/>
  <c r="A37" i="2"/>
  <c r="A16" i="2"/>
  <c r="F28" i="1"/>
  <c r="F112" i="1"/>
  <c r="H183" i="1"/>
  <c r="M183" i="1"/>
  <c r="I183" i="1"/>
  <c r="J183" i="1"/>
  <c r="G183" i="1"/>
  <c r="F183" i="1"/>
  <c r="E183" i="1"/>
  <c r="H169" i="1"/>
  <c r="M169" i="1"/>
  <c r="I169" i="1"/>
  <c r="J169" i="1"/>
  <c r="G169" i="1"/>
  <c r="F169" i="1"/>
  <c r="E169" i="1"/>
  <c r="H155" i="1"/>
  <c r="M155" i="1"/>
  <c r="I155" i="1"/>
  <c r="J155" i="1"/>
  <c r="G155" i="1"/>
  <c r="F155" i="1"/>
  <c r="E155" i="1"/>
  <c r="M141" i="1"/>
  <c r="I141" i="1"/>
  <c r="J141" i="1"/>
  <c r="H141" i="1"/>
  <c r="F141" i="1"/>
  <c r="E141" i="1"/>
  <c r="H127" i="1"/>
  <c r="M127" i="1"/>
  <c r="I127" i="1"/>
  <c r="J127" i="1"/>
  <c r="G127" i="1"/>
  <c r="F127" i="1"/>
  <c r="E127" i="1"/>
  <c r="H113" i="1"/>
  <c r="M113" i="1"/>
  <c r="I113" i="1"/>
  <c r="J113" i="1"/>
  <c r="G113" i="1"/>
  <c r="F113" i="1"/>
  <c r="E113" i="1"/>
  <c r="H99" i="1"/>
  <c r="M99" i="1"/>
  <c r="I99" i="1"/>
  <c r="J99" i="1"/>
  <c r="G99" i="1"/>
  <c r="F99" i="1"/>
  <c r="E99" i="1"/>
  <c r="H85" i="1"/>
  <c r="M85" i="1"/>
  <c r="I85" i="1"/>
  <c r="J85" i="1"/>
  <c r="G85" i="1"/>
  <c r="F85" i="1"/>
  <c r="E85" i="1"/>
  <c r="H71" i="1"/>
  <c r="M71" i="1"/>
  <c r="I71" i="1"/>
  <c r="J71" i="1"/>
  <c r="G71" i="1"/>
  <c r="F71" i="1"/>
  <c r="E71" i="1"/>
  <c r="H57" i="1"/>
  <c r="M57" i="1"/>
  <c r="I57" i="1"/>
  <c r="J57" i="1"/>
  <c r="G57" i="1"/>
  <c r="F57" i="1"/>
  <c r="E57" i="1"/>
  <c r="M43" i="1"/>
  <c r="I43" i="1"/>
  <c r="J43" i="1"/>
  <c r="G43" i="1"/>
  <c r="H43" i="1"/>
  <c r="E43" i="1"/>
  <c r="H29" i="1"/>
  <c r="M29" i="1"/>
  <c r="I29" i="1"/>
  <c r="J29" i="1"/>
  <c r="G29" i="1"/>
  <c r="F29" i="1"/>
  <c r="E29" i="1"/>
  <c r="H15" i="1"/>
  <c r="M15" i="1"/>
  <c r="I15" i="1"/>
  <c r="J15" i="1"/>
  <c r="G15" i="1"/>
  <c r="F15" i="1"/>
  <c r="E15" i="1"/>
  <c r="B183" i="1"/>
  <c r="B169" i="1"/>
  <c r="B155" i="1"/>
  <c r="B141" i="1"/>
  <c r="B127" i="1"/>
  <c r="B113" i="1"/>
  <c r="B99" i="1"/>
  <c r="B85" i="1"/>
  <c r="B71" i="1"/>
  <c r="B57" i="1"/>
  <c r="B43" i="1"/>
  <c r="B29" i="1"/>
  <c r="B15" i="1"/>
  <c r="F183" i="4"/>
  <c r="G183" i="4"/>
  <c r="H183" i="4"/>
  <c r="F169" i="4"/>
  <c r="G169" i="4"/>
  <c r="H169" i="4"/>
  <c r="F155" i="4"/>
  <c r="G155" i="4"/>
  <c r="H155" i="4"/>
  <c r="F141" i="4"/>
  <c r="G141" i="4"/>
  <c r="H141" i="4"/>
  <c r="F127" i="4"/>
  <c r="G127" i="4"/>
  <c r="H127" i="4"/>
  <c r="F113" i="4"/>
  <c r="G113" i="4"/>
  <c r="H113" i="4"/>
  <c r="F99" i="4"/>
  <c r="G99" i="4"/>
  <c r="H99" i="4"/>
  <c r="F85" i="4"/>
  <c r="G85" i="4"/>
  <c r="H85" i="4"/>
  <c r="F71" i="4"/>
  <c r="G71" i="4"/>
  <c r="H71" i="4"/>
  <c r="F57" i="4"/>
  <c r="G57" i="4"/>
  <c r="H57" i="4"/>
  <c r="F43" i="4"/>
  <c r="G43" i="4"/>
  <c r="H43" i="4"/>
  <c r="F29" i="4"/>
  <c r="G29" i="4"/>
  <c r="H29" i="4"/>
  <c r="F15" i="4"/>
  <c r="G15" i="4"/>
  <c r="H15" i="4"/>
  <c r="B183" i="4"/>
  <c r="B169" i="4"/>
  <c r="B155" i="4"/>
  <c r="B141" i="4"/>
  <c r="B127" i="4"/>
  <c r="B113" i="4"/>
  <c r="B99" i="4"/>
  <c r="B85" i="4"/>
  <c r="B71" i="4"/>
  <c r="B57" i="4"/>
  <c r="B43" i="4"/>
  <c r="B29" i="4"/>
  <c r="B15" i="4"/>
  <c r="G113" i="5"/>
  <c r="H113" i="5"/>
  <c r="B183" i="5"/>
  <c r="B169" i="5"/>
  <c r="B155" i="5"/>
  <c r="B141" i="5"/>
  <c r="B127" i="5"/>
  <c r="B113" i="5"/>
  <c r="B99" i="5"/>
  <c r="B85" i="5"/>
  <c r="B71" i="5"/>
  <c r="B57" i="5"/>
  <c r="B43" i="5"/>
  <c r="B29" i="5"/>
  <c r="B15" i="5"/>
  <c r="F182" i="3"/>
  <c r="G182" i="3"/>
  <c r="F168" i="3"/>
  <c r="G168" i="3"/>
  <c r="F154" i="3"/>
  <c r="G154" i="3"/>
  <c r="F140" i="3"/>
  <c r="G140" i="3"/>
  <c r="F126" i="3"/>
  <c r="G126" i="3"/>
  <c r="F112" i="3"/>
  <c r="G112" i="3"/>
  <c r="F98" i="3"/>
  <c r="G98" i="3"/>
  <c r="F84" i="3"/>
  <c r="G84" i="3"/>
  <c r="F70" i="3"/>
  <c r="G70" i="3"/>
  <c r="F56" i="3"/>
  <c r="G56" i="3"/>
  <c r="F42" i="3"/>
  <c r="G42" i="3"/>
  <c r="F28" i="3"/>
  <c r="G28" i="3"/>
  <c r="F14" i="3"/>
  <c r="G14" i="3"/>
  <c r="B182" i="3"/>
  <c r="B168" i="3"/>
  <c r="B154" i="3"/>
  <c r="B140" i="3"/>
  <c r="B126" i="3"/>
  <c r="B112" i="3"/>
  <c r="B98" i="3"/>
  <c r="B84" i="3"/>
  <c r="B70" i="3"/>
  <c r="B56" i="3"/>
  <c r="B42" i="3"/>
  <c r="B28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36" i="2"/>
  <c r="A15" i="2"/>
  <c r="F109" i="1"/>
  <c r="H182" i="1"/>
  <c r="M182" i="1"/>
  <c r="I182" i="1"/>
  <c r="J182" i="1"/>
  <c r="G182" i="1"/>
  <c r="F182" i="1"/>
  <c r="E182" i="1"/>
  <c r="H168" i="1"/>
  <c r="M168" i="1"/>
  <c r="I168" i="1"/>
  <c r="J168" i="1"/>
  <c r="G168" i="1"/>
  <c r="F168" i="1"/>
  <c r="E168" i="1"/>
  <c r="H154" i="1"/>
  <c r="M154" i="1"/>
  <c r="I154" i="1"/>
  <c r="J154" i="1"/>
  <c r="G154" i="1"/>
  <c r="F154" i="1"/>
  <c r="E154" i="1"/>
  <c r="H140" i="1"/>
  <c r="M140" i="1"/>
  <c r="I140" i="1"/>
  <c r="J140" i="1"/>
  <c r="G140" i="1"/>
  <c r="F140" i="1"/>
  <c r="E140" i="1"/>
  <c r="H126" i="1"/>
  <c r="M126" i="1"/>
  <c r="I126" i="1"/>
  <c r="J126" i="1"/>
  <c r="G126" i="1"/>
  <c r="F126" i="1"/>
  <c r="E126" i="1"/>
  <c r="M112" i="1"/>
  <c r="I112" i="1"/>
  <c r="H112" i="1"/>
  <c r="J112" i="1"/>
  <c r="E112" i="1"/>
  <c r="H98" i="1"/>
  <c r="M98" i="1"/>
  <c r="I98" i="1"/>
  <c r="J98" i="1"/>
  <c r="G98" i="1"/>
  <c r="F98" i="1"/>
  <c r="E98" i="1"/>
  <c r="M84" i="1"/>
  <c r="I84" i="1"/>
  <c r="J84" i="1"/>
  <c r="G84" i="1"/>
  <c r="F84" i="1"/>
  <c r="H84" i="1"/>
  <c r="E84" i="1"/>
  <c r="H70" i="1"/>
  <c r="M70" i="1"/>
  <c r="I70" i="1"/>
  <c r="J70" i="1"/>
  <c r="G70" i="1"/>
  <c r="F70" i="1"/>
  <c r="E70" i="1"/>
  <c r="H56" i="1"/>
  <c r="M56" i="1"/>
  <c r="I56" i="1"/>
  <c r="J56" i="1"/>
  <c r="G56" i="1"/>
  <c r="F56" i="1"/>
  <c r="E56" i="1"/>
  <c r="H42" i="1"/>
  <c r="M42" i="1"/>
  <c r="I42" i="1"/>
  <c r="J42" i="1"/>
  <c r="G42" i="1"/>
  <c r="F42" i="1"/>
  <c r="E42" i="1"/>
  <c r="M28" i="1"/>
  <c r="I28" i="1"/>
  <c r="G28" i="1"/>
  <c r="J28" i="1"/>
  <c r="E28" i="1"/>
  <c r="H14" i="1"/>
  <c r="M14" i="1"/>
  <c r="I14" i="1"/>
  <c r="J14" i="1"/>
  <c r="G14" i="1"/>
  <c r="F14" i="1"/>
  <c r="E14" i="1"/>
  <c r="B182" i="1"/>
  <c r="B168" i="1"/>
  <c r="B154" i="1"/>
  <c r="B140" i="1"/>
  <c r="B126" i="1"/>
  <c r="B112" i="1"/>
  <c r="B98" i="1"/>
  <c r="B84" i="1"/>
  <c r="B70" i="1"/>
  <c r="B56" i="1"/>
  <c r="B42" i="1"/>
  <c r="B28" i="1"/>
  <c r="B14" i="1"/>
  <c r="F182" i="4"/>
  <c r="G182" i="4"/>
  <c r="H182" i="4"/>
  <c r="F168" i="4"/>
  <c r="G168" i="4"/>
  <c r="H168" i="4"/>
  <c r="F154" i="4"/>
  <c r="G154" i="4"/>
  <c r="H154" i="4"/>
  <c r="F140" i="4"/>
  <c r="G140" i="4"/>
  <c r="H140" i="4"/>
  <c r="F126" i="4"/>
  <c r="G126" i="4"/>
  <c r="H126" i="4"/>
  <c r="F112" i="4"/>
  <c r="G112" i="4"/>
  <c r="H112" i="4"/>
  <c r="F98" i="4"/>
  <c r="G98" i="4"/>
  <c r="H98" i="4"/>
  <c r="F84" i="4"/>
  <c r="G84" i="4"/>
  <c r="H84" i="4"/>
  <c r="F70" i="4"/>
  <c r="G70" i="4"/>
  <c r="H70" i="4"/>
  <c r="F56" i="4"/>
  <c r="G56" i="4"/>
  <c r="H56" i="4"/>
  <c r="F42" i="4"/>
  <c r="G42" i="4"/>
  <c r="H42" i="4"/>
  <c r="F28" i="4"/>
  <c r="G28" i="4"/>
  <c r="H28" i="4"/>
  <c r="F14" i="4"/>
  <c r="G14" i="4"/>
  <c r="H14" i="4"/>
  <c r="B182" i="4"/>
  <c r="B168" i="4"/>
  <c r="B154" i="4"/>
  <c r="B140" i="4"/>
  <c r="B126" i="4"/>
  <c r="B112" i="4"/>
  <c r="B98" i="4"/>
  <c r="B84" i="4"/>
  <c r="B70" i="4"/>
  <c r="B56" i="4"/>
  <c r="B42" i="4"/>
  <c r="B28" i="4"/>
  <c r="B14" i="4"/>
  <c r="G112" i="5"/>
  <c r="H112" i="5"/>
  <c r="B182" i="5"/>
  <c r="B168" i="5"/>
  <c r="B154" i="5"/>
  <c r="B140" i="5"/>
  <c r="B126" i="5"/>
  <c r="B112" i="5"/>
  <c r="B98" i="5"/>
  <c r="B84" i="5"/>
  <c r="B70" i="5"/>
  <c r="B56" i="5"/>
  <c r="B42" i="5"/>
  <c r="B28" i="5"/>
  <c r="B14" i="5"/>
  <c r="F181" i="3"/>
  <c r="G181" i="3"/>
  <c r="F167" i="3"/>
  <c r="G167" i="3"/>
  <c r="F153" i="3"/>
  <c r="G153" i="3"/>
  <c r="F139" i="3"/>
  <c r="G139" i="3"/>
  <c r="F125" i="3"/>
  <c r="G125" i="3"/>
  <c r="F111" i="3"/>
  <c r="G111" i="3"/>
  <c r="F97" i="3"/>
  <c r="G97" i="3"/>
  <c r="F83" i="3"/>
  <c r="G83" i="3"/>
  <c r="F69" i="3"/>
  <c r="G69" i="3"/>
  <c r="F55" i="3"/>
  <c r="G55" i="3"/>
  <c r="F41" i="3"/>
  <c r="G41" i="3"/>
  <c r="F27" i="3"/>
  <c r="G27" i="3"/>
  <c r="F13" i="3"/>
  <c r="G13" i="3"/>
  <c r="B181" i="3"/>
  <c r="B167" i="3"/>
  <c r="B153" i="3"/>
  <c r="B139" i="3"/>
  <c r="B125" i="3"/>
  <c r="B111" i="3"/>
  <c r="B97" i="3"/>
  <c r="B83" i="3"/>
  <c r="B69" i="3"/>
  <c r="B55" i="3"/>
  <c r="B41" i="3"/>
  <c r="B27" i="3"/>
  <c r="B13" i="3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35" i="2"/>
  <c r="A14" i="2"/>
  <c r="G94" i="1"/>
  <c r="F82" i="1"/>
  <c r="F95" i="1"/>
  <c r="F180" i="1"/>
  <c r="H181" i="1"/>
  <c r="M181" i="1"/>
  <c r="I181" i="1"/>
  <c r="J181" i="1"/>
  <c r="G181" i="1"/>
  <c r="F181" i="1"/>
  <c r="E181" i="1"/>
  <c r="M167" i="1"/>
  <c r="I167" i="1"/>
  <c r="G167" i="1"/>
  <c r="E167" i="1"/>
  <c r="H153" i="1"/>
  <c r="M153" i="1"/>
  <c r="I153" i="1"/>
  <c r="J153" i="1"/>
  <c r="G153" i="1"/>
  <c r="F153" i="1"/>
  <c r="E153" i="1"/>
  <c r="H139" i="1"/>
  <c r="M139" i="1"/>
  <c r="I139" i="1"/>
  <c r="J139" i="1"/>
  <c r="G139" i="1"/>
  <c r="F139" i="1"/>
  <c r="E139" i="1"/>
  <c r="H125" i="1"/>
  <c r="M125" i="1"/>
  <c r="I125" i="1"/>
  <c r="J125" i="1"/>
  <c r="G125" i="1"/>
  <c r="F125" i="1"/>
  <c r="E125" i="1"/>
  <c r="M111" i="1"/>
  <c r="I111" i="1"/>
  <c r="J111" i="1"/>
  <c r="H111" i="1"/>
  <c r="F111" i="1"/>
  <c r="E111" i="1"/>
  <c r="H97" i="1"/>
  <c r="M97" i="1"/>
  <c r="I97" i="1"/>
  <c r="J97" i="1"/>
  <c r="G97" i="1"/>
  <c r="F97" i="1"/>
  <c r="E97" i="1"/>
  <c r="M83" i="1"/>
  <c r="I83" i="1"/>
  <c r="G83" i="1"/>
  <c r="E83" i="1"/>
  <c r="H69" i="1"/>
  <c r="M69" i="1"/>
  <c r="I69" i="1"/>
  <c r="J69" i="1"/>
  <c r="G69" i="1"/>
  <c r="F69" i="1"/>
  <c r="E69" i="1"/>
  <c r="H55" i="1"/>
  <c r="M55" i="1"/>
  <c r="I55" i="1"/>
  <c r="J55" i="1"/>
  <c r="G55" i="1"/>
  <c r="F55" i="1"/>
  <c r="E55" i="1"/>
  <c r="H41" i="1"/>
  <c r="M41" i="1"/>
  <c r="I41" i="1"/>
  <c r="J41" i="1"/>
  <c r="G41" i="1"/>
  <c r="F41" i="1"/>
  <c r="E41" i="1"/>
  <c r="H27" i="1"/>
  <c r="M27" i="1"/>
  <c r="I27" i="1"/>
  <c r="J27" i="1"/>
  <c r="G27" i="1"/>
  <c r="F27" i="1"/>
  <c r="E27" i="1"/>
  <c r="H13" i="1"/>
  <c r="M13" i="1"/>
  <c r="I13" i="1"/>
  <c r="J13" i="1"/>
  <c r="G13" i="1"/>
  <c r="F13" i="1"/>
  <c r="E13" i="1"/>
  <c r="B181" i="1"/>
  <c r="B167" i="1"/>
  <c r="B153" i="1"/>
  <c r="B139" i="1"/>
  <c r="B125" i="1"/>
  <c r="B111" i="1"/>
  <c r="B97" i="1"/>
  <c r="B83" i="1"/>
  <c r="B69" i="1"/>
  <c r="B55" i="1"/>
  <c r="B41" i="1"/>
  <c r="B27" i="1"/>
  <c r="B13" i="1"/>
  <c r="F181" i="4"/>
  <c r="G181" i="4"/>
  <c r="H181" i="4"/>
  <c r="F167" i="4"/>
  <c r="G167" i="4"/>
  <c r="H167" i="4"/>
  <c r="F153" i="4"/>
  <c r="G153" i="4"/>
  <c r="H153" i="4"/>
  <c r="F139" i="4"/>
  <c r="G139" i="4"/>
  <c r="H139" i="4"/>
  <c r="F125" i="4"/>
  <c r="G125" i="4"/>
  <c r="H125" i="4"/>
  <c r="F111" i="4"/>
  <c r="G111" i="4"/>
  <c r="H111" i="4"/>
  <c r="F97" i="4"/>
  <c r="G97" i="4"/>
  <c r="H97" i="4"/>
  <c r="F83" i="4"/>
  <c r="G83" i="4"/>
  <c r="H83" i="4"/>
  <c r="F69" i="4"/>
  <c r="G69" i="4"/>
  <c r="H69" i="4"/>
  <c r="F55" i="4"/>
  <c r="G55" i="4"/>
  <c r="H55" i="4"/>
  <c r="F41" i="4"/>
  <c r="G41" i="4"/>
  <c r="H41" i="4"/>
  <c r="F27" i="4"/>
  <c r="G27" i="4"/>
  <c r="H27" i="4"/>
  <c r="G13" i="4"/>
  <c r="H13" i="4"/>
  <c r="F13" i="4"/>
  <c r="B181" i="4"/>
  <c r="B167" i="4"/>
  <c r="B153" i="4"/>
  <c r="B139" i="4"/>
  <c r="B125" i="4"/>
  <c r="B111" i="4"/>
  <c r="B97" i="4"/>
  <c r="B83" i="4"/>
  <c r="B69" i="4"/>
  <c r="B55" i="4"/>
  <c r="B41" i="4"/>
  <c r="B27" i="4"/>
  <c r="B13" i="4"/>
  <c r="G111" i="5"/>
  <c r="H111" i="5"/>
  <c r="B181" i="5"/>
  <c r="B167" i="5"/>
  <c r="B153" i="5"/>
  <c r="B139" i="5"/>
  <c r="B125" i="5"/>
  <c r="B111" i="5"/>
  <c r="B97" i="5"/>
  <c r="B83" i="5"/>
  <c r="B69" i="5"/>
  <c r="B55" i="5"/>
  <c r="B41" i="5"/>
  <c r="B27" i="5"/>
  <c r="B13" i="5"/>
  <c r="F180" i="3"/>
  <c r="G180" i="3"/>
  <c r="F166" i="3"/>
  <c r="G166" i="3"/>
  <c r="F152" i="3"/>
  <c r="G152" i="3"/>
  <c r="F138" i="3"/>
  <c r="G138" i="3"/>
  <c r="F124" i="3"/>
  <c r="G124" i="3"/>
  <c r="F110" i="3"/>
  <c r="G110" i="3"/>
  <c r="F96" i="3"/>
  <c r="G96" i="3"/>
  <c r="F82" i="3"/>
  <c r="G82" i="3"/>
  <c r="F68" i="3"/>
  <c r="G68" i="3"/>
  <c r="F54" i="3"/>
  <c r="G54" i="3"/>
  <c r="F40" i="3"/>
  <c r="G40" i="3"/>
  <c r="F26" i="3"/>
  <c r="G26" i="3"/>
  <c r="G12" i="3"/>
  <c r="F12" i="3"/>
  <c r="B180" i="3"/>
  <c r="B166" i="3"/>
  <c r="B152" i="3"/>
  <c r="B138" i="3"/>
  <c r="B124" i="3"/>
  <c r="B110" i="3"/>
  <c r="B96" i="3"/>
  <c r="B82" i="3"/>
  <c r="B68" i="3"/>
  <c r="B54" i="3"/>
  <c r="B40" i="3"/>
  <c r="B26" i="3"/>
  <c r="B12" i="3"/>
  <c r="F122" i="1"/>
  <c r="F121" i="1"/>
  <c r="J165" i="1"/>
  <c r="F179" i="1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34" i="2"/>
  <c r="A13" i="2"/>
  <c r="M180" i="1"/>
  <c r="I180" i="1"/>
  <c r="G180" i="1"/>
  <c r="H180" i="1"/>
  <c r="E180" i="1"/>
  <c r="H166" i="1"/>
  <c r="M166" i="1"/>
  <c r="I166" i="1"/>
  <c r="J166" i="1"/>
  <c r="G166" i="1"/>
  <c r="E166" i="1"/>
  <c r="H152" i="1"/>
  <c r="M152" i="1"/>
  <c r="I152" i="1"/>
  <c r="J152" i="1"/>
  <c r="G152" i="1"/>
  <c r="F152" i="1"/>
  <c r="E152" i="1"/>
  <c r="H138" i="1"/>
  <c r="M138" i="1"/>
  <c r="I138" i="1"/>
  <c r="J138" i="1"/>
  <c r="G138" i="1"/>
  <c r="F138" i="1"/>
  <c r="E138" i="1"/>
  <c r="H124" i="1"/>
  <c r="M124" i="1"/>
  <c r="I124" i="1"/>
  <c r="J124" i="1"/>
  <c r="G124" i="1"/>
  <c r="F124" i="1"/>
  <c r="E124" i="1"/>
  <c r="M110" i="1"/>
  <c r="I110" i="1"/>
  <c r="G110" i="1"/>
  <c r="J110" i="1"/>
  <c r="E110" i="1"/>
  <c r="H96" i="1"/>
  <c r="M96" i="1"/>
  <c r="I96" i="1"/>
  <c r="J96" i="1"/>
  <c r="G96" i="1"/>
  <c r="F96" i="1"/>
  <c r="E96" i="1"/>
  <c r="M82" i="1"/>
  <c r="I82" i="1"/>
  <c r="G82" i="1"/>
  <c r="J82" i="1"/>
  <c r="E82" i="1"/>
  <c r="M68" i="1"/>
  <c r="I68" i="1"/>
  <c r="J68" i="1"/>
  <c r="H68" i="1"/>
  <c r="F68" i="1"/>
  <c r="E68" i="1"/>
  <c r="H54" i="1"/>
  <c r="M54" i="1"/>
  <c r="I54" i="1"/>
  <c r="J54" i="1"/>
  <c r="G54" i="1"/>
  <c r="F54" i="1"/>
  <c r="E54" i="1"/>
  <c r="M40" i="1"/>
  <c r="I40" i="1"/>
  <c r="J40" i="1"/>
  <c r="G49" i="1"/>
  <c r="E40" i="1"/>
  <c r="H26" i="1"/>
  <c r="M26" i="1"/>
  <c r="I26" i="1"/>
  <c r="J26" i="1"/>
  <c r="G26" i="1"/>
  <c r="F26" i="1"/>
  <c r="E26" i="1"/>
  <c r="M12" i="1"/>
  <c r="J12" i="1"/>
  <c r="I12" i="1"/>
  <c r="H12" i="1"/>
  <c r="E12" i="1"/>
  <c r="G12" i="1"/>
  <c r="F12" i="1"/>
  <c r="B180" i="1"/>
  <c r="B166" i="1"/>
  <c r="B152" i="1"/>
  <c r="B138" i="1"/>
  <c r="B124" i="1"/>
  <c r="B110" i="1"/>
  <c r="B96" i="1"/>
  <c r="B82" i="1"/>
  <c r="B68" i="1"/>
  <c r="B54" i="1"/>
  <c r="B40" i="1"/>
  <c r="B26" i="1"/>
  <c r="B12" i="1"/>
  <c r="G180" i="4"/>
  <c r="H180" i="4"/>
  <c r="F180" i="4"/>
  <c r="H166" i="4"/>
  <c r="G166" i="4"/>
  <c r="F166" i="4"/>
  <c r="G152" i="4"/>
  <c r="H152" i="4"/>
  <c r="F152" i="4"/>
  <c r="G138" i="4"/>
  <c r="H138" i="4"/>
  <c r="F138" i="4"/>
  <c r="H124" i="4"/>
  <c r="G124" i="4"/>
  <c r="F124" i="4"/>
  <c r="G110" i="4"/>
  <c r="H110" i="4"/>
  <c r="F110" i="4"/>
  <c r="G96" i="4"/>
  <c r="H96" i="4"/>
  <c r="F96" i="4"/>
  <c r="G82" i="4"/>
  <c r="H82" i="4"/>
  <c r="F82" i="4"/>
  <c r="G68" i="4"/>
  <c r="H68" i="4"/>
  <c r="F68" i="4"/>
  <c r="G54" i="4"/>
  <c r="H54" i="4"/>
  <c r="F54" i="4"/>
  <c r="G40" i="4"/>
  <c r="H40" i="4"/>
  <c r="F40" i="4"/>
  <c r="G26" i="4"/>
  <c r="H26" i="4"/>
  <c r="F26" i="4"/>
  <c r="G12" i="4"/>
  <c r="H12" i="4"/>
  <c r="F12" i="4"/>
  <c r="B180" i="4"/>
  <c r="B166" i="4"/>
  <c r="B152" i="4"/>
  <c r="B138" i="4"/>
  <c r="B124" i="4"/>
  <c r="B110" i="4"/>
  <c r="B96" i="4"/>
  <c r="B82" i="4"/>
  <c r="B68" i="4"/>
  <c r="B54" i="4"/>
  <c r="B40" i="4"/>
  <c r="B26" i="4"/>
  <c r="B12" i="4"/>
  <c r="G110" i="5"/>
  <c r="H110" i="5"/>
  <c r="B180" i="5"/>
  <c r="B166" i="5"/>
  <c r="B152" i="5"/>
  <c r="B138" i="5"/>
  <c r="B124" i="5"/>
  <c r="B110" i="5"/>
  <c r="B96" i="5"/>
  <c r="B82" i="5"/>
  <c r="B68" i="5"/>
  <c r="B54" i="5"/>
  <c r="B40" i="5"/>
  <c r="B26" i="5"/>
  <c r="B12" i="5"/>
  <c r="G179" i="3"/>
  <c r="F179" i="3"/>
  <c r="G165" i="3"/>
  <c r="F165" i="3"/>
  <c r="G151" i="3"/>
  <c r="F151" i="3"/>
  <c r="G137" i="3"/>
  <c r="F137" i="3"/>
  <c r="G123" i="3"/>
  <c r="F123" i="3"/>
  <c r="G109" i="3"/>
  <c r="F109" i="3"/>
  <c r="G95" i="3"/>
  <c r="F95" i="3"/>
  <c r="G81" i="3"/>
  <c r="F81" i="3"/>
  <c r="G67" i="3"/>
  <c r="F67" i="3"/>
  <c r="G53" i="3"/>
  <c r="F53" i="3"/>
  <c r="G39" i="3"/>
  <c r="F39" i="3"/>
  <c r="G25" i="3"/>
  <c r="F25" i="3"/>
  <c r="G11" i="3"/>
  <c r="F11" i="3"/>
  <c r="B179" i="3"/>
  <c r="B165" i="3"/>
  <c r="B151" i="3"/>
  <c r="B137" i="3"/>
  <c r="B123" i="3"/>
  <c r="B109" i="3"/>
  <c r="B95" i="3"/>
  <c r="B81" i="3"/>
  <c r="B67" i="3"/>
  <c r="B53" i="3"/>
  <c r="B39" i="3"/>
  <c r="B25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O33" i="2"/>
  <c r="B33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33" i="2"/>
  <c r="A12" i="2"/>
  <c r="F94" i="1"/>
  <c r="F107" i="1"/>
  <c r="J193" i="1"/>
  <c r="M179" i="1"/>
  <c r="I179" i="1"/>
  <c r="E179" i="1"/>
  <c r="G179" i="1"/>
  <c r="H179" i="1"/>
  <c r="M165" i="1"/>
  <c r="I165" i="1"/>
  <c r="E165" i="1"/>
  <c r="G165" i="1"/>
  <c r="M151" i="1"/>
  <c r="J151" i="1"/>
  <c r="I151" i="1"/>
  <c r="H151" i="1"/>
  <c r="E151" i="1"/>
  <c r="G151" i="1"/>
  <c r="F151" i="1"/>
  <c r="M137" i="1"/>
  <c r="J137" i="1"/>
  <c r="I137" i="1"/>
  <c r="H137" i="1"/>
  <c r="E137" i="1"/>
  <c r="G137" i="1"/>
  <c r="F137" i="1"/>
  <c r="F147" i="1"/>
  <c r="M123" i="1"/>
  <c r="J123" i="1"/>
  <c r="I123" i="1"/>
  <c r="H123" i="1"/>
  <c r="E123" i="1"/>
  <c r="G123" i="1"/>
  <c r="F123" i="1"/>
  <c r="M109" i="1"/>
  <c r="J109" i="1"/>
  <c r="I109" i="1"/>
  <c r="H109" i="1"/>
  <c r="E109" i="1"/>
  <c r="G109" i="1"/>
  <c r="M95" i="1"/>
  <c r="I95" i="1"/>
  <c r="E95" i="1"/>
  <c r="G95" i="1"/>
  <c r="H95" i="1"/>
  <c r="M81" i="1"/>
  <c r="J81" i="1"/>
  <c r="I81" i="1"/>
  <c r="H81" i="1"/>
  <c r="E81" i="1"/>
  <c r="G39" i="1"/>
  <c r="F39" i="1"/>
  <c r="G81" i="1"/>
  <c r="G91" i="1"/>
  <c r="F81" i="1"/>
  <c r="M67" i="1"/>
  <c r="J67" i="1"/>
  <c r="I67" i="1"/>
  <c r="H67" i="1"/>
  <c r="E67" i="1"/>
  <c r="G67" i="1"/>
  <c r="F67" i="1"/>
  <c r="M53" i="1"/>
  <c r="J53" i="1"/>
  <c r="I53" i="1"/>
  <c r="H53" i="1"/>
  <c r="E53" i="1"/>
  <c r="G53" i="1"/>
  <c r="F53" i="1"/>
  <c r="M39" i="1"/>
  <c r="I39" i="1"/>
  <c r="H39" i="1"/>
  <c r="E39" i="1"/>
  <c r="J39" i="1"/>
  <c r="M25" i="1"/>
  <c r="J25" i="1"/>
  <c r="I25" i="1"/>
  <c r="H25" i="1"/>
  <c r="E25" i="1"/>
  <c r="G25" i="1"/>
  <c r="F25" i="1"/>
  <c r="M11" i="1"/>
  <c r="J11" i="1"/>
  <c r="I11" i="1"/>
  <c r="H11" i="1"/>
  <c r="E11" i="1"/>
  <c r="G11" i="1"/>
  <c r="F11" i="1"/>
  <c r="F21" i="1"/>
  <c r="B179" i="1"/>
  <c r="B165" i="1"/>
  <c r="B151" i="1"/>
  <c r="B137" i="1"/>
  <c r="B123" i="1"/>
  <c r="B109" i="1"/>
  <c r="B95" i="1"/>
  <c r="B81" i="1"/>
  <c r="B67" i="1"/>
  <c r="B53" i="1"/>
  <c r="B39" i="1"/>
  <c r="B25" i="1"/>
  <c r="B11" i="1"/>
  <c r="G179" i="4"/>
  <c r="H179" i="4"/>
  <c r="F179" i="4"/>
  <c r="G165" i="4"/>
  <c r="H165" i="4"/>
  <c r="F165" i="4"/>
  <c r="G151" i="4"/>
  <c r="H151" i="4"/>
  <c r="F151" i="4"/>
  <c r="G137" i="4"/>
  <c r="H137" i="4"/>
  <c r="F137" i="4"/>
  <c r="G123" i="4"/>
  <c r="H123" i="4"/>
  <c r="F123" i="4"/>
  <c r="G109" i="4"/>
  <c r="H109" i="4"/>
  <c r="F109" i="4"/>
  <c r="G95" i="4"/>
  <c r="H95" i="4"/>
  <c r="F95" i="4"/>
  <c r="G81" i="4"/>
  <c r="H81" i="4"/>
  <c r="F81" i="4"/>
  <c r="G67" i="4"/>
  <c r="H67" i="4"/>
  <c r="F67" i="4"/>
  <c r="G53" i="4"/>
  <c r="H53" i="4"/>
  <c r="F53" i="4"/>
  <c r="G39" i="4"/>
  <c r="H39" i="4"/>
  <c r="F39" i="4"/>
  <c r="G25" i="4"/>
  <c r="H25" i="4"/>
  <c r="F25" i="4"/>
  <c r="G11" i="4"/>
  <c r="H11" i="4"/>
  <c r="F11" i="4"/>
  <c r="B179" i="4"/>
  <c r="B178" i="4"/>
  <c r="B165" i="4"/>
  <c r="B164" i="4"/>
  <c r="B151" i="4"/>
  <c r="B150" i="4"/>
  <c r="B137" i="4"/>
  <c r="B136" i="4"/>
  <c r="B123" i="4"/>
  <c r="B122" i="4"/>
  <c r="B109" i="4"/>
  <c r="B108" i="4"/>
  <c r="B95" i="4"/>
  <c r="B94" i="4"/>
  <c r="B81" i="4"/>
  <c r="B80" i="4"/>
  <c r="B67" i="4"/>
  <c r="B66" i="4"/>
  <c r="B53" i="4"/>
  <c r="B52" i="4"/>
  <c r="B39" i="4"/>
  <c r="B38" i="4"/>
  <c r="B25" i="4"/>
  <c r="B24" i="4"/>
  <c r="B11" i="4"/>
  <c r="B10" i="4"/>
  <c r="G109" i="5"/>
  <c r="H109" i="5"/>
  <c r="B179" i="5"/>
  <c r="B178" i="5"/>
  <c r="B165" i="5"/>
  <c r="B164" i="5"/>
  <c r="B151" i="5"/>
  <c r="B150" i="5"/>
  <c r="B137" i="5"/>
  <c r="B136" i="5"/>
  <c r="B123" i="5"/>
  <c r="B122" i="5"/>
  <c r="B109" i="5"/>
  <c r="B108" i="5"/>
  <c r="B95" i="5"/>
  <c r="B94" i="5"/>
  <c r="B81" i="5"/>
  <c r="B80" i="5"/>
  <c r="B67" i="5"/>
  <c r="B66" i="5"/>
  <c r="B53" i="5"/>
  <c r="B52" i="5"/>
  <c r="B39" i="5"/>
  <c r="B38" i="5"/>
  <c r="B25" i="5"/>
  <c r="B24" i="5"/>
  <c r="B11" i="5"/>
  <c r="B10" i="5"/>
  <c r="G178" i="3"/>
  <c r="F178" i="3"/>
  <c r="G164" i="3"/>
  <c r="F164" i="3"/>
  <c r="G150" i="3"/>
  <c r="F150" i="3"/>
  <c r="G136" i="3"/>
  <c r="F136" i="3"/>
  <c r="G122" i="3"/>
  <c r="F122" i="3"/>
  <c r="G108" i="3"/>
  <c r="F108" i="3"/>
  <c r="G94" i="3"/>
  <c r="F94" i="3"/>
  <c r="G80" i="3"/>
  <c r="F80" i="3"/>
  <c r="G66" i="3"/>
  <c r="F66" i="3"/>
  <c r="G52" i="3"/>
  <c r="F52" i="3"/>
  <c r="G38" i="3"/>
  <c r="F38" i="3"/>
  <c r="G24" i="3"/>
  <c r="F24" i="3"/>
  <c r="G10" i="3"/>
  <c r="F10" i="3"/>
  <c r="B178" i="3"/>
  <c r="B177" i="3"/>
  <c r="B164" i="3"/>
  <c r="B163" i="3"/>
  <c r="B150" i="3"/>
  <c r="B149" i="3"/>
  <c r="B136" i="3"/>
  <c r="B135" i="3"/>
  <c r="B122" i="3"/>
  <c r="B121" i="3"/>
  <c r="B108" i="3"/>
  <c r="B107" i="3"/>
  <c r="B94" i="3"/>
  <c r="B93" i="3"/>
  <c r="B80" i="3"/>
  <c r="B79" i="3"/>
  <c r="B66" i="3"/>
  <c r="B65" i="3"/>
  <c r="B52" i="3"/>
  <c r="B51" i="3"/>
  <c r="B38" i="3"/>
  <c r="B37" i="3"/>
  <c r="B24" i="3"/>
  <c r="B23" i="3"/>
  <c r="B10" i="3"/>
  <c r="B9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32" i="2"/>
  <c r="A31" i="2"/>
  <c r="A11" i="2"/>
  <c r="A10" i="2"/>
  <c r="M178" i="1"/>
  <c r="J178" i="1"/>
  <c r="I178" i="1"/>
  <c r="H178" i="1"/>
  <c r="E178" i="1"/>
  <c r="G178" i="1"/>
  <c r="G177" i="1"/>
  <c r="F178" i="1"/>
  <c r="F177" i="1"/>
  <c r="M164" i="1"/>
  <c r="J164" i="1"/>
  <c r="I164" i="1"/>
  <c r="H164" i="1"/>
  <c r="E164" i="1"/>
  <c r="G164" i="1"/>
  <c r="G163" i="1"/>
  <c r="F164" i="1"/>
  <c r="F163" i="1"/>
  <c r="M150" i="1"/>
  <c r="J150" i="1"/>
  <c r="I150" i="1"/>
  <c r="H150" i="1"/>
  <c r="E150" i="1"/>
  <c r="G150" i="1"/>
  <c r="G149" i="1"/>
  <c r="F150" i="1"/>
  <c r="F149" i="1"/>
  <c r="M136" i="1"/>
  <c r="J136" i="1"/>
  <c r="I136" i="1"/>
  <c r="H136" i="1"/>
  <c r="E136" i="1"/>
  <c r="G136" i="1"/>
  <c r="G135" i="1"/>
  <c r="F136" i="1"/>
  <c r="F135" i="1"/>
  <c r="M122" i="1"/>
  <c r="J122" i="1"/>
  <c r="I122" i="1"/>
  <c r="E122" i="1"/>
  <c r="G122" i="1"/>
  <c r="G121" i="1"/>
  <c r="H122" i="1"/>
  <c r="M108" i="1"/>
  <c r="J108" i="1"/>
  <c r="I108" i="1"/>
  <c r="H108" i="1"/>
  <c r="E108" i="1"/>
  <c r="G108" i="1"/>
  <c r="G107" i="1"/>
  <c r="F108" i="1"/>
  <c r="J107" i="1"/>
  <c r="M94" i="1"/>
  <c r="I94" i="1"/>
  <c r="E94" i="1"/>
  <c r="G93" i="1"/>
  <c r="H94" i="1"/>
  <c r="F93" i="1"/>
  <c r="M80" i="1"/>
  <c r="J80" i="1"/>
  <c r="I80" i="1"/>
  <c r="H80" i="1"/>
  <c r="E80" i="1"/>
  <c r="G80" i="1"/>
  <c r="G79" i="1"/>
  <c r="F80" i="1"/>
  <c r="F79" i="1"/>
  <c r="M66" i="1"/>
  <c r="J66" i="1"/>
  <c r="I66" i="1"/>
  <c r="H66" i="1"/>
  <c r="E66" i="1"/>
  <c r="G66" i="1"/>
  <c r="G65" i="1"/>
  <c r="F66" i="1"/>
  <c r="F65" i="1"/>
  <c r="M52" i="1"/>
  <c r="J52" i="1"/>
  <c r="I52" i="1"/>
  <c r="H52" i="1"/>
  <c r="E52" i="1"/>
  <c r="G52" i="1"/>
  <c r="G51" i="1"/>
  <c r="F52" i="1"/>
  <c r="F51" i="1"/>
  <c r="M38" i="1"/>
  <c r="J38" i="1"/>
  <c r="I38" i="1"/>
  <c r="H38" i="1"/>
  <c r="E38" i="1"/>
  <c r="G38" i="1"/>
  <c r="G37" i="1"/>
  <c r="F38" i="1"/>
  <c r="F37" i="1"/>
  <c r="M24" i="1"/>
  <c r="J24" i="1"/>
  <c r="I24" i="1"/>
  <c r="H24" i="1"/>
  <c r="E24" i="1"/>
  <c r="G24" i="1"/>
  <c r="G23" i="1"/>
  <c r="F24" i="1"/>
  <c r="F23" i="1"/>
  <c r="M10" i="1"/>
  <c r="J10" i="1"/>
  <c r="I10" i="1"/>
  <c r="H10" i="1"/>
  <c r="E10" i="1"/>
  <c r="G10" i="1"/>
  <c r="G9" i="1"/>
  <c r="F10" i="1"/>
  <c r="F9" i="1"/>
  <c r="B178" i="1"/>
  <c r="B177" i="1"/>
  <c r="B164" i="1"/>
  <c r="B163" i="1"/>
  <c r="B150" i="1"/>
  <c r="B149" i="1"/>
  <c r="B136" i="1"/>
  <c r="B135" i="1"/>
  <c r="B122" i="1"/>
  <c r="B121" i="1"/>
  <c r="B108" i="1"/>
  <c r="B107" i="1"/>
  <c r="B94" i="1"/>
  <c r="B93" i="1"/>
  <c r="B80" i="1"/>
  <c r="B79" i="1"/>
  <c r="B66" i="1"/>
  <c r="B65" i="1"/>
  <c r="B52" i="1"/>
  <c r="B51" i="1"/>
  <c r="B38" i="1"/>
  <c r="B37" i="1"/>
  <c r="B24" i="1"/>
  <c r="B23" i="1"/>
  <c r="B10" i="1"/>
  <c r="B9" i="1"/>
  <c r="E190" i="5"/>
  <c r="D190" i="5"/>
  <c r="C190" i="5"/>
  <c r="E176" i="5"/>
  <c r="D176" i="5"/>
  <c r="C176" i="5"/>
  <c r="E162" i="5"/>
  <c r="D162" i="5"/>
  <c r="C162" i="5"/>
  <c r="E148" i="5"/>
  <c r="D148" i="5"/>
  <c r="C148" i="5"/>
  <c r="E134" i="5"/>
  <c r="D134" i="5"/>
  <c r="C134" i="5"/>
  <c r="E120" i="5"/>
  <c r="D120" i="5"/>
  <c r="G120" i="5"/>
  <c r="H120" i="5"/>
  <c r="C120" i="5"/>
  <c r="E106" i="5"/>
  <c r="D106" i="5"/>
  <c r="C106" i="5"/>
  <c r="E92" i="5"/>
  <c r="D92" i="5"/>
  <c r="C92" i="5"/>
  <c r="E78" i="5"/>
  <c r="D78" i="5"/>
  <c r="C78" i="5"/>
  <c r="E64" i="5"/>
  <c r="D64" i="5"/>
  <c r="C64" i="5"/>
  <c r="E50" i="5"/>
  <c r="D50" i="5"/>
  <c r="C50" i="5"/>
  <c r="E36" i="5"/>
  <c r="D36" i="5"/>
  <c r="C36" i="5"/>
  <c r="E22" i="5"/>
  <c r="D22" i="5"/>
  <c r="C22" i="5"/>
  <c r="G189" i="1"/>
  <c r="H163" i="1"/>
  <c r="J37" i="1"/>
  <c r="J23" i="1"/>
  <c r="J163" i="1"/>
  <c r="J177" i="1"/>
  <c r="J149" i="1"/>
  <c r="G105" i="1"/>
  <c r="H105" i="1"/>
  <c r="J65" i="1"/>
  <c r="G35" i="1"/>
  <c r="J9" i="1"/>
  <c r="L63" i="1"/>
  <c r="F80" i="4"/>
  <c r="F79" i="3"/>
  <c r="M79" i="1"/>
  <c r="E79" i="1"/>
  <c r="F178" i="4"/>
  <c r="F177" i="3"/>
  <c r="G31" i="2"/>
  <c r="G10" i="2"/>
  <c r="M177" i="1"/>
  <c r="E177" i="1"/>
  <c r="E92" i="4"/>
  <c r="D92" i="4"/>
  <c r="F92" i="4"/>
  <c r="C92" i="4"/>
  <c r="G80" i="4"/>
  <c r="H80" i="4"/>
  <c r="E91" i="3"/>
  <c r="F91" i="3"/>
  <c r="D91" i="3"/>
  <c r="C91" i="3"/>
  <c r="G79" i="3"/>
  <c r="L91" i="1"/>
  <c r="D91" i="1"/>
  <c r="C91" i="1"/>
  <c r="I79" i="1"/>
  <c r="G178" i="4"/>
  <c r="H178" i="4"/>
  <c r="G177" i="3"/>
  <c r="I177" i="1"/>
  <c r="D21" i="1"/>
  <c r="E21" i="1"/>
  <c r="D35" i="1"/>
  <c r="D49" i="1"/>
  <c r="D63" i="1"/>
  <c r="D77" i="1"/>
  <c r="D105" i="1"/>
  <c r="E105" i="1"/>
  <c r="D119" i="1"/>
  <c r="D133" i="1"/>
  <c r="D147" i="1"/>
  <c r="D161" i="1"/>
  <c r="D175" i="1"/>
  <c r="D189" i="1"/>
  <c r="C189" i="1"/>
  <c r="C190" i="4"/>
  <c r="D190" i="4"/>
  <c r="G190" i="4"/>
  <c r="H190" i="4"/>
  <c r="C189" i="3"/>
  <c r="G189" i="3"/>
  <c r="D189" i="3"/>
  <c r="E22" i="4"/>
  <c r="E36" i="4"/>
  <c r="E50" i="4"/>
  <c r="E64" i="4"/>
  <c r="E78" i="4"/>
  <c r="F78" i="4"/>
  <c r="E106" i="4"/>
  <c r="F106" i="4"/>
  <c r="E120" i="4"/>
  <c r="E134" i="4"/>
  <c r="E148" i="4"/>
  <c r="E162" i="4"/>
  <c r="E176" i="4"/>
  <c r="E190" i="4"/>
  <c r="D22" i="4"/>
  <c r="D36" i="4"/>
  <c r="F36" i="4"/>
  <c r="D50" i="4"/>
  <c r="D64" i="4"/>
  <c r="D78" i="4"/>
  <c r="D106" i="4"/>
  <c r="D120" i="4"/>
  <c r="D134" i="4"/>
  <c r="D148" i="4"/>
  <c r="D162" i="4"/>
  <c r="D176" i="4"/>
  <c r="G176" i="4"/>
  <c r="H176" i="4"/>
  <c r="C22" i="4"/>
  <c r="C36" i="4"/>
  <c r="C50" i="4"/>
  <c r="G50" i="4"/>
  <c r="H50" i="4"/>
  <c r="C64" i="4"/>
  <c r="C78" i="4"/>
  <c r="G78" i="4"/>
  <c r="H78" i="4"/>
  <c r="C106" i="4"/>
  <c r="C120" i="4"/>
  <c r="G120" i="4"/>
  <c r="H120" i="4"/>
  <c r="C134" i="4"/>
  <c r="C148" i="4"/>
  <c r="C162" i="4"/>
  <c r="G162" i="4"/>
  <c r="H162" i="4"/>
  <c r="C176" i="4"/>
  <c r="F136" i="4"/>
  <c r="E21" i="3"/>
  <c r="E35" i="3"/>
  <c r="E49" i="3"/>
  <c r="E63" i="3"/>
  <c r="E77" i="3"/>
  <c r="E105" i="3"/>
  <c r="E119" i="3"/>
  <c r="E133" i="3"/>
  <c r="E147" i="3"/>
  <c r="E161" i="3"/>
  <c r="E175" i="3"/>
  <c r="F175" i="3"/>
  <c r="E189" i="3"/>
  <c r="F189" i="3"/>
  <c r="D21" i="3"/>
  <c r="D35" i="3"/>
  <c r="F35" i="3"/>
  <c r="D49" i="3"/>
  <c r="G49" i="3"/>
  <c r="D63" i="3"/>
  <c r="F63" i="3"/>
  <c r="D77" i="3"/>
  <c r="D105" i="3"/>
  <c r="D119" i="3"/>
  <c r="D133" i="3"/>
  <c r="G133" i="3"/>
  <c r="D147" i="3"/>
  <c r="D161" i="3"/>
  <c r="G161" i="3"/>
  <c r="D175" i="3"/>
  <c r="C21" i="3"/>
  <c r="G21" i="3"/>
  <c r="C35" i="3"/>
  <c r="C49" i="3"/>
  <c r="C63" i="3"/>
  <c r="C77" i="3"/>
  <c r="C105" i="3"/>
  <c r="G105" i="3"/>
  <c r="C119" i="3"/>
  <c r="G119" i="3"/>
  <c r="C133" i="3"/>
  <c r="C147" i="3"/>
  <c r="C161" i="3"/>
  <c r="C175" i="3"/>
  <c r="F135" i="3"/>
  <c r="M135" i="1"/>
  <c r="E135" i="1"/>
  <c r="L21" i="1"/>
  <c r="L35" i="1"/>
  <c r="M35" i="1"/>
  <c r="L49" i="1"/>
  <c r="L77" i="1"/>
  <c r="L105" i="1"/>
  <c r="M105" i="1"/>
  <c r="L119" i="1"/>
  <c r="M119" i="1"/>
  <c r="L133" i="1"/>
  <c r="L147" i="1"/>
  <c r="L161" i="1"/>
  <c r="L175" i="1"/>
  <c r="M175" i="1"/>
  <c r="K21" i="1"/>
  <c r="K35" i="1"/>
  <c r="C21" i="1"/>
  <c r="C35" i="1"/>
  <c r="C49" i="1"/>
  <c r="C63" i="1"/>
  <c r="C77" i="1"/>
  <c r="C105" i="1"/>
  <c r="C119" i="1"/>
  <c r="C133" i="1"/>
  <c r="C147" i="1"/>
  <c r="C161" i="1"/>
  <c r="C175" i="1"/>
  <c r="E149" i="1"/>
  <c r="I149" i="1"/>
  <c r="M149" i="1"/>
  <c r="K147" i="1"/>
  <c r="F164" i="4"/>
  <c r="K31" i="2"/>
  <c r="K10" i="2"/>
  <c r="K63" i="1"/>
  <c r="K77" i="1"/>
  <c r="K105" i="1"/>
  <c r="I105" i="1"/>
  <c r="K119" i="1"/>
  <c r="K133" i="1"/>
  <c r="M133" i="1"/>
  <c r="K175" i="1"/>
  <c r="I135" i="1"/>
  <c r="G136" i="4"/>
  <c r="H136" i="4"/>
  <c r="G135" i="3"/>
  <c r="F108" i="4"/>
  <c r="F107" i="3"/>
  <c r="N31" i="2"/>
  <c r="M31" i="2"/>
  <c r="L31" i="2"/>
  <c r="J31" i="2"/>
  <c r="I31" i="2"/>
  <c r="H31" i="2"/>
  <c r="F31" i="2"/>
  <c r="E31" i="2"/>
  <c r="C31" i="2"/>
  <c r="B31" i="2"/>
  <c r="M107" i="1"/>
  <c r="E107" i="1"/>
  <c r="I10" i="2"/>
  <c r="G108" i="4"/>
  <c r="H108" i="4"/>
  <c r="G122" i="4"/>
  <c r="H122" i="4"/>
  <c r="F122" i="4"/>
  <c r="G107" i="3"/>
  <c r="I107" i="1"/>
  <c r="F10" i="4"/>
  <c r="G10" i="4"/>
  <c r="H10" i="4"/>
  <c r="I9" i="1"/>
  <c r="I23" i="1"/>
  <c r="I51" i="1"/>
  <c r="I65" i="1"/>
  <c r="I93" i="1"/>
  <c r="I121" i="1"/>
  <c r="I163" i="1"/>
  <c r="E9" i="1"/>
  <c r="M9" i="1"/>
  <c r="E23" i="1"/>
  <c r="M23" i="1"/>
  <c r="E37" i="1"/>
  <c r="E51" i="1"/>
  <c r="M51" i="1"/>
  <c r="E65" i="1"/>
  <c r="M65" i="1"/>
  <c r="E93" i="1"/>
  <c r="M93" i="1"/>
  <c r="E121" i="1"/>
  <c r="M121" i="1"/>
  <c r="E163" i="1"/>
  <c r="M163" i="1"/>
  <c r="F24" i="4"/>
  <c r="G24" i="4"/>
  <c r="H24" i="4"/>
  <c r="F38" i="4"/>
  <c r="G38" i="4"/>
  <c r="H38" i="4"/>
  <c r="F52" i="4"/>
  <c r="G52" i="4"/>
  <c r="H52" i="4"/>
  <c r="F66" i="4"/>
  <c r="G66" i="4"/>
  <c r="H66" i="4"/>
  <c r="F94" i="4"/>
  <c r="G94" i="4"/>
  <c r="H94" i="4"/>
  <c r="F150" i="4"/>
  <c r="G150" i="4"/>
  <c r="H150" i="4"/>
  <c r="G164" i="4"/>
  <c r="H164" i="4"/>
  <c r="F9" i="3"/>
  <c r="F23" i="3"/>
  <c r="G23" i="3"/>
  <c r="F37" i="3"/>
  <c r="G37" i="3"/>
  <c r="F51" i="3"/>
  <c r="G51" i="3"/>
  <c r="F65" i="3"/>
  <c r="G65" i="3"/>
  <c r="F93" i="3"/>
  <c r="G93" i="3"/>
  <c r="F121" i="3"/>
  <c r="G121" i="3"/>
  <c r="F149" i="3"/>
  <c r="G149" i="3"/>
  <c r="F163" i="3"/>
  <c r="G163" i="3"/>
  <c r="G9" i="3"/>
  <c r="B10" i="2"/>
  <c r="C10" i="2"/>
  <c r="D10" i="2"/>
  <c r="E10" i="2"/>
  <c r="F10" i="2"/>
  <c r="H10" i="2"/>
  <c r="J10" i="2"/>
  <c r="L10" i="2"/>
  <c r="M10" i="2"/>
  <c r="N10" i="2"/>
  <c r="I37" i="1"/>
  <c r="M37" i="1"/>
  <c r="K49" i="1"/>
  <c r="M49" i="1"/>
  <c r="D31" i="2"/>
  <c r="L189" i="1"/>
  <c r="K189" i="1"/>
  <c r="K91" i="1"/>
  <c r="J91" i="1"/>
  <c r="K161" i="1"/>
  <c r="M161" i="1"/>
  <c r="H65" i="1"/>
  <c r="H93" i="1"/>
  <c r="H135" i="1"/>
  <c r="H23" i="1"/>
  <c r="G77" i="1"/>
  <c r="H77" i="1"/>
  <c r="H149" i="1"/>
  <c r="H37" i="1"/>
  <c r="F105" i="1"/>
  <c r="J121" i="1"/>
  <c r="F77" i="1"/>
  <c r="F49" i="1"/>
  <c r="H49" i="1"/>
  <c r="G63" i="1"/>
  <c r="F161" i="1"/>
  <c r="H51" i="1"/>
  <c r="J51" i="1"/>
  <c r="G161" i="1"/>
  <c r="H161" i="1"/>
  <c r="F133" i="1"/>
  <c r="G175" i="1"/>
  <c r="H177" i="1"/>
  <c r="F63" i="1"/>
  <c r="G133" i="1"/>
  <c r="G194" i="4"/>
  <c r="H194" i="4"/>
  <c r="G147" i="1"/>
  <c r="H147" i="1"/>
  <c r="J135" i="1"/>
  <c r="H121" i="1"/>
  <c r="J93" i="1"/>
  <c r="I193" i="1"/>
  <c r="H79" i="1"/>
  <c r="J79" i="1"/>
  <c r="F35" i="1"/>
  <c r="H35" i="1"/>
  <c r="H9" i="1"/>
  <c r="J94" i="1"/>
  <c r="H107" i="1"/>
  <c r="G194" i="5"/>
  <c r="H194" i="5"/>
  <c r="J95" i="1"/>
  <c r="J179" i="1"/>
  <c r="H82" i="1"/>
  <c r="F189" i="1"/>
  <c r="H189" i="1"/>
  <c r="J180" i="1"/>
  <c r="H167" i="1"/>
  <c r="J167" i="1"/>
  <c r="H28" i="1"/>
  <c r="F50" i="4"/>
  <c r="F91" i="1"/>
  <c r="H91" i="1"/>
  <c r="H83" i="1"/>
  <c r="H110" i="1"/>
  <c r="G119" i="1"/>
  <c r="I35" i="1"/>
  <c r="G134" i="4"/>
  <c r="H134" i="4"/>
  <c r="G147" i="3"/>
  <c r="G91" i="3"/>
  <c r="F21" i="3"/>
  <c r="F49" i="3"/>
  <c r="F147" i="3"/>
  <c r="G175" i="3"/>
  <c r="F77" i="3"/>
  <c r="H40" i="1"/>
  <c r="I175" i="1"/>
  <c r="H165" i="1"/>
  <c r="F175" i="1"/>
  <c r="H175" i="1"/>
  <c r="E147" i="1"/>
  <c r="I147" i="1"/>
  <c r="M91" i="1"/>
  <c r="I91" i="1"/>
  <c r="E91" i="1"/>
  <c r="J77" i="1"/>
  <c r="F190" i="4"/>
  <c r="F176" i="4"/>
  <c r="F162" i="4"/>
  <c r="F148" i="4"/>
  <c r="G148" i="4"/>
  <c r="H148" i="4"/>
  <c r="F134" i="4"/>
  <c r="F120" i="4"/>
  <c r="G106" i="4"/>
  <c r="H106" i="4"/>
  <c r="C192" i="4"/>
  <c r="G92" i="4"/>
  <c r="H92" i="4"/>
  <c r="F64" i="4"/>
  <c r="E192" i="4"/>
  <c r="G64" i="4"/>
  <c r="H64" i="4"/>
  <c r="G36" i="4"/>
  <c r="H36" i="4"/>
  <c r="F22" i="4"/>
  <c r="D192" i="4"/>
  <c r="G22" i="4"/>
  <c r="H22" i="4"/>
  <c r="E192" i="5"/>
  <c r="D192" i="5"/>
  <c r="C192" i="5"/>
  <c r="G192" i="5"/>
  <c r="H192" i="5"/>
  <c r="F119" i="3"/>
  <c r="F161" i="3"/>
  <c r="F133" i="3"/>
  <c r="F105" i="3"/>
  <c r="D191" i="3"/>
  <c r="G191" i="3"/>
  <c r="E191" i="3"/>
  <c r="G77" i="3"/>
  <c r="C191" i="3"/>
  <c r="G63" i="3"/>
  <c r="G35" i="3"/>
  <c r="O41" i="2"/>
  <c r="O20" i="2"/>
  <c r="E35" i="1"/>
  <c r="I119" i="1"/>
  <c r="J116" i="1"/>
  <c r="H119" i="1"/>
  <c r="E189" i="1"/>
  <c r="M189" i="1"/>
  <c r="J189" i="1"/>
  <c r="I189" i="1"/>
  <c r="J175" i="1"/>
  <c r="E175" i="1"/>
  <c r="J161" i="1"/>
  <c r="I161" i="1"/>
  <c r="E161" i="1"/>
  <c r="M147" i="1"/>
  <c r="J147" i="1"/>
  <c r="J133" i="1"/>
  <c r="H133" i="1"/>
  <c r="E133" i="1"/>
  <c r="I133" i="1"/>
  <c r="E119" i="1"/>
  <c r="J105" i="1"/>
  <c r="L191" i="1"/>
  <c r="M77" i="1"/>
  <c r="G191" i="1"/>
  <c r="I77" i="1"/>
  <c r="E77" i="1"/>
  <c r="M63" i="1"/>
  <c r="I63" i="1"/>
  <c r="J63" i="1"/>
  <c r="H63" i="1"/>
  <c r="E63" i="1"/>
  <c r="K191" i="1"/>
  <c r="J49" i="1"/>
  <c r="E49" i="1"/>
  <c r="I49" i="1"/>
  <c r="J35" i="1"/>
  <c r="M21" i="1"/>
  <c r="I21" i="1"/>
  <c r="J21" i="1"/>
  <c r="H21" i="1"/>
  <c r="F191" i="1"/>
  <c r="D191" i="1"/>
  <c r="C191" i="1"/>
  <c r="F23" i="2"/>
  <c r="M23" i="2"/>
  <c r="L44" i="2"/>
  <c r="B23" i="2"/>
  <c r="D44" i="2"/>
  <c r="N23" i="2"/>
  <c r="I23" i="2"/>
  <c r="I44" i="2"/>
  <c r="G44" i="2"/>
  <c r="E23" i="2"/>
  <c r="N44" i="2"/>
  <c r="L23" i="2"/>
  <c r="O13" i="2"/>
  <c r="H23" i="2"/>
  <c r="C44" i="2"/>
  <c r="O32" i="2"/>
  <c r="D23" i="2"/>
  <c r="K44" i="2"/>
  <c r="G23" i="2"/>
  <c r="O34" i="2"/>
  <c r="M44" i="2"/>
  <c r="H44" i="2"/>
  <c r="O10" i="2"/>
  <c r="O31" i="2"/>
  <c r="E44" i="2"/>
  <c r="J44" i="2"/>
  <c r="O12" i="2"/>
  <c r="O15" i="2"/>
  <c r="O36" i="2"/>
  <c r="O18" i="2"/>
  <c r="O40" i="2"/>
  <c r="O35" i="2"/>
  <c r="O38" i="2"/>
  <c r="O11" i="2"/>
  <c r="C23" i="2"/>
  <c r="J23" i="2"/>
  <c r="B44" i="2"/>
  <c r="K23" i="2"/>
  <c r="F44" i="2"/>
  <c r="O14" i="2"/>
  <c r="O37" i="2"/>
  <c r="F192" i="4"/>
  <c r="G192" i="4"/>
  <c r="H192" i="4"/>
  <c r="F191" i="3"/>
  <c r="M191" i="1"/>
  <c r="H191" i="1"/>
  <c r="J191" i="1"/>
  <c r="E191" i="1"/>
  <c r="I191" i="1"/>
  <c r="O44" i="2"/>
  <c r="O23" i="2"/>
</calcChain>
</file>

<file path=xl/sharedStrings.xml><?xml version="1.0" encoding="utf-8"?>
<sst xmlns="http://schemas.openxmlformats.org/spreadsheetml/2006/main" count="244" uniqueCount="78">
  <si>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</si>
  <si>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</si>
  <si>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</si>
  <si>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</si>
  <si>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</si>
  <si>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</si>
  <si>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</si>
  <si>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</si>
  <si>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</si>
  <si>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</si>
  <si>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</si>
  <si>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</si>
  <si>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</si>
  <si>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</si>
  <si>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</si>
  <si>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</si>
  <si>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</si>
  <si>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</si>
  <si>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</si>
  <si>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</si>
  <si>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</si>
  <si>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</si>
  <si>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</si>
  <si>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</si>
  <si>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</si>
  <si>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</si>
  <si>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</si>
  <si>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</si>
  <si>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</si>
  <si>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</si>
  <si>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</si>
  <si>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</si>
  <si>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</si>
  <si>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</si>
  <si>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</si>
  <si>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</si>
  <si>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</si>
  <si>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</si>
  <si>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</si>
  <si>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</si>
  <si>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</si>
  <si>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</si>
  <si>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</si>
  <si>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</si>
  <si>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</si>
  <si>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</si>
  <si>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</si>
  <si>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</si>
  <si>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</si>
  <si>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</si>
  <si>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</si>
  <si>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</si>
  <si>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</si>
  <si>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</si>
  <si>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</si>
  <si>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</si>
  <si>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</si>
  <si>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</si>
  <si>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</si>
  <si>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</si>
  <si>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</si>
  <si>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</si>
  <si>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 xml:space="preserve">FISCAL 2021 YTD ADMISSIONS, PATRONS AND AGR SUMMARY </t>
  </si>
  <si>
    <t>HARRAHS KC</t>
  </si>
  <si>
    <t xml:space="preserve">CENTURY- CAPE </t>
  </si>
  <si>
    <t>CENTURY-CARUTHERSVILLE</t>
  </si>
  <si>
    <t>CASINO KC</t>
  </si>
  <si>
    <t>CENTURY - CAPE</t>
  </si>
  <si>
    <t>CENTURY-CAPE</t>
  </si>
  <si>
    <t>HYBRID</t>
  </si>
  <si>
    <t>HYBRID WIN</t>
  </si>
  <si>
    <t>MONTH ENDED:  MAY 31, 2021</t>
  </si>
  <si>
    <t>(as reported on the tax remittal database dtd 6/9/21)</t>
  </si>
  <si>
    <t>* All casinos closed March 16-May 31, 2020 due to Covid-19 pandemic</t>
  </si>
  <si>
    <t>FOR THE MONTH ENDED:   MAY 31, 2021</t>
  </si>
  <si>
    <t>THRU MONTH ENDED:   MAY 31, 2021</t>
  </si>
  <si>
    <t>(as reported on the tax remittal database as of 6/9/21)</t>
  </si>
  <si>
    <t>THRU MONTH ENDED:     MAY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</si>
</sst>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6" fontId="0" fillId="0" borderId="0" xfId="0" applyNumberFormat="1" applyFont="1" applyBorder="1" applyAlignment="1"/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66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DATE(2020,7,1)</f>
        <v>44013</v>
      </c>
      <c r="C9" s="21">
        <v>188333</v>
      </c>
      <c r="D9" s="22">
        <v>273819</v>
      </c>
      <c r="E9" s="23">
        <f t="shared" ref="E9:E17" si="0">(+C9-D9)/D9</f>
        <v>-0.31219893433253354</v>
      </c>
      <c r="F9" s="21">
        <f>+C9-87391</f>
        <v>100942</v>
      </c>
      <c r="G9" s="21">
        <f>+D9-121652</f>
        <v>152167</v>
      </c>
      <c r="H9" s="23">
        <f t="shared" ref="H9:H17" si="1">(+F9-G9)/G9</f>
        <v>-0.33663672149677659</v>
      </c>
      <c r="I9" s="24">
        <f t="shared" ref="I9:I19" si="2">K9/C9</f>
        <v>72.293304359830728</v>
      </c>
      <c r="J9" s="24">
        <f t="shared" ref="J9:J19" si="3">K9/F9</f>
        <v>134.88156456182759</v>
      </c>
      <c r="K9" s="21">
        <v>13615214.890000001</v>
      </c>
      <c r="L9" s="21">
        <v>14592883.67</v>
      </c>
      <c r="M9" s="25">
        <f t="shared" ref="M9:M17" si="4">(+K9-L9)/L9</f>
        <v>-6.6996270381424847E-2</v>
      </c>
      <c r="N9" s="10"/>
      <c r="R9" s="2"/>
    </row>
    <row r="10" spans="1:18" ht="15.75" x14ac:dyDescent="0.25">
      <c r="A10" s="19"/>
      <c r="B10" s="20">
        <f>DATE(2020,8,1)</f>
        <v>44044</v>
      </c>
      <c r="C10" s="21">
        <v>193126</v>
      </c>
      <c r="D10" s="22">
        <v>276880</v>
      </c>
      <c r="E10" s="23">
        <f t="shared" si="0"/>
        <v>-0.30249205431956083</v>
      </c>
      <c r="F10" s="21">
        <f>+C10-88951</f>
        <v>104175</v>
      </c>
      <c r="G10" s="21">
        <f>+D10-123357</f>
        <v>153523</v>
      </c>
      <c r="H10" s="23">
        <f t="shared" si="1"/>
        <v>-0.32143717879405692</v>
      </c>
      <c r="I10" s="24">
        <f t="shared" si="2"/>
        <v>65.348464422190688</v>
      </c>
      <c r="J10" s="24">
        <f t="shared" si="3"/>
        <v>121.14698862490999</v>
      </c>
      <c r="K10" s="21">
        <v>12620487.539999999</v>
      </c>
      <c r="L10" s="21">
        <v>14502049.98</v>
      </c>
      <c r="M10" s="25">
        <f t="shared" si="4"/>
        <v>-0.12974458387572052</v>
      </c>
      <c r="N10" s="10"/>
      <c r="R10" s="2"/>
    </row>
    <row r="11" spans="1:18" ht="15.75" x14ac:dyDescent="0.25">
      <c r="A11" s="19"/>
      <c r="B11" s="20">
        <f>DATE(2020,9,1)</f>
        <v>44075</v>
      </c>
      <c r="C11" s="21">
        <v>196754</v>
      </c>
      <c r="D11" s="22">
        <v>254028</v>
      </c>
      <c r="E11" s="23">
        <f t="shared" si="0"/>
        <v>-0.22546333475049996</v>
      </c>
      <c r="F11" s="21">
        <f>+C11-92272</f>
        <v>104482</v>
      </c>
      <c r="G11" s="21">
        <f>+D11-112781</f>
        <v>141247</v>
      </c>
      <c r="H11" s="23">
        <f t="shared" si="1"/>
        <v>-0.26028871409658261</v>
      </c>
      <c r="I11" s="24">
        <f t="shared" si="2"/>
        <v>63.171506500503163</v>
      </c>
      <c r="J11" s="24">
        <f t="shared" si="3"/>
        <v>118.96064958557454</v>
      </c>
      <c r="K11" s="21">
        <v>12429246.59</v>
      </c>
      <c r="L11" s="21">
        <v>12773890.380000001</v>
      </c>
      <c r="M11" s="25">
        <f t="shared" si="4"/>
        <v>-2.6980330952237352E-2</v>
      </c>
      <c r="N11" s="10"/>
      <c r="R11" s="2"/>
    </row>
    <row r="12" spans="1:18" ht="15.75" x14ac:dyDescent="0.25">
      <c r="A12" s="19"/>
      <c r="B12" s="20">
        <f>DATE(2020,10,1)</f>
        <v>44105</v>
      </c>
      <c r="C12" s="21">
        <v>203827</v>
      </c>
      <c r="D12" s="22">
        <v>250952</v>
      </c>
      <c r="E12" s="23">
        <f t="shared" si="0"/>
        <v>-0.1877849150435143</v>
      </c>
      <c r="F12" s="21">
        <f>+C12-94349</f>
        <v>109478</v>
      </c>
      <c r="G12" s="21">
        <f>+D12-113545</f>
        <v>137407</v>
      </c>
      <c r="H12" s="23">
        <f t="shared" si="1"/>
        <v>-0.20325747596556215</v>
      </c>
      <c r="I12" s="24">
        <f t="shared" si="2"/>
        <v>63.424137332149328</v>
      </c>
      <c r="J12" s="24">
        <f t="shared" si="3"/>
        <v>118.08355687900766</v>
      </c>
      <c r="K12" s="21">
        <v>12927551.640000001</v>
      </c>
      <c r="L12" s="21">
        <v>13374556.41</v>
      </c>
      <c r="M12" s="25">
        <f t="shared" si="4"/>
        <v>-3.3422025844967784E-2</v>
      </c>
      <c r="N12" s="10"/>
      <c r="R12" s="2"/>
    </row>
    <row r="13" spans="1:18" ht="15.75" x14ac:dyDescent="0.25">
      <c r="A13" s="19"/>
      <c r="B13" s="20">
        <f>DATE(2020,11,1)</f>
        <v>44136</v>
      </c>
      <c r="C13" s="21">
        <v>189148</v>
      </c>
      <c r="D13" s="22">
        <v>272418</v>
      </c>
      <c r="E13" s="23">
        <f t="shared" si="0"/>
        <v>-0.30566996307145639</v>
      </c>
      <c r="F13" s="21">
        <f>+C13-86903</f>
        <v>102245</v>
      </c>
      <c r="G13" s="21">
        <f>+D13-124199</f>
        <v>148219</v>
      </c>
      <c r="H13" s="23">
        <f t="shared" si="1"/>
        <v>-0.31017615825231581</v>
      </c>
      <c r="I13" s="24">
        <f t="shared" si="2"/>
        <v>59.62246928331254</v>
      </c>
      <c r="J13" s="24">
        <f t="shared" si="3"/>
        <v>110.29850672404518</v>
      </c>
      <c r="K13" s="21">
        <v>11277470.82</v>
      </c>
      <c r="L13" s="21">
        <v>13968055.51</v>
      </c>
      <c r="M13" s="25">
        <f t="shared" si="4"/>
        <v>-0.1926241407097615</v>
      </c>
      <c r="N13" s="10"/>
      <c r="R13" s="2"/>
    </row>
    <row r="14" spans="1:18" ht="15.75" x14ac:dyDescent="0.25">
      <c r="A14" s="19"/>
      <c r="B14" s="20">
        <f>DATE(2020,12,1)</f>
        <v>44166</v>
      </c>
      <c r="C14" s="21">
        <v>196076</v>
      </c>
      <c r="D14" s="22">
        <v>282345</v>
      </c>
      <c r="E14" s="23">
        <f t="shared" si="0"/>
        <v>-0.30554463510952912</v>
      </c>
      <c r="F14" s="21">
        <f>+C14-87128</f>
        <v>108948</v>
      </c>
      <c r="G14" s="21">
        <f>+D14-128827</f>
        <v>153518</v>
      </c>
      <c r="H14" s="23">
        <f t="shared" si="1"/>
        <v>-0.29032426165009967</v>
      </c>
      <c r="I14" s="24">
        <f t="shared" si="2"/>
        <v>63.799970980640154</v>
      </c>
      <c r="J14" s="24">
        <f t="shared" si="3"/>
        <v>114.82214551896317</v>
      </c>
      <c r="K14" s="21">
        <v>12509643.109999999</v>
      </c>
      <c r="L14" s="21">
        <v>14646594.890000001</v>
      </c>
      <c r="M14" s="25">
        <f t="shared" si="4"/>
        <v>-0.14590092755682144</v>
      </c>
      <c r="N14" s="10"/>
      <c r="R14" s="2"/>
    </row>
    <row r="15" spans="1:18" ht="15.75" x14ac:dyDescent="0.25">
      <c r="A15" s="19"/>
      <c r="B15" s="20">
        <f>DATE(2021,1,1)</f>
        <v>44197</v>
      </c>
      <c r="C15" s="21">
        <v>210729</v>
      </c>
      <c r="D15" s="22">
        <v>244941</v>
      </c>
      <c r="E15" s="23">
        <f t="shared" si="0"/>
        <v>-0.1396744522150232</v>
      </c>
      <c r="F15" s="21">
        <f>+C15-99046</f>
        <v>111683</v>
      </c>
      <c r="G15" s="21">
        <f>+D15-113581</f>
        <v>131360</v>
      </c>
      <c r="H15" s="23">
        <f t="shared" si="1"/>
        <v>-0.14979445797807553</v>
      </c>
      <c r="I15" s="24">
        <f t="shared" si="2"/>
        <v>60.759667345263345</v>
      </c>
      <c r="J15" s="24">
        <f t="shared" si="3"/>
        <v>114.64434103668418</v>
      </c>
      <c r="K15" s="21">
        <v>12803823.939999999</v>
      </c>
      <c r="L15" s="21">
        <v>12529639.529999999</v>
      </c>
      <c r="M15" s="25">
        <f t="shared" si="4"/>
        <v>2.1882864973370879E-2</v>
      </c>
      <c r="N15" s="10"/>
      <c r="R15" s="2"/>
    </row>
    <row r="16" spans="1:18" ht="15.75" x14ac:dyDescent="0.25">
      <c r="A16" s="19"/>
      <c r="B16" s="20">
        <f>DATE(2021,2,1)</f>
        <v>44228</v>
      </c>
      <c r="C16" s="21">
        <v>178806</v>
      </c>
      <c r="D16" s="22">
        <v>260941</v>
      </c>
      <c r="E16" s="23">
        <f t="shared" si="0"/>
        <v>-0.31476464028266926</v>
      </c>
      <c r="F16" s="21">
        <f>+C16-83686</f>
        <v>95120</v>
      </c>
      <c r="G16" s="21">
        <f>+D16-121501</f>
        <v>139440</v>
      </c>
      <c r="H16" s="23">
        <f t="shared" si="1"/>
        <v>-0.31784279977051061</v>
      </c>
      <c r="I16" s="24">
        <f t="shared" si="2"/>
        <v>63.481141125018176</v>
      </c>
      <c r="J16" s="24">
        <f t="shared" si="3"/>
        <v>119.33146467619848</v>
      </c>
      <c r="K16" s="21">
        <v>11350808.92</v>
      </c>
      <c r="L16" s="21">
        <v>13815297.25</v>
      </c>
      <c r="M16" s="25">
        <f t="shared" si="4"/>
        <v>-0.17838836800996086</v>
      </c>
      <c r="N16" s="10"/>
      <c r="R16" s="2"/>
    </row>
    <row r="17" spans="1:18" ht="15.75" x14ac:dyDescent="0.25">
      <c r="A17" s="19"/>
      <c r="B17" s="20">
        <f>DATE(2021,3,1)</f>
        <v>44256</v>
      </c>
      <c r="C17" s="21">
        <v>244635</v>
      </c>
      <c r="D17" s="22">
        <v>133788</v>
      </c>
      <c r="E17" s="23">
        <f t="shared" si="0"/>
        <v>0.82852722217239216</v>
      </c>
      <c r="F17" s="21">
        <f>+C17-117147</f>
        <v>127488</v>
      </c>
      <c r="G17" s="21">
        <f>+D17-60707</f>
        <v>73081</v>
      </c>
      <c r="H17" s="23">
        <f t="shared" si="1"/>
        <v>0.74447530821964669</v>
      </c>
      <c r="I17" s="24">
        <f t="shared" si="2"/>
        <v>66.822552496576535</v>
      </c>
      <c r="J17" s="24">
        <f t="shared" si="3"/>
        <v>128.2248927742219</v>
      </c>
      <c r="K17" s="21">
        <v>16347135.130000001</v>
      </c>
      <c r="L17" s="21">
        <v>7045224.6600000001</v>
      </c>
      <c r="M17" s="25">
        <f t="shared" si="4"/>
        <v>1.3203142438895625</v>
      </c>
      <c r="N17" s="10"/>
      <c r="R17" s="2"/>
    </row>
    <row r="18" spans="1:18" ht="15.75" x14ac:dyDescent="0.25">
      <c r="A18" s="19"/>
      <c r="B18" s="20">
        <f>DATE(2021,4,1)</f>
        <v>44287</v>
      </c>
      <c r="C18" s="21">
        <v>229780</v>
      </c>
      <c r="D18" s="22">
        <v>0</v>
      </c>
      <c r="E18" s="23">
        <v>1</v>
      </c>
      <c r="F18" s="21">
        <f>+C18-108785</f>
        <v>120995</v>
      </c>
      <c r="G18" s="21">
        <f>+D18-0</f>
        <v>0</v>
      </c>
      <c r="H18" s="23">
        <v>1</v>
      </c>
      <c r="I18" s="24">
        <f t="shared" si="2"/>
        <v>65.730168160849502</v>
      </c>
      <c r="J18" s="24">
        <f t="shared" si="3"/>
        <v>124.82729071449232</v>
      </c>
      <c r="K18" s="21">
        <v>15103478.039999999</v>
      </c>
      <c r="L18" s="21">
        <v>0</v>
      </c>
      <c r="M18" s="25">
        <v>1</v>
      </c>
      <c r="N18" s="10"/>
      <c r="R18" s="2"/>
    </row>
    <row r="19" spans="1:18" ht="15.75" x14ac:dyDescent="0.25">
      <c r="A19" s="19"/>
      <c r="B19" s="20">
        <f>DATE(2021,5,1)</f>
        <v>44317</v>
      </c>
      <c r="C19" s="21">
        <v>235364</v>
      </c>
      <c r="D19" s="22">
        <v>0</v>
      </c>
      <c r="E19" s="23">
        <v>1</v>
      </c>
      <c r="F19" s="21">
        <f>+C19-110943</f>
        <v>124421</v>
      </c>
      <c r="G19" s="21">
        <v>0</v>
      </c>
      <c r="H19" s="23">
        <v>1</v>
      </c>
      <c r="I19" s="24">
        <f t="shared" si="2"/>
        <v>65.551285880593468</v>
      </c>
      <c r="J19" s="24">
        <f t="shared" si="3"/>
        <v>124.00167857516014</v>
      </c>
      <c r="K19" s="21">
        <v>15428412.85</v>
      </c>
      <c r="L19" s="21">
        <v>0</v>
      </c>
      <c r="M19" s="25">
        <v>1</v>
      </c>
      <c r="N19" s="10"/>
      <c r="R19" s="2"/>
    </row>
    <row r="20" spans="1:18" ht="15.75" customHeight="1" thickBot="1" x14ac:dyDescent="0.3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thickTop="1" thickBot="1" x14ac:dyDescent="0.3">
      <c r="A21" s="26" t="s">
        <v>14</v>
      </c>
      <c r="B21" s="27"/>
      <c r="C21" s="28">
        <f>SUM(C9:C20)</f>
        <v>2266578</v>
      </c>
      <c r="D21" s="28">
        <f>SUM(D9:D20)</f>
        <v>2250112</v>
      </c>
      <c r="E21" s="279">
        <f>(+C21-D21)/D21</f>
        <v>7.3178579555151033E-3</v>
      </c>
      <c r="F21" s="28">
        <f>SUM(F9:F20)</f>
        <v>1209977</v>
      </c>
      <c r="G21" s="28">
        <f>SUM(G9:G20)</f>
        <v>1229962</v>
      </c>
      <c r="H21" s="30">
        <f>(+F21-G21)/G21</f>
        <v>-1.6248469464910299E-2</v>
      </c>
      <c r="I21" s="31">
        <f>K21/C21</f>
        <v>64.59661810447291</v>
      </c>
      <c r="J21" s="31">
        <f>K21/F21</f>
        <v>121.00500544225221</v>
      </c>
      <c r="K21" s="28">
        <f>SUM(K9:K20)</f>
        <v>146413273.47</v>
      </c>
      <c r="L21" s="28">
        <f>SUM(L9:L20)</f>
        <v>117248192.28</v>
      </c>
      <c r="M21" s="32">
        <f>(+K21-L21)/L21</f>
        <v>0.24874653180452427</v>
      </c>
      <c r="N21" s="10"/>
      <c r="R21" s="2"/>
    </row>
    <row r="22" spans="1:18" ht="15.75" customHeight="1" thickTop="1" x14ac:dyDescent="0.25">
      <c r="A22" s="15"/>
      <c r="B22" s="16"/>
      <c r="C22" s="16"/>
      <c r="D22" s="16"/>
      <c r="E22" s="17"/>
      <c r="F22" s="16"/>
      <c r="G22" s="16"/>
      <c r="H22" s="17"/>
      <c r="I22" s="16"/>
      <c r="J22" s="16"/>
      <c r="K22" s="195"/>
      <c r="L22" s="195"/>
      <c r="M22" s="18"/>
      <c r="N22" s="10"/>
      <c r="R22" s="2"/>
    </row>
    <row r="23" spans="1:18" ht="15.75" x14ac:dyDescent="0.25">
      <c r="A23" s="19" t="s">
        <v>15</v>
      </c>
      <c r="B23" s="20">
        <f>DATE(2020,7,1)</f>
        <v>44013</v>
      </c>
      <c r="C23" s="21">
        <v>79471</v>
      </c>
      <c r="D23" s="21">
        <v>128877</v>
      </c>
      <c r="E23" s="23">
        <f t="shared" ref="E23:E31" si="5">(+C23-D23)/D23</f>
        <v>-0.38335777524306119</v>
      </c>
      <c r="F23" s="21">
        <f>+C23-38596</f>
        <v>40875</v>
      </c>
      <c r="G23" s="21">
        <f>+D23-61988</f>
        <v>66889</v>
      </c>
      <c r="H23" s="23">
        <f t="shared" ref="H23:H31" si="6">(+F23-G23)/G23</f>
        <v>-0.38891297522761592</v>
      </c>
      <c r="I23" s="24">
        <f t="shared" ref="I23:I33" si="7">K23/C23</f>
        <v>70.633539655975142</v>
      </c>
      <c r="J23" s="24">
        <f t="shared" ref="J23:J33" si="8">K23/F23</f>
        <v>137.32888146788991</v>
      </c>
      <c r="K23" s="21">
        <v>5613318.0300000003</v>
      </c>
      <c r="L23" s="21">
        <v>6965970.8300000001</v>
      </c>
      <c r="M23" s="25">
        <f t="shared" ref="M23:M31" si="9">(+K23-L23)/L23</f>
        <v>-0.19418008386922858</v>
      </c>
      <c r="N23" s="10"/>
      <c r="R23" s="2"/>
    </row>
    <row r="24" spans="1:18" ht="15.75" x14ac:dyDescent="0.25">
      <c r="A24" s="19"/>
      <c r="B24" s="20">
        <f>DATE(2020,8,1)</f>
        <v>44044</v>
      </c>
      <c r="C24" s="21">
        <v>88234</v>
      </c>
      <c r="D24" s="21">
        <v>130133</v>
      </c>
      <c r="E24" s="23">
        <f t="shared" si="5"/>
        <v>-0.32197059930993677</v>
      </c>
      <c r="F24" s="21">
        <f>+C24-41802</f>
        <v>46432</v>
      </c>
      <c r="G24" s="21">
        <f>+D24-62200</f>
        <v>67933</v>
      </c>
      <c r="H24" s="23">
        <f t="shared" si="6"/>
        <v>-0.31650302503937705</v>
      </c>
      <c r="I24" s="24">
        <f t="shared" si="7"/>
        <v>67.939255049074063</v>
      </c>
      <c r="J24" s="24">
        <f t="shared" si="8"/>
        <v>129.10389881977946</v>
      </c>
      <c r="K24" s="21">
        <v>5994552.2300000004</v>
      </c>
      <c r="L24" s="21">
        <v>6966409.8499999996</v>
      </c>
      <c r="M24" s="25">
        <f t="shared" si="9"/>
        <v>-0.13950623648707652</v>
      </c>
      <c r="N24" s="10"/>
      <c r="R24" s="2"/>
    </row>
    <row r="25" spans="1:18" ht="15.75" x14ac:dyDescent="0.25">
      <c r="A25" s="19"/>
      <c r="B25" s="20">
        <f>DATE(2020,9,1)</f>
        <v>44075</v>
      </c>
      <c r="C25" s="21">
        <v>90948</v>
      </c>
      <c r="D25" s="21">
        <v>118251</v>
      </c>
      <c r="E25" s="23">
        <f t="shared" si="5"/>
        <v>-0.23089022502980946</v>
      </c>
      <c r="F25" s="21">
        <f>+C25-42310</f>
        <v>48638</v>
      </c>
      <c r="G25" s="21">
        <f>+D25-55723</f>
        <v>62528</v>
      </c>
      <c r="H25" s="23">
        <f t="shared" si="6"/>
        <v>-0.22214048106448311</v>
      </c>
      <c r="I25" s="24">
        <f t="shared" si="7"/>
        <v>64.968384791309319</v>
      </c>
      <c r="J25" s="24">
        <f t="shared" si="8"/>
        <v>121.48412064640816</v>
      </c>
      <c r="K25" s="21">
        <v>5908744.6600000001</v>
      </c>
      <c r="L25" s="21">
        <v>6414760.5999999996</v>
      </c>
      <c r="M25" s="25">
        <f t="shared" si="9"/>
        <v>-7.8883059174491954E-2</v>
      </c>
      <c r="N25" s="10"/>
      <c r="R25" s="2"/>
    </row>
    <row r="26" spans="1:18" ht="15.75" x14ac:dyDescent="0.25">
      <c r="A26" s="19"/>
      <c r="B26" s="20">
        <f>DATE(2020,10,1)</f>
        <v>44105</v>
      </c>
      <c r="C26" s="21">
        <v>87099</v>
      </c>
      <c r="D26" s="21">
        <v>113052</v>
      </c>
      <c r="E26" s="23">
        <f t="shared" si="5"/>
        <v>-0.22956692495488801</v>
      </c>
      <c r="F26" s="21">
        <f>+C26-41806</f>
        <v>45293</v>
      </c>
      <c r="G26" s="21">
        <f>+D26-54189</f>
        <v>58863</v>
      </c>
      <c r="H26" s="23">
        <f t="shared" si="6"/>
        <v>-0.23053531080644887</v>
      </c>
      <c r="I26" s="24">
        <f t="shared" si="7"/>
        <v>65.631177051401281</v>
      </c>
      <c r="J26" s="24">
        <f t="shared" si="8"/>
        <v>126.20956637891064</v>
      </c>
      <c r="K26" s="21">
        <v>5716409.8899999997</v>
      </c>
      <c r="L26" s="21">
        <v>6049114.7400000002</v>
      </c>
      <c r="M26" s="25">
        <f t="shared" si="9"/>
        <v>-5.5000585093877813E-2</v>
      </c>
      <c r="N26" s="10"/>
      <c r="R26" s="2"/>
    </row>
    <row r="27" spans="1:18" ht="15.75" x14ac:dyDescent="0.25">
      <c r="A27" s="19"/>
      <c r="B27" s="20">
        <f>DATE(2020,11,1)</f>
        <v>44136</v>
      </c>
      <c r="C27" s="21">
        <v>77783</v>
      </c>
      <c r="D27" s="21">
        <v>116655</v>
      </c>
      <c r="E27" s="23">
        <f t="shared" si="5"/>
        <v>-0.3332218936179332</v>
      </c>
      <c r="F27" s="21">
        <f>+C27-37695</f>
        <v>40088</v>
      </c>
      <c r="G27" s="21">
        <f>+D27-56252</f>
        <v>60403</v>
      </c>
      <c r="H27" s="23">
        <f t="shared" si="6"/>
        <v>-0.33632435475059186</v>
      </c>
      <c r="I27" s="24">
        <f t="shared" si="7"/>
        <v>68.774152064075693</v>
      </c>
      <c r="J27" s="24">
        <f t="shared" si="8"/>
        <v>133.44292232089404</v>
      </c>
      <c r="K27" s="21">
        <v>5349459.87</v>
      </c>
      <c r="L27" s="21">
        <v>6363767.6699999999</v>
      </c>
      <c r="M27" s="25">
        <f t="shared" si="9"/>
        <v>-0.15938793692636485</v>
      </c>
      <c r="N27" s="10"/>
      <c r="R27" s="2"/>
    </row>
    <row r="28" spans="1:18" ht="15.75" x14ac:dyDescent="0.25">
      <c r="A28" s="19"/>
      <c r="B28" s="20">
        <f>DATE(2020,12,1)</f>
        <v>44166</v>
      </c>
      <c r="C28" s="21">
        <v>82439</v>
      </c>
      <c r="D28" s="21">
        <v>115489</v>
      </c>
      <c r="E28" s="23">
        <f t="shared" si="5"/>
        <v>-0.2861744408558391</v>
      </c>
      <c r="F28" s="21">
        <f>+C28-39977</f>
        <v>42462</v>
      </c>
      <c r="G28" s="21">
        <f>+D28-56066</f>
        <v>59423</v>
      </c>
      <c r="H28" s="23">
        <f t="shared" si="6"/>
        <v>-0.28542820120155493</v>
      </c>
      <c r="I28" s="24">
        <f t="shared" si="7"/>
        <v>69.924131660985708</v>
      </c>
      <c r="J28" s="24">
        <f t="shared" si="8"/>
        <v>135.7560993358768</v>
      </c>
      <c r="K28" s="21">
        <v>5764475.4900000002</v>
      </c>
      <c r="L28" s="21">
        <v>6275301.9900000002</v>
      </c>
      <c r="M28" s="25">
        <f t="shared" si="9"/>
        <v>-8.140269596810272E-2</v>
      </c>
      <c r="N28" s="10"/>
      <c r="R28" s="2"/>
    </row>
    <row r="29" spans="1:18" ht="15.75" x14ac:dyDescent="0.25">
      <c r="A29" s="19"/>
      <c r="B29" s="20">
        <f>DATE(2021,1,1)</f>
        <v>44197</v>
      </c>
      <c r="C29" s="21">
        <v>104157</v>
      </c>
      <c r="D29" s="21">
        <v>104167</v>
      </c>
      <c r="E29" s="23">
        <f t="shared" si="5"/>
        <v>-9.5999692800983032E-5</v>
      </c>
      <c r="F29" s="21">
        <f>+C29-51234</f>
        <v>52923</v>
      </c>
      <c r="G29" s="21">
        <f>+D29-50647</f>
        <v>53520</v>
      </c>
      <c r="H29" s="23">
        <f t="shared" si="6"/>
        <v>-1.1154708520179373E-2</v>
      </c>
      <c r="I29" s="24">
        <f t="shared" si="7"/>
        <v>68.077986117111664</v>
      </c>
      <c r="J29" s="24">
        <f t="shared" si="8"/>
        <v>133.98331160365058</v>
      </c>
      <c r="K29" s="21">
        <v>7090798.7999999998</v>
      </c>
      <c r="L29" s="21">
        <v>5634558.9000000004</v>
      </c>
      <c r="M29" s="25">
        <f t="shared" si="9"/>
        <v>0.25844789731455275</v>
      </c>
      <c r="N29" s="10"/>
      <c r="R29" s="2"/>
    </row>
    <row r="30" spans="1:18" ht="15.75" x14ac:dyDescent="0.25">
      <c r="A30" s="19"/>
      <c r="B30" s="20">
        <f>DATE(2021,2,1)</f>
        <v>44228</v>
      </c>
      <c r="C30" s="21">
        <v>88005</v>
      </c>
      <c r="D30" s="21">
        <v>123497</v>
      </c>
      <c r="E30" s="23">
        <f t="shared" si="5"/>
        <v>-0.28739159655700136</v>
      </c>
      <c r="F30" s="21">
        <f>+C30-42481</f>
        <v>45524</v>
      </c>
      <c r="G30" s="21">
        <f>+D30-60781</f>
        <v>62716</v>
      </c>
      <c r="H30" s="23">
        <f t="shared" si="6"/>
        <v>-0.27412462529498055</v>
      </c>
      <c r="I30" s="24">
        <f t="shared" si="7"/>
        <v>67.96963070280097</v>
      </c>
      <c r="J30" s="24">
        <f t="shared" si="8"/>
        <v>131.39590875142781</v>
      </c>
      <c r="K30" s="21">
        <v>5981667.3499999996</v>
      </c>
      <c r="L30" s="21">
        <v>6710984.5700000003</v>
      </c>
      <c r="M30" s="25">
        <f t="shared" si="9"/>
        <v>-0.10867514481559903</v>
      </c>
      <c r="N30" s="10"/>
      <c r="R30" s="2"/>
    </row>
    <row r="31" spans="1:18" ht="15.75" x14ac:dyDescent="0.25">
      <c r="A31" s="19"/>
      <c r="B31" s="20">
        <f>DATE(2021,3,1)</f>
        <v>44256</v>
      </c>
      <c r="C31" s="21">
        <v>126994</v>
      </c>
      <c r="D31" s="21">
        <v>60616</v>
      </c>
      <c r="E31" s="23">
        <f t="shared" si="5"/>
        <v>1.0950574105846642</v>
      </c>
      <c r="F31" s="21">
        <f>+C31-62056</f>
        <v>64938</v>
      </c>
      <c r="G31" s="21">
        <f>+D31-29274</f>
        <v>31342</v>
      </c>
      <c r="H31" s="23">
        <f t="shared" si="6"/>
        <v>1.0719162784761662</v>
      </c>
      <c r="I31" s="24">
        <f t="shared" si="7"/>
        <v>69.776871033277175</v>
      </c>
      <c r="J31" s="24">
        <f t="shared" si="8"/>
        <v>136.45698912809144</v>
      </c>
      <c r="K31" s="21">
        <v>8861243.9600000009</v>
      </c>
      <c r="L31" s="21">
        <v>3544071.9</v>
      </c>
      <c r="M31" s="25">
        <f t="shared" si="9"/>
        <v>1.5003002788967121</v>
      </c>
      <c r="N31" s="10"/>
      <c r="R31" s="2"/>
    </row>
    <row r="32" spans="1:18" ht="15.75" x14ac:dyDescent="0.25">
      <c r="A32" s="19"/>
      <c r="B32" s="20">
        <f>DATE(2021,4,1)</f>
        <v>44287</v>
      </c>
      <c r="C32" s="21">
        <v>116595</v>
      </c>
      <c r="D32" s="21">
        <v>0</v>
      </c>
      <c r="E32" s="23">
        <v>1</v>
      </c>
      <c r="F32" s="21">
        <f>+C32-57638</f>
        <v>58957</v>
      </c>
      <c r="G32" s="21">
        <v>0</v>
      </c>
      <c r="H32" s="23">
        <v>1</v>
      </c>
      <c r="I32" s="24">
        <f t="shared" si="7"/>
        <v>72.397123547321925</v>
      </c>
      <c r="J32" s="24">
        <f t="shared" si="8"/>
        <v>143.17456146004713</v>
      </c>
      <c r="K32" s="21">
        <v>8441142.6199999992</v>
      </c>
      <c r="L32" s="21">
        <v>0</v>
      </c>
      <c r="M32" s="25">
        <v>1</v>
      </c>
      <c r="N32" s="10"/>
      <c r="R32" s="2"/>
    </row>
    <row r="33" spans="1:18" ht="15.75" x14ac:dyDescent="0.25">
      <c r="A33" s="19"/>
      <c r="B33" s="20">
        <f>DATE(2021,5,1)</f>
        <v>44317</v>
      </c>
      <c r="C33" s="21">
        <v>121792</v>
      </c>
      <c r="D33" s="21">
        <v>0</v>
      </c>
      <c r="E33" s="23">
        <v>1</v>
      </c>
      <c r="F33" s="21">
        <f>+C33-59459</f>
        <v>62333</v>
      </c>
      <c r="G33" s="21">
        <v>0</v>
      </c>
      <c r="H33" s="23">
        <v>1</v>
      </c>
      <c r="I33" s="24">
        <f t="shared" si="7"/>
        <v>70.378805915002616</v>
      </c>
      <c r="J33" s="24">
        <f t="shared" si="8"/>
        <v>137.51264226011904</v>
      </c>
      <c r="K33" s="21">
        <v>8571575.5299999993</v>
      </c>
      <c r="L33" s="21">
        <v>0</v>
      </c>
      <c r="M33" s="25">
        <v>1</v>
      </c>
      <c r="N33" s="10"/>
      <c r="R33" s="2"/>
    </row>
    <row r="34" spans="1:18" ht="15.75" customHeight="1" thickBot="1" x14ac:dyDescent="0.3">
      <c r="A34" s="19"/>
      <c r="B34" s="20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Top="1" thickBot="1" x14ac:dyDescent="0.3">
      <c r="A35" s="26" t="s">
        <v>14</v>
      </c>
      <c r="B35" s="27"/>
      <c r="C35" s="28">
        <f>SUM(C23:C34)</f>
        <v>1063517</v>
      </c>
      <c r="D35" s="28">
        <f>SUM(D23:D34)</f>
        <v>1010737</v>
      </c>
      <c r="E35" s="279">
        <f>(+C35-D35)/D35</f>
        <v>5.2219321148825062E-2</v>
      </c>
      <c r="F35" s="28">
        <f>SUM(F23:F34)</f>
        <v>548463</v>
      </c>
      <c r="G35" s="28">
        <f>SUM(G23:G34)</f>
        <v>523617</v>
      </c>
      <c r="H35" s="30">
        <f>(+F35-G35)/G35</f>
        <v>4.7450713021158594E-2</v>
      </c>
      <c r="I35" s="31">
        <f>K35/C35</f>
        <v>68.916047820580204</v>
      </c>
      <c r="J35" s="31">
        <f>K35/F35</f>
        <v>133.63415295106506</v>
      </c>
      <c r="K35" s="28">
        <f>SUM(K23:K34)</f>
        <v>73293388.429999992</v>
      </c>
      <c r="L35" s="28">
        <f>SUM(L23:L34)</f>
        <v>54924941.050000004</v>
      </c>
      <c r="M35" s="32">
        <f>(+K35-L35)/L35</f>
        <v>0.33442816740173792</v>
      </c>
      <c r="N35" s="10"/>
      <c r="R35" s="2"/>
    </row>
    <row r="36" spans="1:18" ht="15.75" customHeight="1" thickTop="1" x14ac:dyDescent="0.25">
      <c r="A36" s="33"/>
      <c r="B36" s="34"/>
      <c r="C36" s="35"/>
      <c r="D36" s="35"/>
      <c r="E36" s="29"/>
      <c r="F36" s="35"/>
      <c r="G36" s="35"/>
      <c r="H36" s="29"/>
      <c r="I36" s="36"/>
      <c r="J36" s="36"/>
      <c r="K36" s="35"/>
      <c r="L36" s="35"/>
      <c r="M36" s="37"/>
      <c r="N36" s="10"/>
      <c r="R36" s="2"/>
    </row>
    <row r="37" spans="1:18" ht="15.75" customHeight="1" x14ac:dyDescent="0.25">
      <c r="A37" s="19" t="s">
        <v>65</v>
      </c>
      <c r="B37" s="20">
        <f>DATE(2020,7,1)</f>
        <v>44013</v>
      </c>
      <c r="C37" s="21">
        <v>53105</v>
      </c>
      <c r="D37" s="21">
        <v>66822</v>
      </c>
      <c r="E37" s="23">
        <f t="shared" ref="E37:E45" si="10">(+C37-D37)/D37</f>
        <v>-0.20527670527670527</v>
      </c>
      <c r="F37" s="21">
        <f>+C37-28880</f>
        <v>24225</v>
      </c>
      <c r="G37" s="21">
        <f>+D37-35692</f>
        <v>31130</v>
      </c>
      <c r="H37" s="23">
        <f t="shared" ref="H37:H45" si="11">(+F37-G37)/G37</f>
        <v>-0.22181175714744619</v>
      </c>
      <c r="I37" s="24">
        <f t="shared" ref="I37:I47" si="12">K37/C37</f>
        <v>65.300001883061867</v>
      </c>
      <c r="J37" s="24">
        <f t="shared" ref="J37:J47" si="13">K37/F37</f>
        <v>143.14784726522188</v>
      </c>
      <c r="K37" s="21">
        <v>3467756.6</v>
      </c>
      <c r="L37" s="21">
        <v>3260452.77</v>
      </c>
      <c r="M37" s="25">
        <f t="shared" ref="M37:M45" si="14">(+K37-L37)/L37</f>
        <v>6.3581301317240088E-2</v>
      </c>
      <c r="N37" s="10"/>
      <c r="R37" s="2"/>
    </row>
    <row r="38" spans="1:18" ht="15.75" customHeight="1" x14ac:dyDescent="0.25">
      <c r="A38" s="19"/>
      <c r="B38" s="20">
        <f>DATE(2020,8,1)</f>
        <v>44044</v>
      </c>
      <c r="C38" s="21">
        <v>52610</v>
      </c>
      <c r="D38" s="21">
        <v>69025</v>
      </c>
      <c r="E38" s="23">
        <f t="shared" si="10"/>
        <v>-0.23781238681637087</v>
      </c>
      <c r="F38" s="21">
        <f>+C38-28661</f>
        <v>23949</v>
      </c>
      <c r="G38" s="21">
        <f>+D38-37871</f>
        <v>31154</v>
      </c>
      <c r="H38" s="23">
        <f t="shared" si="11"/>
        <v>-0.2312704628619118</v>
      </c>
      <c r="I38" s="24">
        <f t="shared" si="12"/>
        <v>62.65578787302794</v>
      </c>
      <c r="J38" s="24">
        <f t="shared" si="13"/>
        <v>137.6391916155163</v>
      </c>
      <c r="K38" s="21">
        <v>3296321</v>
      </c>
      <c r="L38" s="21">
        <v>3222586.84</v>
      </c>
      <c r="M38" s="25">
        <f t="shared" si="14"/>
        <v>2.2880426086516307E-2</v>
      </c>
      <c r="N38" s="10"/>
      <c r="R38" s="2"/>
    </row>
    <row r="39" spans="1:18" ht="15.75" customHeight="1" x14ac:dyDescent="0.25">
      <c r="A39" s="19"/>
      <c r="B39" s="20">
        <f>DATE(2020,9,1)</f>
        <v>44075</v>
      </c>
      <c r="C39" s="21">
        <v>50852</v>
      </c>
      <c r="D39" s="21">
        <v>65573</v>
      </c>
      <c r="E39" s="23">
        <f t="shared" si="10"/>
        <v>-0.22449788785018224</v>
      </c>
      <c r="F39" s="21">
        <f>+C39-27986</f>
        <v>22866</v>
      </c>
      <c r="G39" s="21">
        <f>+D39-35939</f>
        <v>29634</v>
      </c>
      <c r="H39" s="23">
        <f t="shared" si="11"/>
        <v>-0.22838631301882972</v>
      </c>
      <c r="I39" s="24">
        <f t="shared" si="12"/>
        <v>60.968254542594195</v>
      </c>
      <c r="J39" s="24">
        <f t="shared" si="13"/>
        <v>135.58810810810812</v>
      </c>
      <c r="K39" s="21">
        <v>3100357.68</v>
      </c>
      <c r="L39" s="21">
        <v>3112007.99</v>
      </c>
      <c r="M39" s="25">
        <f t="shared" si="14"/>
        <v>-3.743663267394135E-3</v>
      </c>
      <c r="N39" s="10"/>
      <c r="R39" s="2"/>
    </row>
    <row r="40" spans="1:18" ht="15.75" customHeight="1" x14ac:dyDescent="0.25">
      <c r="A40" s="19"/>
      <c r="B40" s="20">
        <f>DATE(2020,10,1)</f>
        <v>44105</v>
      </c>
      <c r="C40" s="21">
        <v>51263</v>
      </c>
      <c r="D40" s="21">
        <v>62861</v>
      </c>
      <c r="E40" s="23">
        <f t="shared" si="10"/>
        <v>-0.18450231463069311</v>
      </c>
      <c r="F40" s="21">
        <f>+C40-28269</f>
        <v>22994</v>
      </c>
      <c r="G40" s="21">
        <f>+D40-34390</f>
        <v>28471</v>
      </c>
      <c r="H40" s="23">
        <f t="shared" si="11"/>
        <v>-0.19237118471427067</v>
      </c>
      <c r="I40" s="24">
        <f t="shared" si="12"/>
        <v>65.903125646177557</v>
      </c>
      <c r="J40" s="24">
        <f t="shared" si="13"/>
        <v>146.92493389579892</v>
      </c>
      <c r="K40" s="21">
        <v>3378391.93</v>
      </c>
      <c r="L40" s="21">
        <v>3125609.18</v>
      </c>
      <c r="M40" s="25">
        <f t="shared" si="14"/>
        <v>8.0874714477259108E-2</v>
      </c>
      <c r="N40" s="10"/>
      <c r="R40" s="2"/>
    </row>
    <row r="41" spans="1:18" ht="15.75" customHeight="1" x14ac:dyDescent="0.25">
      <c r="A41" s="19"/>
      <c r="B41" s="20">
        <f>DATE(2020,11,1)</f>
        <v>44136</v>
      </c>
      <c r="C41" s="21">
        <v>45747</v>
      </c>
      <c r="D41" s="21">
        <v>64340</v>
      </c>
      <c r="E41" s="23">
        <f t="shared" si="10"/>
        <v>-0.2889804165371464</v>
      </c>
      <c r="F41" s="21">
        <f>+C41-25343</f>
        <v>20404</v>
      </c>
      <c r="G41" s="21">
        <f>+D41-35256</f>
        <v>29084</v>
      </c>
      <c r="H41" s="23">
        <f t="shared" si="11"/>
        <v>-0.29844588089671298</v>
      </c>
      <c r="I41" s="24">
        <f t="shared" si="12"/>
        <v>66.627814282903799</v>
      </c>
      <c r="J41" s="24">
        <f t="shared" si="13"/>
        <v>149.38358263085669</v>
      </c>
      <c r="K41" s="21">
        <v>3048022.62</v>
      </c>
      <c r="L41" s="21">
        <v>3209514.95</v>
      </c>
      <c r="M41" s="25">
        <f t="shared" si="14"/>
        <v>-5.0316740228924642E-2</v>
      </c>
      <c r="N41" s="10"/>
      <c r="R41" s="2"/>
    </row>
    <row r="42" spans="1:18" ht="15.75" customHeight="1" x14ac:dyDescent="0.25">
      <c r="A42" s="19"/>
      <c r="B42" s="20">
        <f>DATE(2020,12,1)</f>
        <v>44166</v>
      </c>
      <c r="C42" s="21">
        <v>50018</v>
      </c>
      <c r="D42" s="21">
        <v>68470</v>
      </c>
      <c r="E42" s="23">
        <f t="shared" si="10"/>
        <v>-0.26949028771724842</v>
      </c>
      <c r="F42" s="21">
        <f>+C42-28141</f>
        <v>21877</v>
      </c>
      <c r="G42" s="21">
        <f>+D42-38903</f>
        <v>29567</v>
      </c>
      <c r="H42" s="23">
        <f t="shared" si="11"/>
        <v>-0.26008725944465111</v>
      </c>
      <c r="I42" s="24">
        <f t="shared" si="12"/>
        <v>67.199838658083081</v>
      </c>
      <c r="J42" s="24">
        <f t="shared" si="13"/>
        <v>153.6408799195502</v>
      </c>
      <c r="K42" s="21">
        <v>3361201.53</v>
      </c>
      <c r="L42" s="21">
        <v>3422072.19</v>
      </c>
      <c r="M42" s="25">
        <f t="shared" si="14"/>
        <v>-1.7787660990284414E-2</v>
      </c>
      <c r="N42" s="10"/>
      <c r="R42" s="2"/>
    </row>
    <row r="43" spans="1:18" ht="15.75" customHeight="1" x14ac:dyDescent="0.25">
      <c r="A43" s="19"/>
      <c r="B43" s="20">
        <f>DATE(2021,1,1)</f>
        <v>44197</v>
      </c>
      <c r="C43" s="21">
        <v>63172</v>
      </c>
      <c r="D43" s="21">
        <v>64187</v>
      </c>
      <c r="E43" s="23">
        <f t="shared" si="10"/>
        <v>-1.5813170891301978E-2</v>
      </c>
      <c r="F43" s="21">
        <f>+C43-35403</f>
        <v>27769</v>
      </c>
      <c r="G43" s="21">
        <f>+D43-35543</f>
        <v>28644</v>
      </c>
      <c r="H43" s="23">
        <f t="shared" si="11"/>
        <v>-3.0547409579667645E-2</v>
      </c>
      <c r="I43" s="24">
        <f t="shared" si="12"/>
        <v>64.668286424365235</v>
      </c>
      <c r="J43" s="24">
        <f t="shared" si="13"/>
        <v>147.11458784976054</v>
      </c>
      <c r="K43" s="21">
        <v>4085224.99</v>
      </c>
      <c r="L43" s="21">
        <v>3230178.48</v>
      </c>
      <c r="M43" s="25">
        <f t="shared" si="14"/>
        <v>0.26470565490238801</v>
      </c>
      <c r="N43" s="10"/>
      <c r="R43" s="2"/>
    </row>
    <row r="44" spans="1:18" ht="15.75" customHeight="1" x14ac:dyDescent="0.25">
      <c r="A44" s="19"/>
      <c r="B44" s="20">
        <f>DATE(2021,2,1)</f>
        <v>44228</v>
      </c>
      <c r="C44" s="21">
        <v>41909</v>
      </c>
      <c r="D44" s="21">
        <v>69479</v>
      </c>
      <c r="E44" s="23">
        <f t="shared" si="10"/>
        <v>-0.3968105470717771</v>
      </c>
      <c r="F44" s="21">
        <f>+C44-23822</f>
        <v>18087</v>
      </c>
      <c r="G44" s="21">
        <f>+D44-38484</f>
        <v>30995</v>
      </c>
      <c r="H44" s="23">
        <f t="shared" si="11"/>
        <v>-0.41645426681722858</v>
      </c>
      <c r="I44" s="24">
        <f t="shared" si="12"/>
        <v>72.340380825121102</v>
      </c>
      <c r="J44" s="24">
        <f t="shared" si="13"/>
        <v>167.61834577320727</v>
      </c>
      <c r="K44" s="21">
        <v>3031713.02</v>
      </c>
      <c r="L44" s="21">
        <v>3514551.72</v>
      </c>
      <c r="M44" s="25">
        <f t="shared" si="14"/>
        <v>-0.1373827271490545</v>
      </c>
      <c r="N44" s="10"/>
      <c r="R44" s="2"/>
    </row>
    <row r="45" spans="1:18" ht="15.75" customHeight="1" x14ac:dyDescent="0.25">
      <c r="A45" s="19"/>
      <c r="B45" s="20">
        <f>DATE(2021,3,1)</f>
        <v>44256</v>
      </c>
      <c r="C45" s="21">
        <v>74273</v>
      </c>
      <c r="D45" s="21">
        <v>36516</v>
      </c>
      <c r="E45" s="23">
        <f t="shared" si="10"/>
        <v>1.0339851024208566</v>
      </c>
      <c r="F45" s="21">
        <f>+C45-40831</f>
        <v>33442</v>
      </c>
      <c r="G45" s="21">
        <f>+D45-19752</f>
        <v>16764</v>
      </c>
      <c r="H45" s="23">
        <f t="shared" si="11"/>
        <v>0.99486995943688861</v>
      </c>
      <c r="I45" s="24">
        <f t="shared" si="12"/>
        <v>71.982861201244063</v>
      </c>
      <c r="J45" s="24">
        <f t="shared" si="13"/>
        <v>159.87031427546199</v>
      </c>
      <c r="K45" s="21">
        <v>5346383.05</v>
      </c>
      <c r="L45" s="21">
        <v>1906619.08</v>
      </c>
      <c r="M45" s="25">
        <f t="shared" si="14"/>
        <v>1.8041170394665302</v>
      </c>
      <c r="N45" s="10"/>
      <c r="R45" s="2"/>
    </row>
    <row r="46" spans="1:18" ht="15.75" customHeight="1" x14ac:dyDescent="0.25">
      <c r="A46" s="19"/>
      <c r="B46" s="20">
        <f>DATE(2021,4,1)</f>
        <v>44287</v>
      </c>
      <c r="C46" s="21">
        <v>72861</v>
      </c>
      <c r="D46" s="21">
        <v>0</v>
      </c>
      <c r="E46" s="23">
        <v>1</v>
      </c>
      <c r="F46" s="21">
        <f>+C46-40086</f>
        <v>32775</v>
      </c>
      <c r="G46" s="21">
        <v>0</v>
      </c>
      <c r="H46" s="23">
        <v>1</v>
      </c>
      <c r="I46" s="24">
        <f t="shared" si="12"/>
        <v>73.902487476153212</v>
      </c>
      <c r="J46" s="24">
        <f t="shared" si="13"/>
        <v>164.29013394355454</v>
      </c>
      <c r="K46" s="21">
        <v>5384609.1399999997</v>
      </c>
      <c r="L46" s="21">
        <v>0</v>
      </c>
      <c r="M46" s="25">
        <v>1</v>
      </c>
      <c r="N46" s="10"/>
      <c r="R46" s="2"/>
    </row>
    <row r="47" spans="1:18" ht="15.75" customHeight="1" x14ac:dyDescent="0.25">
      <c r="A47" s="19"/>
      <c r="B47" s="20">
        <f>DATE(2021,5,1)</f>
        <v>44317</v>
      </c>
      <c r="C47" s="21">
        <v>69424</v>
      </c>
      <c r="D47" s="21">
        <v>0</v>
      </c>
      <c r="E47" s="23">
        <v>1</v>
      </c>
      <c r="F47" s="21">
        <f>+C47-38523</f>
        <v>30901</v>
      </c>
      <c r="G47" s="21">
        <v>0</v>
      </c>
      <c r="H47" s="23">
        <v>1</v>
      </c>
      <c r="I47" s="24">
        <f t="shared" si="12"/>
        <v>71.016351837981105</v>
      </c>
      <c r="J47" s="24">
        <f t="shared" si="13"/>
        <v>159.54950357593606</v>
      </c>
      <c r="K47" s="21">
        <v>4930239.21</v>
      </c>
      <c r="L47" s="21">
        <v>0</v>
      </c>
      <c r="M47" s="25">
        <v>1</v>
      </c>
      <c r="N47" s="10"/>
      <c r="R47" s="2"/>
    </row>
    <row r="48" spans="1:18" ht="15.75" customHeight="1" thickBot="1" x14ac:dyDescent="0.25">
      <c r="A48" s="38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Top="1" thickBot="1" x14ac:dyDescent="0.3">
      <c r="A49" s="39" t="s">
        <v>14</v>
      </c>
      <c r="B49" s="40"/>
      <c r="C49" s="41">
        <f>SUM(C37:C48)</f>
        <v>625234</v>
      </c>
      <c r="D49" s="41">
        <f>SUM(D37:D48)</f>
        <v>567273</v>
      </c>
      <c r="E49" s="280">
        <f>(+C49-D49)/D49</f>
        <v>0.10217479062109425</v>
      </c>
      <c r="F49" s="41">
        <f>SUM(F37:F48)</f>
        <v>279289</v>
      </c>
      <c r="G49" s="41">
        <f>SUM(G37:G48)</f>
        <v>255443</v>
      </c>
      <c r="H49" s="42">
        <f>(+F49-G49)/G49</f>
        <v>9.3351550052262144E-2</v>
      </c>
      <c r="I49" s="43">
        <f>K49/C49</f>
        <v>67.862945345262744</v>
      </c>
      <c r="J49" s="43">
        <f>K49/F49</f>
        <v>151.92227681720371</v>
      </c>
      <c r="K49" s="41">
        <f>SUM(K37:K48)</f>
        <v>42430220.770000003</v>
      </c>
      <c r="L49" s="41">
        <f>SUM(L37:L48)</f>
        <v>28003593.200000003</v>
      </c>
      <c r="M49" s="44">
        <f>(+K49-L49)/L49</f>
        <v>0.51517058782299407</v>
      </c>
      <c r="N49" s="10"/>
      <c r="R49" s="2"/>
    </row>
    <row r="50" spans="1:18" ht="15.75" customHeight="1" thickTop="1" x14ac:dyDescent="0.2">
      <c r="A50" s="38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 x14ac:dyDescent="0.25">
      <c r="A51" s="177" t="s">
        <v>59</v>
      </c>
      <c r="B51" s="20">
        <f>DATE(2020,7,1)</f>
        <v>44013</v>
      </c>
      <c r="C51" s="21">
        <v>226236</v>
      </c>
      <c r="D51" s="21">
        <v>438217</v>
      </c>
      <c r="E51" s="23">
        <f t="shared" ref="E51:E59" si="15">(+C51-D51)/D51</f>
        <v>-0.4837352270678682</v>
      </c>
      <c r="F51" s="21">
        <f>+C51-121061</f>
        <v>105175</v>
      </c>
      <c r="G51" s="21">
        <f>+D51-221917</f>
        <v>216300</v>
      </c>
      <c r="H51" s="23">
        <f t="shared" ref="H51:H59" si="16">(+F51-G51)/G51</f>
        <v>-0.5137540453074434</v>
      </c>
      <c r="I51" s="24">
        <f t="shared" ref="I51:I61" si="17">K51/C51</f>
        <v>64.441251392351347</v>
      </c>
      <c r="J51" s="24">
        <f t="shared" ref="J51:J61" si="18">K51/F51</f>
        <v>138.615934870454</v>
      </c>
      <c r="K51" s="21">
        <v>14578930.949999999</v>
      </c>
      <c r="L51" s="21">
        <v>20447051.25</v>
      </c>
      <c r="M51" s="25">
        <f t="shared" ref="M51:M59" si="19">(+K51-L51)/L51</f>
        <v>-0.2869910300635648</v>
      </c>
      <c r="N51" s="10"/>
      <c r="R51" s="2"/>
    </row>
    <row r="52" spans="1:18" ht="15.75" customHeight="1" x14ac:dyDescent="0.25">
      <c r="A52" s="177"/>
      <c r="B52" s="20">
        <f>DATE(2020,8,1)</f>
        <v>44044</v>
      </c>
      <c r="C52" s="21">
        <v>248866</v>
      </c>
      <c r="D52" s="21">
        <v>437029</v>
      </c>
      <c r="E52" s="23">
        <f t="shared" si="15"/>
        <v>-0.43055037537554713</v>
      </c>
      <c r="F52" s="21">
        <f>+C52-132898</f>
        <v>115968</v>
      </c>
      <c r="G52" s="21">
        <f>+D52-215022</f>
        <v>222007</v>
      </c>
      <c r="H52" s="23">
        <f t="shared" si="16"/>
        <v>-0.47763809249257905</v>
      </c>
      <c r="I52" s="24">
        <f t="shared" si="17"/>
        <v>60.671518688772274</v>
      </c>
      <c r="J52" s="24">
        <f t="shared" si="18"/>
        <v>130.20038433016003</v>
      </c>
      <c r="K52" s="21">
        <v>15099078.17</v>
      </c>
      <c r="L52" s="21">
        <v>21337482.579999998</v>
      </c>
      <c r="M52" s="25">
        <f t="shared" si="19"/>
        <v>-0.292368342263926</v>
      </c>
      <c r="N52" s="10"/>
      <c r="R52" s="2"/>
    </row>
    <row r="53" spans="1:18" ht="15.75" customHeight="1" x14ac:dyDescent="0.25">
      <c r="A53" s="177"/>
      <c r="B53" s="20">
        <f>DATE(2020,9,1)</f>
        <v>44075</v>
      </c>
      <c r="C53" s="21">
        <v>249571</v>
      </c>
      <c r="D53" s="21">
        <v>403849</v>
      </c>
      <c r="E53" s="23">
        <f t="shared" si="15"/>
        <v>-0.38201902196117854</v>
      </c>
      <c r="F53" s="21">
        <f>+C53-130815</f>
        <v>118756</v>
      </c>
      <c r="G53" s="21">
        <f>+D53-198275</f>
        <v>205574</v>
      </c>
      <c r="H53" s="23">
        <f t="shared" si="16"/>
        <v>-0.42231994318347649</v>
      </c>
      <c r="I53" s="24">
        <f t="shared" si="17"/>
        <v>59.832789787274962</v>
      </c>
      <c r="J53" s="24">
        <f t="shared" si="18"/>
        <v>125.74126090471218</v>
      </c>
      <c r="K53" s="21">
        <v>14932529.18</v>
      </c>
      <c r="L53" s="21">
        <v>18931793.91</v>
      </c>
      <c r="M53" s="25">
        <f t="shared" si="19"/>
        <v>-0.21124594684540385</v>
      </c>
      <c r="N53" s="10"/>
      <c r="R53" s="2"/>
    </row>
    <row r="54" spans="1:18" ht="15.75" customHeight="1" x14ac:dyDescent="0.25">
      <c r="A54" s="177"/>
      <c r="B54" s="20">
        <f>DATE(2020,10,1)</f>
        <v>44105</v>
      </c>
      <c r="C54" s="21">
        <v>272084</v>
      </c>
      <c r="D54" s="21">
        <v>396586</v>
      </c>
      <c r="E54" s="23">
        <f t="shared" si="15"/>
        <v>-0.3139344303631495</v>
      </c>
      <c r="F54" s="21">
        <f>+C54-143559</f>
        <v>128525</v>
      </c>
      <c r="G54" s="21">
        <f>+D54-195500</f>
        <v>201086</v>
      </c>
      <c r="H54" s="23">
        <f t="shared" si="16"/>
        <v>-0.36084560834667756</v>
      </c>
      <c r="I54" s="24">
        <f t="shared" si="17"/>
        <v>58.308031490275063</v>
      </c>
      <c r="J54" s="24">
        <f t="shared" si="18"/>
        <v>123.43654884263762</v>
      </c>
      <c r="K54" s="21">
        <v>15864682.439999999</v>
      </c>
      <c r="L54" s="21">
        <v>19033251.550000001</v>
      </c>
      <c r="M54" s="25">
        <f t="shared" si="19"/>
        <v>-0.16647544964538658</v>
      </c>
      <c r="N54" s="10"/>
      <c r="R54" s="2"/>
    </row>
    <row r="55" spans="1:18" ht="15.75" customHeight="1" x14ac:dyDescent="0.25">
      <c r="A55" s="177"/>
      <c r="B55" s="20">
        <f>DATE(2020,11,1)</f>
        <v>44136</v>
      </c>
      <c r="C55" s="21">
        <v>232899</v>
      </c>
      <c r="D55" s="21">
        <v>419787</v>
      </c>
      <c r="E55" s="23">
        <f t="shared" si="15"/>
        <v>-0.44519720715505723</v>
      </c>
      <c r="F55" s="21">
        <f>+C55-123557</f>
        <v>109342</v>
      </c>
      <c r="G55" s="21">
        <f>+D55-213343</f>
        <v>206444</v>
      </c>
      <c r="H55" s="23">
        <f t="shared" si="16"/>
        <v>-0.47035515684640872</v>
      </c>
      <c r="I55" s="24">
        <f t="shared" si="17"/>
        <v>58.263514184260124</v>
      </c>
      <c r="J55" s="24">
        <f t="shared" si="18"/>
        <v>124.10157295458286</v>
      </c>
      <c r="K55" s="21">
        <v>13569514.189999999</v>
      </c>
      <c r="L55" s="21">
        <v>20240058.129999999</v>
      </c>
      <c r="M55" s="25">
        <f t="shared" si="19"/>
        <v>-0.32957138251064894</v>
      </c>
      <c r="N55" s="10"/>
      <c r="R55" s="2"/>
    </row>
    <row r="56" spans="1:18" ht="15.75" customHeight="1" x14ac:dyDescent="0.25">
      <c r="A56" s="177"/>
      <c r="B56" s="20">
        <f>DATE(2020,12,1)</f>
        <v>44166</v>
      </c>
      <c r="C56" s="21">
        <v>226657</v>
      </c>
      <c r="D56" s="21">
        <v>398020</v>
      </c>
      <c r="E56" s="23">
        <f t="shared" si="15"/>
        <v>-0.43053866639867344</v>
      </c>
      <c r="F56" s="21">
        <f>+C56-116839</f>
        <v>109818</v>
      </c>
      <c r="G56" s="21">
        <f>+D56-203674</f>
        <v>194346</v>
      </c>
      <c r="H56" s="23">
        <f t="shared" si="16"/>
        <v>-0.43493563026766696</v>
      </c>
      <c r="I56" s="24">
        <f t="shared" si="17"/>
        <v>64.91430231583405</v>
      </c>
      <c r="J56" s="24">
        <f t="shared" si="18"/>
        <v>133.9787741535996</v>
      </c>
      <c r="K56" s="21">
        <v>14713281.02</v>
      </c>
      <c r="L56" s="21">
        <v>19602359.640000001</v>
      </c>
      <c r="M56" s="25">
        <f t="shared" si="19"/>
        <v>-0.24941275998342008</v>
      </c>
      <c r="N56" s="10"/>
      <c r="R56" s="2"/>
    </row>
    <row r="57" spans="1:18" ht="15.75" customHeight="1" x14ac:dyDescent="0.25">
      <c r="A57" s="177"/>
      <c r="B57" s="20">
        <f>DATE(2021,1,1)</f>
        <v>44197</v>
      </c>
      <c r="C57" s="21">
        <v>237906</v>
      </c>
      <c r="D57" s="21">
        <v>392807</v>
      </c>
      <c r="E57" s="23">
        <f t="shared" si="15"/>
        <v>-0.39434378715246926</v>
      </c>
      <c r="F57" s="21">
        <f>+C57-125011</f>
        <v>112895</v>
      </c>
      <c r="G57" s="21">
        <f>+D57-203293</f>
        <v>189514</v>
      </c>
      <c r="H57" s="23">
        <f t="shared" si="16"/>
        <v>-0.40429203119558449</v>
      </c>
      <c r="I57" s="24">
        <f t="shared" si="17"/>
        <v>61.053592679461637</v>
      </c>
      <c r="J57" s="24">
        <f t="shared" si="18"/>
        <v>128.65951565614066</v>
      </c>
      <c r="K57" s="21">
        <v>14525016.02</v>
      </c>
      <c r="L57" s="21">
        <v>19127515.219999999</v>
      </c>
      <c r="M57" s="25">
        <f t="shared" si="19"/>
        <v>-0.24062190760604185</v>
      </c>
      <c r="N57" s="10"/>
      <c r="R57" s="2"/>
    </row>
    <row r="58" spans="1:18" ht="15.75" customHeight="1" x14ac:dyDescent="0.25">
      <c r="A58" s="177"/>
      <c r="B58" s="20">
        <f>DATE(2021,2,1)</f>
        <v>44228</v>
      </c>
      <c r="C58" s="21">
        <v>199774</v>
      </c>
      <c r="D58" s="21">
        <v>433656</v>
      </c>
      <c r="E58" s="23">
        <f t="shared" si="15"/>
        <v>-0.53932610179497109</v>
      </c>
      <c r="F58" s="21">
        <f>+C58-106979</f>
        <v>92795</v>
      </c>
      <c r="G58" s="21">
        <f>+D58-224157</f>
        <v>209499</v>
      </c>
      <c r="H58" s="23">
        <f t="shared" si="16"/>
        <v>-0.55706232487983232</v>
      </c>
      <c r="I58" s="24">
        <f t="shared" si="17"/>
        <v>59.775344138876932</v>
      </c>
      <c r="J58" s="24">
        <f t="shared" si="18"/>
        <v>128.6875327334447</v>
      </c>
      <c r="K58" s="21">
        <v>11941559.6</v>
      </c>
      <c r="L58" s="21">
        <v>20615850.09</v>
      </c>
      <c r="M58" s="25">
        <f t="shared" si="19"/>
        <v>-0.4207583219771075</v>
      </c>
      <c r="N58" s="10"/>
      <c r="R58" s="2"/>
    </row>
    <row r="59" spans="1:18" ht="15.75" customHeight="1" x14ac:dyDescent="0.25">
      <c r="A59" s="177"/>
      <c r="B59" s="20">
        <f>DATE(2021,3,1)</f>
        <v>44256</v>
      </c>
      <c r="C59" s="21">
        <v>270587</v>
      </c>
      <c r="D59" s="21">
        <v>188413</v>
      </c>
      <c r="E59" s="23">
        <f t="shared" si="15"/>
        <v>0.43613763381507648</v>
      </c>
      <c r="F59" s="21">
        <f>+C59-144521</f>
        <v>126066</v>
      </c>
      <c r="G59" s="21">
        <f>+D59-94334</f>
        <v>94079</v>
      </c>
      <c r="H59" s="23">
        <f t="shared" si="16"/>
        <v>0.34000148811105563</v>
      </c>
      <c r="I59" s="24">
        <f t="shared" si="17"/>
        <v>64.945731834862713</v>
      </c>
      <c r="J59" s="24">
        <f t="shared" si="18"/>
        <v>139.39897149112369</v>
      </c>
      <c r="K59" s="21">
        <v>17573470.739999998</v>
      </c>
      <c r="L59" s="21">
        <v>9518141.2899999991</v>
      </c>
      <c r="M59" s="25">
        <f t="shared" si="19"/>
        <v>0.8463132879171622</v>
      </c>
      <c r="N59" s="10"/>
      <c r="R59" s="2"/>
    </row>
    <row r="60" spans="1:18" ht="15.75" customHeight="1" x14ac:dyDescent="0.25">
      <c r="A60" s="177"/>
      <c r="B60" s="20">
        <f>DATE(2021,4,1)</f>
        <v>44287</v>
      </c>
      <c r="C60" s="21">
        <v>290986</v>
      </c>
      <c r="D60" s="21">
        <v>0</v>
      </c>
      <c r="E60" s="23">
        <v>1</v>
      </c>
      <c r="F60" s="21">
        <f>+C60-160080</f>
        <v>130906</v>
      </c>
      <c r="G60" s="21">
        <v>0</v>
      </c>
      <c r="H60" s="23">
        <v>1</v>
      </c>
      <c r="I60" s="24">
        <f t="shared" si="17"/>
        <v>60.901495226574468</v>
      </c>
      <c r="J60" s="24">
        <f t="shared" si="18"/>
        <v>135.37563205659021</v>
      </c>
      <c r="K60" s="21">
        <v>17721482.489999998</v>
      </c>
      <c r="L60" s="21">
        <v>0</v>
      </c>
      <c r="M60" s="25">
        <v>1</v>
      </c>
      <c r="N60" s="10"/>
      <c r="R60" s="2"/>
    </row>
    <row r="61" spans="1:18" ht="15.75" customHeight="1" x14ac:dyDescent="0.25">
      <c r="A61" s="177"/>
      <c r="B61" s="20">
        <f>DATE(2021,5,1)</f>
        <v>44317</v>
      </c>
      <c r="C61" s="21">
        <v>327438</v>
      </c>
      <c r="D61" s="21">
        <v>0</v>
      </c>
      <c r="E61" s="23">
        <v>1</v>
      </c>
      <c r="F61" s="21">
        <f>+C61-175437</f>
        <v>152001</v>
      </c>
      <c r="G61" s="21">
        <v>0</v>
      </c>
      <c r="H61" s="23">
        <v>1</v>
      </c>
      <c r="I61" s="24">
        <f t="shared" si="17"/>
        <v>61.476134596473223</v>
      </c>
      <c r="J61" s="24">
        <f t="shared" si="18"/>
        <v>132.43085611278872</v>
      </c>
      <c r="K61" s="21">
        <v>20129622.559999999</v>
      </c>
      <c r="L61" s="21">
        <v>0</v>
      </c>
      <c r="M61" s="25">
        <v>1</v>
      </c>
      <c r="N61" s="10"/>
      <c r="R61" s="2"/>
    </row>
    <row r="62" spans="1:18" ht="15.75" thickBot="1" x14ac:dyDescent="0.25">
      <c r="A62" s="38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Top="1" thickBot="1" x14ac:dyDescent="0.3">
      <c r="A63" s="39" t="s">
        <v>14</v>
      </c>
      <c r="B63" s="40"/>
      <c r="C63" s="41">
        <f>SUM(C51:C62)</f>
        <v>2783004</v>
      </c>
      <c r="D63" s="41">
        <f>SUM(D51:D62)</f>
        <v>3508364</v>
      </c>
      <c r="E63" s="280">
        <f>(+C63-D63)/D63</f>
        <v>-0.20675163694531126</v>
      </c>
      <c r="F63" s="41">
        <f>SUM(F51:F62)</f>
        <v>1302247</v>
      </c>
      <c r="G63" s="41">
        <f>SUM(G51:G62)</f>
        <v>1738849</v>
      </c>
      <c r="H63" s="42">
        <f>(+F63-G63)/G63</f>
        <v>-0.25108678211851632</v>
      </c>
      <c r="I63" s="43">
        <f>K63/C63</f>
        <v>61.318333484249386</v>
      </c>
      <c r="J63" s="43">
        <f>K63/F63</f>
        <v>131.04208906605274</v>
      </c>
      <c r="K63" s="41">
        <f>SUM(K51:K62)</f>
        <v>170649167.35999998</v>
      </c>
      <c r="L63" s="41">
        <f>SUM(L51:L62)</f>
        <v>168853503.65999997</v>
      </c>
      <c r="M63" s="44">
        <f>(+K63-L63)/L63</f>
        <v>1.0634447382363651E-2</v>
      </c>
      <c r="N63" s="10"/>
      <c r="R63" s="2"/>
    </row>
    <row r="64" spans="1:18" ht="15.75" thickTop="1" x14ac:dyDescent="0.2">
      <c r="A64" s="38"/>
      <c r="B64" s="45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x14ac:dyDescent="0.25">
      <c r="A65" s="19" t="s">
        <v>63</v>
      </c>
      <c r="B65" s="20">
        <f>DATE(2020,7,1)</f>
        <v>44013</v>
      </c>
      <c r="C65" s="21">
        <v>260785</v>
      </c>
      <c r="D65" s="21">
        <v>288759</v>
      </c>
      <c r="E65" s="23">
        <f t="shared" ref="E65:E73" si="20">(+C65-D65)/D65</f>
        <v>-9.6876634148199706E-2</v>
      </c>
      <c r="F65" s="21">
        <f>+C65-121006</f>
        <v>139779</v>
      </c>
      <c r="G65" s="21">
        <f>+D65-131177</f>
        <v>157582</v>
      </c>
      <c r="H65" s="23">
        <f t="shared" ref="H65:H73" si="21">(+F65-G65)/G65</f>
        <v>-0.11297610133137033</v>
      </c>
      <c r="I65" s="24">
        <f t="shared" ref="I65:I75" si="22">K65/C65</f>
        <v>60.581983204555478</v>
      </c>
      <c r="J65" s="24">
        <f t="shared" ref="J65:J75" si="23">K65/F65</f>
        <v>113.02751121413088</v>
      </c>
      <c r="K65" s="21">
        <v>15798872.49</v>
      </c>
      <c r="L65" s="21">
        <v>14077474.74</v>
      </c>
      <c r="M65" s="25">
        <f t="shared" ref="M65:M73" si="24">(+K65-L65)/L65</f>
        <v>0.12228029400108162</v>
      </c>
      <c r="N65" s="10"/>
      <c r="R65" s="2"/>
    </row>
    <row r="66" spans="1:18" ht="15.75" x14ac:dyDescent="0.25">
      <c r="A66" s="19"/>
      <c r="B66" s="20">
        <f>DATE(2020,8,1)</f>
        <v>44044</v>
      </c>
      <c r="C66" s="21">
        <v>267898</v>
      </c>
      <c r="D66" s="21">
        <v>292957</v>
      </c>
      <c r="E66" s="23">
        <f t="shared" si="20"/>
        <v>-8.5538150650095401E-2</v>
      </c>
      <c r="F66" s="21">
        <f>+C66-127416</f>
        <v>140482</v>
      </c>
      <c r="G66" s="21">
        <f>+D66-131852</f>
        <v>161105</v>
      </c>
      <c r="H66" s="23">
        <f t="shared" si="21"/>
        <v>-0.12800968312591168</v>
      </c>
      <c r="I66" s="24">
        <f t="shared" si="22"/>
        <v>58.202546790196273</v>
      </c>
      <c r="J66" s="24">
        <f t="shared" si="23"/>
        <v>110.99177033356587</v>
      </c>
      <c r="K66" s="21">
        <v>15592345.880000001</v>
      </c>
      <c r="L66" s="21">
        <v>15580367.26</v>
      </c>
      <c r="M66" s="25">
        <f t="shared" si="24"/>
        <v>7.6882783313806454E-4</v>
      </c>
      <c r="N66" s="10"/>
      <c r="R66" s="2"/>
    </row>
    <row r="67" spans="1:18" ht="15.75" x14ac:dyDescent="0.25">
      <c r="A67" s="19"/>
      <c r="B67" s="20">
        <f>DATE(2020,9,1)</f>
        <v>44075</v>
      </c>
      <c r="C67" s="21">
        <v>245708</v>
      </c>
      <c r="D67" s="21">
        <v>276713</v>
      </c>
      <c r="E67" s="23">
        <f t="shared" si="20"/>
        <v>-0.11204750047883547</v>
      </c>
      <c r="F67" s="21">
        <f>+C67-116526</f>
        <v>129182</v>
      </c>
      <c r="G67" s="21">
        <f>+D67-125818</f>
        <v>150895</v>
      </c>
      <c r="H67" s="23">
        <f t="shared" si="21"/>
        <v>-0.1438947612578283</v>
      </c>
      <c r="I67" s="24">
        <f t="shared" si="22"/>
        <v>59.831889071580903</v>
      </c>
      <c r="J67" s="24">
        <f t="shared" si="23"/>
        <v>113.8020296945395</v>
      </c>
      <c r="K67" s="21">
        <v>14701173.800000001</v>
      </c>
      <c r="L67" s="21">
        <v>14642977.08</v>
      </c>
      <c r="M67" s="25">
        <f t="shared" si="24"/>
        <v>3.9743775928931984E-3</v>
      </c>
      <c r="N67" s="10"/>
      <c r="R67" s="2"/>
    </row>
    <row r="68" spans="1:18" ht="15.75" x14ac:dyDescent="0.25">
      <c r="A68" s="19"/>
      <c r="B68" s="20">
        <f>DATE(2020,10,1)</f>
        <v>44105</v>
      </c>
      <c r="C68" s="21">
        <v>252286</v>
      </c>
      <c r="D68" s="21">
        <v>265218</v>
      </c>
      <c r="E68" s="23">
        <f t="shared" si="20"/>
        <v>-4.8759888092060118E-2</v>
      </c>
      <c r="F68" s="21">
        <f>+C68-116651</f>
        <v>135635</v>
      </c>
      <c r="G68" s="21">
        <f>+D68-120794</f>
        <v>144424</v>
      </c>
      <c r="H68" s="23">
        <f t="shared" si="21"/>
        <v>-6.0855536475931976E-2</v>
      </c>
      <c r="I68" s="24">
        <f t="shared" si="22"/>
        <v>59.269037441633706</v>
      </c>
      <c r="J68" s="24">
        <f t="shared" si="23"/>
        <v>110.24255081652966</v>
      </c>
      <c r="K68" s="21">
        <v>14952748.380000001</v>
      </c>
      <c r="L68" s="21">
        <v>14675391.32</v>
      </c>
      <c r="M68" s="25">
        <f t="shared" si="24"/>
        <v>1.8899466048446095E-2</v>
      </c>
      <c r="N68" s="10"/>
      <c r="R68" s="2"/>
    </row>
    <row r="69" spans="1:18" ht="15.75" x14ac:dyDescent="0.25">
      <c r="A69" s="19"/>
      <c r="B69" s="20">
        <f>DATE(2020,11,1)</f>
        <v>44136</v>
      </c>
      <c r="C69" s="21">
        <v>229647</v>
      </c>
      <c r="D69" s="21">
        <v>288764</v>
      </c>
      <c r="E69" s="23">
        <f t="shared" si="20"/>
        <v>-0.20472427310883629</v>
      </c>
      <c r="F69" s="21">
        <f>+C69-106423</f>
        <v>123224</v>
      </c>
      <c r="G69" s="21">
        <f>+D69-130395</f>
        <v>158369</v>
      </c>
      <c r="H69" s="23">
        <f t="shared" si="21"/>
        <v>-0.22191843100606812</v>
      </c>
      <c r="I69" s="24">
        <f t="shared" si="22"/>
        <v>54.453050290228049</v>
      </c>
      <c r="J69" s="24">
        <f t="shared" si="23"/>
        <v>101.48168895669676</v>
      </c>
      <c r="K69" s="21">
        <v>12504979.640000001</v>
      </c>
      <c r="L69" s="21">
        <v>14546056.49</v>
      </c>
      <c r="M69" s="25">
        <f t="shared" si="24"/>
        <v>-0.1403182265518618</v>
      </c>
      <c r="N69" s="10"/>
      <c r="R69" s="2"/>
    </row>
    <row r="70" spans="1:18" ht="15.75" x14ac:dyDescent="0.25">
      <c r="A70" s="19"/>
      <c r="B70" s="20">
        <f>DATE(2020,12,1)</f>
        <v>44166</v>
      </c>
      <c r="C70" s="21">
        <v>237315</v>
      </c>
      <c r="D70" s="21">
        <v>302309</v>
      </c>
      <c r="E70" s="23">
        <f t="shared" si="20"/>
        <v>-0.21499194532746296</v>
      </c>
      <c r="F70" s="21">
        <f>+C70-109898</f>
        <v>127417</v>
      </c>
      <c r="G70" s="21">
        <f>+D70-138214</f>
        <v>164095</v>
      </c>
      <c r="H70" s="23">
        <f t="shared" si="21"/>
        <v>-0.22351686523050671</v>
      </c>
      <c r="I70" s="24">
        <f t="shared" si="22"/>
        <v>55.607328782419991</v>
      </c>
      <c r="J70" s="24">
        <f t="shared" si="23"/>
        <v>103.56901535901802</v>
      </c>
      <c r="K70" s="21">
        <v>13196453.23</v>
      </c>
      <c r="L70" s="21">
        <v>14887793.43</v>
      </c>
      <c r="M70" s="25">
        <f t="shared" si="24"/>
        <v>-0.11360583473651806</v>
      </c>
      <c r="N70" s="10"/>
      <c r="R70" s="2"/>
    </row>
    <row r="71" spans="1:18" ht="15.75" x14ac:dyDescent="0.25">
      <c r="A71" s="19"/>
      <c r="B71" s="20">
        <f>DATE(2021,1,1)</f>
        <v>44197</v>
      </c>
      <c r="C71" s="21">
        <v>253729</v>
      </c>
      <c r="D71" s="21">
        <v>268298</v>
      </c>
      <c r="E71" s="23">
        <f t="shared" si="20"/>
        <v>-5.4301560205443203E-2</v>
      </c>
      <c r="F71" s="21">
        <f>+C71-120009</f>
        <v>133720</v>
      </c>
      <c r="G71" s="21">
        <f>+D71-120188</f>
        <v>148110</v>
      </c>
      <c r="H71" s="23">
        <f t="shared" si="21"/>
        <v>-9.7157518060900686E-2</v>
      </c>
      <c r="I71" s="24">
        <f t="shared" si="22"/>
        <v>59.379527290928507</v>
      </c>
      <c r="J71" s="24">
        <f t="shared" si="23"/>
        <v>112.67056595871972</v>
      </c>
      <c r="K71" s="21">
        <v>15066308.08</v>
      </c>
      <c r="L71" s="21">
        <v>14430034.130000001</v>
      </c>
      <c r="M71" s="25">
        <f t="shared" si="24"/>
        <v>4.4093724537850362E-2</v>
      </c>
      <c r="N71" s="10"/>
      <c r="R71" s="2"/>
    </row>
    <row r="72" spans="1:18" ht="15.75" x14ac:dyDescent="0.25">
      <c r="A72" s="19"/>
      <c r="B72" s="20">
        <f>DATE(2021,2,1)</f>
        <v>44228</v>
      </c>
      <c r="C72" s="21">
        <v>221549</v>
      </c>
      <c r="D72" s="21">
        <v>290524</v>
      </c>
      <c r="E72" s="23">
        <f t="shared" si="20"/>
        <v>-0.23741584172047747</v>
      </c>
      <c r="F72" s="21">
        <f>+C72-106025</f>
        <v>115524</v>
      </c>
      <c r="G72" s="21">
        <f>+D72-132889</f>
        <v>157635</v>
      </c>
      <c r="H72" s="23">
        <f t="shared" si="21"/>
        <v>-0.26714244932914644</v>
      </c>
      <c r="I72" s="24">
        <f t="shared" si="22"/>
        <v>59.652362095969742</v>
      </c>
      <c r="J72" s="24">
        <f t="shared" si="23"/>
        <v>114.39978852879055</v>
      </c>
      <c r="K72" s="21">
        <v>13215921.17</v>
      </c>
      <c r="L72" s="21">
        <v>15353247.609999999</v>
      </c>
      <c r="M72" s="25">
        <f t="shared" si="24"/>
        <v>-0.13921005472535328</v>
      </c>
      <c r="N72" s="10"/>
      <c r="R72" s="2"/>
    </row>
    <row r="73" spans="1:18" ht="15.75" x14ac:dyDescent="0.25">
      <c r="A73" s="19"/>
      <c r="B73" s="20">
        <f>DATE(2021,3,1)</f>
        <v>44256</v>
      </c>
      <c r="C73" s="21">
        <v>295514</v>
      </c>
      <c r="D73" s="21">
        <v>144177</v>
      </c>
      <c r="E73" s="23">
        <f t="shared" si="20"/>
        <v>1.0496611803547029</v>
      </c>
      <c r="F73" s="21">
        <f>+C73-144217</f>
        <v>151297</v>
      </c>
      <c r="G73" s="21">
        <f>+D73-66448</f>
        <v>77729</v>
      </c>
      <c r="H73" s="23">
        <f t="shared" si="21"/>
        <v>0.94646785626986063</v>
      </c>
      <c r="I73" s="24">
        <f t="shared" si="22"/>
        <v>62.187900945471277</v>
      </c>
      <c r="J73" s="24">
        <f t="shared" si="23"/>
        <v>121.46569568464675</v>
      </c>
      <c r="K73" s="21">
        <v>18377395.359999999</v>
      </c>
      <c r="L73" s="21">
        <v>7243170.3700000001</v>
      </c>
      <c r="M73" s="25">
        <f t="shared" si="24"/>
        <v>1.5372032440540258</v>
      </c>
      <c r="N73" s="10"/>
      <c r="R73" s="2"/>
    </row>
    <row r="74" spans="1:18" ht="15.75" x14ac:dyDescent="0.25">
      <c r="A74" s="19"/>
      <c r="B74" s="20">
        <f>DATE(2021,4,1)</f>
        <v>44287</v>
      </c>
      <c r="C74" s="21">
        <v>274219</v>
      </c>
      <c r="D74" s="21">
        <v>0</v>
      </c>
      <c r="E74" s="23">
        <v>1</v>
      </c>
      <c r="F74" s="21">
        <f>+C74-131927</f>
        <v>142292</v>
      </c>
      <c r="G74" s="21">
        <v>0</v>
      </c>
      <c r="H74" s="23">
        <v>1</v>
      </c>
      <c r="I74" s="24">
        <f t="shared" si="22"/>
        <v>62.802544134432701</v>
      </c>
      <c r="J74" s="24">
        <f t="shared" si="23"/>
        <v>121.03035202260142</v>
      </c>
      <c r="K74" s="21">
        <v>17221650.850000001</v>
      </c>
      <c r="L74" s="21">
        <v>0</v>
      </c>
      <c r="M74" s="25">
        <v>1</v>
      </c>
      <c r="N74" s="10"/>
      <c r="R74" s="2"/>
    </row>
    <row r="75" spans="1:18" ht="15.75" x14ac:dyDescent="0.25">
      <c r="A75" s="19"/>
      <c r="B75" s="20">
        <f>DATE(2021,5,1)</f>
        <v>44317</v>
      </c>
      <c r="C75" s="21">
        <v>276845</v>
      </c>
      <c r="D75" s="21">
        <v>0</v>
      </c>
      <c r="E75" s="23">
        <v>1</v>
      </c>
      <c r="F75" s="21">
        <f>+C75-135056</f>
        <v>141789</v>
      </c>
      <c r="G75" s="21">
        <v>0</v>
      </c>
      <c r="H75" s="23">
        <v>1</v>
      </c>
      <c r="I75" s="24">
        <f t="shared" si="22"/>
        <v>61.634421029818128</v>
      </c>
      <c r="J75" s="24">
        <f t="shared" si="23"/>
        <v>120.34206666243502</v>
      </c>
      <c r="K75" s="21">
        <v>17063181.289999999</v>
      </c>
      <c r="L75" s="21">
        <v>0</v>
      </c>
      <c r="M75" s="25">
        <v>1</v>
      </c>
      <c r="N75" s="10"/>
      <c r="R75" s="2"/>
    </row>
    <row r="76" spans="1:18" ht="15.75" thickBot="1" x14ac:dyDescent="0.25">
      <c r="A76" s="38"/>
      <c r="B76" s="20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Top="1" thickBot="1" x14ac:dyDescent="0.3">
      <c r="A77" s="39" t="s">
        <v>14</v>
      </c>
      <c r="B77" s="40"/>
      <c r="C77" s="41">
        <f>SUM(C65:C76)</f>
        <v>2815495</v>
      </c>
      <c r="D77" s="41">
        <f>SUM(D65:D76)</f>
        <v>2417719</v>
      </c>
      <c r="E77" s="281">
        <f>(+C77-D77)/D77</f>
        <v>0.16452532324889699</v>
      </c>
      <c r="F77" s="47">
        <f>SUM(F65:F76)</f>
        <v>1480341</v>
      </c>
      <c r="G77" s="48">
        <f>SUM(G65:G76)</f>
        <v>1319944</v>
      </c>
      <c r="H77" s="49">
        <f>(+F77-G77)/G77</f>
        <v>0.1215180340984163</v>
      </c>
      <c r="I77" s="50">
        <f>K77/C77</f>
        <v>59.560052555589685</v>
      </c>
      <c r="J77" s="51">
        <f>K77/F77</f>
        <v>113.27865010156442</v>
      </c>
      <c r="K77" s="48">
        <f>SUM(K65:K76)</f>
        <v>167691030.16999999</v>
      </c>
      <c r="L77" s="47">
        <f>SUM(L65:L76)</f>
        <v>125436512.42999999</v>
      </c>
      <c r="M77" s="44">
        <f>(+K77-L77)/L77</f>
        <v>0.33685979402193744</v>
      </c>
      <c r="N77" s="10"/>
      <c r="R77" s="2"/>
    </row>
    <row r="78" spans="1:18" ht="15.75" customHeight="1" thickTop="1" x14ac:dyDescent="0.25">
      <c r="A78" s="273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5.75" x14ac:dyDescent="0.25">
      <c r="A79" s="274" t="s">
        <v>64</v>
      </c>
      <c r="B79" s="20">
        <f>DATE(2020,7,1)</f>
        <v>44013</v>
      </c>
      <c r="C79" s="21">
        <v>75978</v>
      </c>
      <c r="D79" s="21">
        <v>110928</v>
      </c>
      <c r="E79" s="23">
        <f t="shared" ref="E79:E87" si="25">(+C79-D79)/D79</f>
        <v>-0.31506923409779314</v>
      </c>
      <c r="F79" s="21">
        <f>+C79-36462</f>
        <v>39516</v>
      </c>
      <c r="G79" s="21">
        <f>+D79-54910</f>
        <v>56018</v>
      </c>
      <c r="H79" s="23">
        <f t="shared" ref="H79:H87" si="26">(+F79-G79)/G79</f>
        <v>-0.29458388375165123</v>
      </c>
      <c r="I79" s="24">
        <f t="shared" ref="I79:I89" si="27">K79/C79</f>
        <v>65.902360814972752</v>
      </c>
      <c r="J79" s="24">
        <f t="shared" ref="J79:J89" si="28">K79/F79</f>
        <v>126.71144776799272</v>
      </c>
      <c r="K79" s="21">
        <v>5007129.57</v>
      </c>
      <c r="L79" s="21">
        <v>4456959.1900000004</v>
      </c>
      <c r="M79" s="25">
        <f t="shared" ref="M79:M87" si="29">(+K79-L79)/L79</f>
        <v>0.12344074884831957</v>
      </c>
      <c r="N79" s="10"/>
      <c r="R79" s="2"/>
    </row>
    <row r="80" spans="1:18" ht="15.75" x14ac:dyDescent="0.25">
      <c r="A80" s="274"/>
      <c r="B80" s="20">
        <f>DATE(2020,8,1)</f>
        <v>44044</v>
      </c>
      <c r="C80" s="21">
        <v>75051</v>
      </c>
      <c r="D80" s="21">
        <v>114308</v>
      </c>
      <c r="E80" s="23">
        <f t="shared" si="25"/>
        <v>-0.34343178080274345</v>
      </c>
      <c r="F80" s="21">
        <f>+C80-37094</f>
        <v>37957</v>
      </c>
      <c r="G80" s="21">
        <f>+D80-54234</f>
        <v>60074</v>
      </c>
      <c r="H80" s="23">
        <f t="shared" si="26"/>
        <v>-0.36816259946066515</v>
      </c>
      <c r="I80" s="24">
        <f t="shared" si="27"/>
        <v>66.127390707652125</v>
      </c>
      <c r="J80" s="24">
        <f t="shared" si="28"/>
        <v>130.75129225175857</v>
      </c>
      <c r="K80" s="21">
        <v>4962926.8</v>
      </c>
      <c r="L80" s="21">
        <v>5215749.95</v>
      </c>
      <c r="M80" s="25">
        <f t="shared" si="29"/>
        <v>-4.8473019685309177E-2</v>
      </c>
      <c r="N80" s="10"/>
      <c r="R80" s="2"/>
    </row>
    <row r="81" spans="1:18" ht="15.75" x14ac:dyDescent="0.25">
      <c r="A81" s="274"/>
      <c r="B81" s="20">
        <f>DATE(2020,9,1)</f>
        <v>44075</v>
      </c>
      <c r="C81" s="21">
        <v>76058</v>
      </c>
      <c r="D81" s="21">
        <v>108669</v>
      </c>
      <c r="E81" s="23">
        <f t="shared" si="25"/>
        <v>-0.30009478324085065</v>
      </c>
      <c r="F81" s="21">
        <f>+C81-37383</f>
        <v>38675</v>
      </c>
      <c r="G81" s="21">
        <f>+D81-53294</f>
        <v>55375</v>
      </c>
      <c r="H81" s="23">
        <f t="shared" si="26"/>
        <v>-0.30158013544018059</v>
      </c>
      <c r="I81" s="24">
        <f t="shared" si="27"/>
        <v>65.497897131136753</v>
      </c>
      <c r="J81" s="24">
        <f t="shared" si="28"/>
        <v>128.80773264382674</v>
      </c>
      <c r="K81" s="21">
        <v>4981639.0599999996</v>
      </c>
      <c r="L81" s="21">
        <v>5069628.72</v>
      </c>
      <c r="M81" s="25">
        <f t="shared" si="29"/>
        <v>-1.7356233534987577E-2</v>
      </c>
      <c r="N81" s="10"/>
      <c r="R81" s="2"/>
    </row>
    <row r="82" spans="1:18" ht="15.75" x14ac:dyDescent="0.25">
      <c r="A82" s="274"/>
      <c r="B82" s="20">
        <f>DATE(2020,10,1)</f>
        <v>44105</v>
      </c>
      <c r="C82" s="21">
        <v>79279</v>
      </c>
      <c r="D82" s="21">
        <v>108635</v>
      </c>
      <c r="E82" s="23">
        <f t="shared" si="25"/>
        <v>-0.27022598610024395</v>
      </c>
      <c r="F82" s="21">
        <f>+C82-39288</f>
        <v>39991</v>
      </c>
      <c r="G82" s="21">
        <f>+D82-52866</f>
        <v>55769</v>
      </c>
      <c r="H82" s="23">
        <f t="shared" si="26"/>
        <v>-0.28291703276013558</v>
      </c>
      <c r="I82" s="24">
        <f t="shared" si="27"/>
        <v>62.994921605973836</v>
      </c>
      <c r="J82" s="24">
        <f t="shared" si="28"/>
        <v>124.8824583031182</v>
      </c>
      <c r="K82" s="21">
        <v>4994174.3899999997</v>
      </c>
      <c r="L82" s="21">
        <v>5103440.46</v>
      </c>
      <c r="M82" s="25">
        <f t="shared" si="29"/>
        <v>-2.141027623549473E-2</v>
      </c>
      <c r="N82" s="10"/>
      <c r="R82" s="2"/>
    </row>
    <row r="83" spans="1:18" ht="15.75" x14ac:dyDescent="0.25">
      <c r="A83" s="274"/>
      <c r="B83" s="20">
        <f>DATE(2020,11,1)</f>
        <v>44136</v>
      </c>
      <c r="C83" s="21">
        <v>73436</v>
      </c>
      <c r="D83" s="21">
        <v>108978</v>
      </c>
      <c r="E83" s="23">
        <f t="shared" si="25"/>
        <v>-0.32613922076015345</v>
      </c>
      <c r="F83" s="21">
        <f>+C83-36298</f>
        <v>37138</v>
      </c>
      <c r="G83" s="21">
        <f>+D83-53627</f>
        <v>55351</v>
      </c>
      <c r="H83" s="23">
        <f t="shared" si="26"/>
        <v>-0.3290455456992647</v>
      </c>
      <c r="I83" s="24">
        <f t="shared" si="27"/>
        <v>61.221220518546758</v>
      </c>
      <c r="J83" s="24">
        <f t="shared" si="28"/>
        <v>121.05771850934353</v>
      </c>
      <c r="K83" s="21">
        <v>4495841.55</v>
      </c>
      <c r="L83" s="21">
        <v>5108677.83</v>
      </c>
      <c r="M83" s="25">
        <f t="shared" si="29"/>
        <v>-0.11995986053401224</v>
      </c>
      <c r="N83" s="10"/>
      <c r="R83" s="2"/>
    </row>
    <row r="84" spans="1:18" ht="15.75" x14ac:dyDescent="0.25">
      <c r="A84" s="274"/>
      <c r="B84" s="20">
        <f>DATE(2020,12,1)</f>
        <v>44166</v>
      </c>
      <c r="C84" s="21">
        <v>90053</v>
      </c>
      <c r="D84" s="21">
        <v>115824</v>
      </c>
      <c r="E84" s="23">
        <f t="shared" si="25"/>
        <v>-0.2225013814062716</v>
      </c>
      <c r="F84" s="21">
        <f>+C84-45539</f>
        <v>44514</v>
      </c>
      <c r="G84" s="21">
        <f>+D84-57047</f>
        <v>58777</v>
      </c>
      <c r="H84" s="23">
        <f t="shared" si="26"/>
        <v>-0.24266294639059496</v>
      </c>
      <c r="I84" s="24">
        <f t="shared" si="27"/>
        <v>68.146120950995524</v>
      </c>
      <c r="J84" s="24">
        <f t="shared" si="28"/>
        <v>137.8614060744934</v>
      </c>
      <c r="K84" s="21">
        <v>6136762.6299999999</v>
      </c>
      <c r="L84" s="21">
        <v>5367894.3099999996</v>
      </c>
      <c r="M84" s="25">
        <f t="shared" si="29"/>
        <v>0.14323462341045987</v>
      </c>
      <c r="N84" s="10"/>
      <c r="R84" s="2"/>
    </row>
    <row r="85" spans="1:18" ht="15.75" x14ac:dyDescent="0.25">
      <c r="A85" s="274"/>
      <c r="B85" s="20">
        <f>DATE(2021,1,1)</f>
        <v>44197</v>
      </c>
      <c r="C85" s="21">
        <v>102968</v>
      </c>
      <c r="D85" s="21">
        <v>108065</v>
      </c>
      <c r="E85" s="23">
        <f t="shared" si="25"/>
        <v>-4.7166057465414336E-2</v>
      </c>
      <c r="F85" s="21">
        <f>+C85-52033</f>
        <v>50935</v>
      </c>
      <c r="G85" s="21">
        <f>+D85-54017</f>
        <v>54048</v>
      </c>
      <c r="H85" s="23">
        <f t="shared" si="26"/>
        <v>-5.759695085849615E-2</v>
      </c>
      <c r="I85" s="24">
        <f t="shared" si="27"/>
        <v>66.262313825654573</v>
      </c>
      <c r="J85" s="24">
        <f t="shared" si="28"/>
        <v>133.95303681162264</v>
      </c>
      <c r="K85" s="21">
        <v>6822897.9299999997</v>
      </c>
      <c r="L85" s="21">
        <v>5075834.1100000003</v>
      </c>
      <c r="M85" s="25">
        <f t="shared" si="29"/>
        <v>0.34419245825195011</v>
      </c>
      <c r="N85" s="10"/>
      <c r="R85" s="2"/>
    </row>
    <row r="86" spans="1:18" ht="15.75" x14ac:dyDescent="0.25">
      <c r="A86" s="274"/>
      <c r="B86" s="20">
        <f>DATE(2021,2,1)</f>
        <v>44228</v>
      </c>
      <c r="C86" s="21">
        <v>73388</v>
      </c>
      <c r="D86" s="21">
        <v>122509</v>
      </c>
      <c r="E86" s="23">
        <f t="shared" si="25"/>
        <v>-0.40095829694144919</v>
      </c>
      <c r="F86" s="21">
        <f>+C86-36566</f>
        <v>36822</v>
      </c>
      <c r="G86" s="21">
        <f>+D86-61681</f>
        <v>60828</v>
      </c>
      <c r="H86" s="23">
        <f t="shared" si="26"/>
        <v>-0.39465377786545669</v>
      </c>
      <c r="I86" s="24">
        <f t="shared" si="27"/>
        <v>67.372777020766335</v>
      </c>
      <c r="J86" s="24">
        <f t="shared" si="28"/>
        <v>134.27715387540059</v>
      </c>
      <c r="K86" s="21">
        <v>4944353.3600000003</v>
      </c>
      <c r="L86" s="21">
        <v>5943612.7999999998</v>
      </c>
      <c r="M86" s="25">
        <f t="shared" si="29"/>
        <v>-0.16812323979112495</v>
      </c>
      <c r="N86" s="10"/>
      <c r="R86" s="2"/>
    </row>
    <row r="87" spans="1:18" ht="15.75" x14ac:dyDescent="0.25">
      <c r="A87" s="274"/>
      <c r="B87" s="20">
        <f>DATE(2021,3,1)</f>
        <v>44256</v>
      </c>
      <c r="C87" s="21">
        <v>112418</v>
      </c>
      <c r="D87" s="21">
        <v>63250</v>
      </c>
      <c r="E87" s="23">
        <f t="shared" si="25"/>
        <v>0.77735968379446641</v>
      </c>
      <c r="F87" s="21">
        <f>+C87-56050</f>
        <v>56368</v>
      </c>
      <c r="G87" s="21">
        <f>+D87-31674</f>
        <v>31576</v>
      </c>
      <c r="H87" s="23">
        <f t="shared" si="26"/>
        <v>0.78515328097289083</v>
      </c>
      <c r="I87" s="24">
        <f t="shared" si="27"/>
        <v>69.267409311676062</v>
      </c>
      <c r="J87" s="24">
        <f t="shared" si="28"/>
        <v>138.14404662219698</v>
      </c>
      <c r="K87" s="21">
        <v>7786903.6200000001</v>
      </c>
      <c r="L87" s="21">
        <v>2969716.05</v>
      </c>
      <c r="M87" s="25">
        <f t="shared" si="29"/>
        <v>1.6221037597180379</v>
      </c>
      <c r="N87" s="10"/>
      <c r="R87" s="2"/>
    </row>
    <row r="88" spans="1:18" ht="15.75" x14ac:dyDescent="0.25">
      <c r="A88" s="274"/>
      <c r="B88" s="20">
        <f>DATE(2021,4,1)</f>
        <v>44287</v>
      </c>
      <c r="C88" s="21">
        <v>108656</v>
      </c>
      <c r="D88" s="21">
        <v>0</v>
      </c>
      <c r="E88" s="23">
        <v>1</v>
      </c>
      <c r="F88" s="21">
        <f>+C88-55156</f>
        <v>53500</v>
      </c>
      <c r="G88" s="21">
        <v>0</v>
      </c>
      <c r="H88" s="23">
        <v>1</v>
      </c>
      <c r="I88" s="24">
        <f t="shared" si="27"/>
        <v>66.924247901634516</v>
      </c>
      <c r="J88" s="24">
        <f t="shared" si="28"/>
        <v>135.92002018691588</v>
      </c>
      <c r="K88" s="21">
        <v>7271721.0800000001</v>
      </c>
      <c r="L88" s="21">
        <v>0</v>
      </c>
      <c r="M88" s="25">
        <v>1</v>
      </c>
      <c r="N88" s="10"/>
      <c r="R88" s="2"/>
    </row>
    <row r="89" spans="1:18" ht="15.75" x14ac:dyDescent="0.25">
      <c r="A89" s="274"/>
      <c r="B89" s="20">
        <f>DATE(2021,5,1)</f>
        <v>44317</v>
      </c>
      <c r="C89" s="21">
        <v>106694</v>
      </c>
      <c r="D89" s="21">
        <v>0</v>
      </c>
      <c r="E89" s="23">
        <v>1</v>
      </c>
      <c r="F89" s="21">
        <f>+C89-53609</f>
        <v>53085</v>
      </c>
      <c r="G89" s="21">
        <v>0</v>
      </c>
      <c r="H89" s="23">
        <v>1</v>
      </c>
      <c r="I89" s="24">
        <f t="shared" si="27"/>
        <v>65.850532269855847</v>
      </c>
      <c r="J89" s="24">
        <f t="shared" si="28"/>
        <v>132.35107261938401</v>
      </c>
      <c r="K89" s="21">
        <v>7025856.6900000004</v>
      </c>
      <c r="L89" s="21">
        <v>0</v>
      </c>
      <c r="M89" s="25">
        <v>1</v>
      </c>
      <c r="N89" s="10"/>
      <c r="R89" s="2"/>
    </row>
    <row r="90" spans="1:18" ht="15.75" customHeight="1" thickBot="1" x14ac:dyDescent="0.3">
      <c r="A90" s="19"/>
      <c r="B90" s="20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45" customHeight="1" thickTop="1" thickBot="1" x14ac:dyDescent="0.3">
      <c r="A91" s="39" t="s">
        <v>14</v>
      </c>
      <c r="B91" s="52"/>
      <c r="C91" s="47">
        <f>SUM(C79:C90)</f>
        <v>973979</v>
      </c>
      <c r="D91" s="48">
        <f>SUM(D79:D90)</f>
        <v>961166</v>
      </c>
      <c r="E91" s="281">
        <f>(+C91-D91)/D91</f>
        <v>1.3330683773666568E-2</v>
      </c>
      <c r="F91" s="48">
        <f>SUM(F79:F90)</f>
        <v>488501</v>
      </c>
      <c r="G91" s="47">
        <f>SUM(G79:G90)</f>
        <v>487816</v>
      </c>
      <c r="H91" s="46">
        <f>(+F91-G91)/G91</f>
        <v>1.4042179838299686E-3</v>
      </c>
      <c r="I91" s="51">
        <f>K91/C91</f>
        <v>66.151535792866156</v>
      </c>
      <c r="J91" s="50">
        <f>K91/F91</f>
        <v>131.89370478258999</v>
      </c>
      <c r="K91" s="47">
        <f>SUM(K79:K90)</f>
        <v>64430206.679999992</v>
      </c>
      <c r="L91" s="48">
        <f>SUM(L79:L90)</f>
        <v>44311513.419999994</v>
      </c>
      <c r="M91" s="44">
        <f>(+K91-L91)/L91</f>
        <v>0.45402857422873372</v>
      </c>
      <c r="N91" s="10"/>
      <c r="R91" s="2"/>
    </row>
    <row r="92" spans="1:18" ht="15.75" customHeight="1" thickTop="1" x14ac:dyDescent="0.25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 x14ac:dyDescent="0.25">
      <c r="A93" s="19" t="s">
        <v>66</v>
      </c>
      <c r="B93" s="20">
        <f>DATE(2020,7,1)</f>
        <v>44013</v>
      </c>
      <c r="C93" s="21">
        <v>89782</v>
      </c>
      <c r="D93" s="21">
        <v>151411</v>
      </c>
      <c r="E93" s="23">
        <f t="shared" ref="E93:E101" si="30">(+C93-D93)/D93</f>
        <v>-0.40703119324223469</v>
      </c>
      <c r="F93" s="21">
        <f>+C93-42122</f>
        <v>47660</v>
      </c>
      <c r="G93" s="21">
        <f>+D93-71749</f>
        <v>79662</v>
      </c>
      <c r="H93" s="23">
        <f t="shared" ref="H93:H101" si="31">(+F93-G93)/G93</f>
        <v>-0.40172227661871407</v>
      </c>
      <c r="I93" s="24">
        <f t="shared" ref="I93:I103" si="32">K93/C93</f>
        <v>50.702362945802051</v>
      </c>
      <c r="J93" s="24">
        <f t="shared" ref="J93:J103" si="33">K93/F93</f>
        <v>95.513209190096518</v>
      </c>
      <c r="K93" s="21">
        <v>4552159.55</v>
      </c>
      <c r="L93" s="21">
        <v>5243377.2</v>
      </c>
      <c r="M93" s="25">
        <f t="shared" ref="M93:M101" si="34">(+K93-L93)/L93</f>
        <v>-0.13182680238987962</v>
      </c>
      <c r="N93" s="10"/>
      <c r="R93" s="2"/>
    </row>
    <row r="94" spans="1:18" ht="15.75" x14ac:dyDescent="0.25">
      <c r="A94" s="19"/>
      <c r="B94" s="20">
        <f>DATE(2020,8,1)</f>
        <v>44044</v>
      </c>
      <c r="C94" s="21">
        <v>90766</v>
      </c>
      <c r="D94" s="21">
        <v>153404</v>
      </c>
      <c r="E94" s="23">
        <f t="shared" si="30"/>
        <v>-0.40832051315480694</v>
      </c>
      <c r="F94" s="21">
        <f>+C94-42451</f>
        <v>48315</v>
      </c>
      <c r="G94" s="21">
        <f>+D94-72820</f>
        <v>80584</v>
      </c>
      <c r="H94" s="23">
        <f t="shared" si="31"/>
        <v>-0.40043929315993249</v>
      </c>
      <c r="I94" s="24">
        <f t="shared" si="32"/>
        <v>48.512467223409644</v>
      </c>
      <c r="J94" s="24">
        <f t="shared" si="33"/>
        <v>91.136967815378242</v>
      </c>
      <c r="K94" s="21">
        <v>4403282.5999999996</v>
      </c>
      <c r="L94" s="21">
        <v>5663787.5</v>
      </c>
      <c r="M94" s="25">
        <f t="shared" si="34"/>
        <v>-0.22255511881404455</v>
      </c>
      <c r="N94" s="10"/>
      <c r="R94" s="2"/>
    </row>
    <row r="95" spans="1:18" ht="15.75" x14ac:dyDescent="0.25">
      <c r="A95" s="19"/>
      <c r="B95" s="20">
        <f>DATE(2020,9,1)</f>
        <v>44075</v>
      </c>
      <c r="C95" s="21">
        <v>113899</v>
      </c>
      <c r="D95" s="21">
        <v>143049</v>
      </c>
      <c r="E95" s="23">
        <f t="shared" si="30"/>
        <v>-0.20377632839097093</v>
      </c>
      <c r="F95" s="21">
        <f>+C95-56486</f>
        <v>57413</v>
      </c>
      <c r="G95" s="21">
        <f>+D95-67371</f>
        <v>75678</v>
      </c>
      <c r="H95" s="23">
        <f t="shared" si="31"/>
        <v>-0.24135151563201987</v>
      </c>
      <c r="I95" s="24">
        <f t="shared" si="32"/>
        <v>47.025149035549042</v>
      </c>
      <c r="J95" s="24">
        <f t="shared" si="33"/>
        <v>93.291022068172722</v>
      </c>
      <c r="K95" s="21">
        <v>5356117.45</v>
      </c>
      <c r="L95" s="21">
        <v>5081304.75</v>
      </c>
      <c r="M95" s="25">
        <f t="shared" si="34"/>
        <v>5.4083097456416131E-2</v>
      </c>
      <c r="N95" s="10"/>
      <c r="R95" s="2"/>
    </row>
    <row r="96" spans="1:18" ht="15.75" x14ac:dyDescent="0.25">
      <c r="A96" s="19"/>
      <c r="B96" s="20">
        <f>DATE(2020,10,1)</f>
        <v>44105</v>
      </c>
      <c r="C96" s="21">
        <v>133252</v>
      </c>
      <c r="D96" s="21">
        <v>147133</v>
      </c>
      <c r="E96" s="23">
        <f t="shared" si="30"/>
        <v>-9.4343213283219943E-2</v>
      </c>
      <c r="F96" s="21">
        <f>+C96-63794</f>
        <v>69458</v>
      </c>
      <c r="G96" s="21">
        <f>+D96-70441</f>
        <v>76692</v>
      </c>
      <c r="H96" s="23">
        <f t="shared" si="31"/>
        <v>-9.4325353361497943E-2</v>
      </c>
      <c r="I96" s="24">
        <f t="shared" si="32"/>
        <v>46.002726563203559</v>
      </c>
      <c r="J96" s="24">
        <f t="shared" si="33"/>
        <v>88.254129401940745</v>
      </c>
      <c r="K96" s="21">
        <v>6129955.3200000003</v>
      </c>
      <c r="L96" s="21">
        <v>5402701.21</v>
      </c>
      <c r="M96" s="25">
        <f t="shared" si="34"/>
        <v>0.13460935219847192</v>
      </c>
      <c r="N96" s="10"/>
      <c r="R96" s="2"/>
    </row>
    <row r="97" spans="1:18" ht="15.75" x14ac:dyDescent="0.25">
      <c r="A97" s="19"/>
      <c r="B97" s="20">
        <f>DATE(2020,11,1)</f>
        <v>44136</v>
      </c>
      <c r="C97" s="21">
        <v>128642</v>
      </c>
      <c r="D97" s="21">
        <v>147609</v>
      </c>
      <c r="E97" s="23">
        <f t="shared" si="30"/>
        <v>-0.1284948749737482</v>
      </c>
      <c r="F97" s="21">
        <f>+C97-61517</f>
        <v>67125</v>
      </c>
      <c r="G97" s="21">
        <f>+D97-72727</f>
        <v>74882</v>
      </c>
      <c r="H97" s="23">
        <f t="shared" si="31"/>
        <v>-0.10358964771240084</v>
      </c>
      <c r="I97" s="24">
        <f t="shared" si="32"/>
        <v>44.797572410254816</v>
      </c>
      <c r="J97" s="24">
        <f t="shared" si="33"/>
        <v>85.852503687150829</v>
      </c>
      <c r="K97" s="21">
        <v>5762849.3099999996</v>
      </c>
      <c r="L97" s="21">
        <v>5427921.8600000003</v>
      </c>
      <c r="M97" s="25">
        <f t="shared" si="34"/>
        <v>6.1704545245608831E-2</v>
      </c>
      <c r="N97" s="10"/>
      <c r="R97" s="2"/>
    </row>
    <row r="98" spans="1:18" ht="15.75" x14ac:dyDescent="0.25">
      <c r="A98" s="19"/>
      <c r="B98" s="20">
        <f>DATE(2020,12,1)</f>
        <v>44166</v>
      </c>
      <c r="C98" s="21">
        <v>136324</v>
      </c>
      <c r="D98" s="21">
        <v>146815</v>
      </c>
      <c r="E98" s="23">
        <f t="shared" si="30"/>
        <v>-7.1457276163879715E-2</v>
      </c>
      <c r="F98" s="21">
        <f>+C98-65497</f>
        <v>70827</v>
      </c>
      <c r="G98" s="21">
        <f>+D98-72079</f>
        <v>74736</v>
      </c>
      <c r="H98" s="23">
        <f t="shared" si="31"/>
        <v>-5.2304110468850355E-2</v>
      </c>
      <c r="I98" s="24">
        <f t="shared" si="32"/>
        <v>46.829371570669878</v>
      </c>
      <c r="J98" s="24">
        <f t="shared" si="33"/>
        <v>90.134655569203829</v>
      </c>
      <c r="K98" s="21">
        <v>6383967.25</v>
      </c>
      <c r="L98" s="21">
        <v>5406096.8300000001</v>
      </c>
      <c r="M98" s="25">
        <f t="shared" si="34"/>
        <v>0.18088289032736396</v>
      </c>
      <c r="N98" s="10"/>
      <c r="R98" s="2"/>
    </row>
    <row r="99" spans="1:18" ht="15.75" x14ac:dyDescent="0.25">
      <c r="A99" s="19"/>
      <c r="B99" s="20">
        <f>DATE(2021,1,1)</f>
        <v>44197</v>
      </c>
      <c r="C99" s="21">
        <v>148941</v>
      </c>
      <c r="D99" s="21">
        <v>138036</v>
      </c>
      <c r="E99" s="23">
        <f t="shared" si="30"/>
        <v>7.9001130139963488E-2</v>
      </c>
      <c r="F99" s="21">
        <f>+C99-73418</f>
        <v>75523</v>
      </c>
      <c r="G99" s="21">
        <f>+D99-67428</f>
        <v>70608</v>
      </c>
      <c r="H99" s="23">
        <f t="shared" si="31"/>
        <v>6.9609675957398601E-2</v>
      </c>
      <c r="I99" s="24">
        <f t="shared" si="32"/>
        <v>46.43704581008587</v>
      </c>
      <c r="J99" s="24">
        <f t="shared" si="33"/>
        <v>91.579784171709278</v>
      </c>
      <c r="K99" s="21">
        <v>6916380.04</v>
      </c>
      <c r="L99" s="21">
        <v>5190044.03</v>
      </c>
      <c r="M99" s="25">
        <f t="shared" si="34"/>
        <v>0.33262454037408229</v>
      </c>
      <c r="N99" s="10"/>
      <c r="R99" s="2"/>
    </row>
    <row r="100" spans="1:18" ht="15.75" x14ac:dyDescent="0.25">
      <c r="A100" s="19"/>
      <c r="B100" s="20">
        <f>DATE(2021,2,1)</f>
        <v>44228</v>
      </c>
      <c r="C100" s="21">
        <v>128308</v>
      </c>
      <c r="D100" s="21">
        <v>152132</v>
      </c>
      <c r="E100" s="23">
        <f t="shared" si="30"/>
        <v>-0.15660084663318696</v>
      </c>
      <c r="F100" s="21">
        <f>+C100-63434</f>
        <v>64874</v>
      </c>
      <c r="G100" s="21">
        <f>+D100-75603</f>
        <v>76529</v>
      </c>
      <c r="H100" s="23">
        <f t="shared" si="31"/>
        <v>-0.1522952083523893</v>
      </c>
      <c r="I100" s="24">
        <f t="shared" si="32"/>
        <v>49.659509071920688</v>
      </c>
      <c r="J100" s="24">
        <f t="shared" si="33"/>
        <v>98.216732281037082</v>
      </c>
      <c r="K100" s="21">
        <v>6371712.29</v>
      </c>
      <c r="L100" s="21">
        <v>5810822.3499999996</v>
      </c>
      <c r="M100" s="25">
        <f t="shared" si="34"/>
        <v>9.6525053807573452E-2</v>
      </c>
      <c r="N100" s="10"/>
      <c r="R100" s="2"/>
    </row>
    <row r="101" spans="1:18" ht="15.75" x14ac:dyDescent="0.25">
      <c r="A101" s="19"/>
      <c r="B101" s="20">
        <f>DATE(2021,3,1)</f>
        <v>44256</v>
      </c>
      <c r="C101" s="21">
        <v>178294</v>
      </c>
      <c r="D101" s="21">
        <v>83823</v>
      </c>
      <c r="E101" s="23">
        <f t="shared" si="30"/>
        <v>1.1270295742218723</v>
      </c>
      <c r="F101" s="21">
        <f>+C101-86034</f>
        <v>92260</v>
      </c>
      <c r="G101" s="21">
        <f>+D101-41284</f>
        <v>42539</v>
      </c>
      <c r="H101" s="23">
        <f t="shared" si="31"/>
        <v>1.1688333059075202</v>
      </c>
      <c r="I101" s="24">
        <f t="shared" si="32"/>
        <v>55.776427417636036</v>
      </c>
      <c r="J101" s="24">
        <f t="shared" si="33"/>
        <v>107.78888304790809</v>
      </c>
      <c r="K101" s="21">
        <v>9944602.3499999996</v>
      </c>
      <c r="L101" s="21">
        <v>3343303.65</v>
      </c>
      <c r="M101" s="25">
        <f t="shared" si="34"/>
        <v>1.9744837415530592</v>
      </c>
      <c r="N101" s="10"/>
      <c r="R101" s="2"/>
    </row>
    <row r="102" spans="1:18" ht="15.75" x14ac:dyDescent="0.25">
      <c r="A102" s="19"/>
      <c r="B102" s="20">
        <f>DATE(2021,4,1)</f>
        <v>44287</v>
      </c>
      <c r="C102" s="21">
        <v>179901</v>
      </c>
      <c r="D102" s="21">
        <v>0</v>
      </c>
      <c r="E102" s="23">
        <v>1</v>
      </c>
      <c r="F102" s="21">
        <f>+C102-87677</f>
        <v>92224</v>
      </c>
      <c r="G102" s="21">
        <v>0</v>
      </c>
      <c r="H102" s="23">
        <v>1</v>
      </c>
      <c r="I102" s="24">
        <f t="shared" si="32"/>
        <v>55.27194879405895</v>
      </c>
      <c r="J102" s="24">
        <f t="shared" si="33"/>
        <v>107.81877667418459</v>
      </c>
      <c r="K102" s="21">
        <v>9943478.8599999994</v>
      </c>
      <c r="L102" s="21">
        <v>0</v>
      </c>
      <c r="M102" s="25">
        <v>1</v>
      </c>
      <c r="N102" s="10"/>
      <c r="R102" s="2"/>
    </row>
    <row r="103" spans="1:18" ht="15.75" x14ac:dyDescent="0.25">
      <c r="A103" s="19"/>
      <c r="B103" s="20">
        <f>DATE(2021,5,1)</f>
        <v>44317</v>
      </c>
      <c r="C103" s="21">
        <v>190412</v>
      </c>
      <c r="D103" s="21">
        <v>0</v>
      </c>
      <c r="E103" s="23">
        <v>1</v>
      </c>
      <c r="F103" s="21">
        <f>+C103-94189</f>
        <v>96223</v>
      </c>
      <c r="G103" s="21">
        <v>0</v>
      </c>
      <c r="H103" s="23">
        <v>1</v>
      </c>
      <c r="I103" s="24">
        <f t="shared" si="32"/>
        <v>51.568926800831882</v>
      </c>
      <c r="J103" s="24">
        <f t="shared" si="33"/>
        <v>102.0477691404342</v>
      </c>
      <c r="K103" s="21">
        <v>9819342.4900000002</v>
      </c>
      <c r="L103" s="21">
        <v>0</v>
      </c>
      <c r="M103" s="25">
        <v>1</v>
      </c>
      <c r="N103" s="10"/>
      <c r="R103" s="2"/>
    </row>
    <row r="104" spans="1:18" ht="15.75" customHeight="1" thickBot="1" x14ac:dyDescent="0.3">
      <c r="A104" s="19"/>
      <c r="B104" s="45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7.45" customHeight="1" thickTop="1" thickBot="1" x14ac:dyDescent="0.3">
      <c r="A105" s="39" t="s">
        <v>14</v>
      </c>
      <c r="B105" s="52"/>
      <c r="C105" s="47">
        <f>SUM(C93:C104)</f>
        <v>1518521</v>
      </c>
      <c r="D105" s="48">
        <f>SUM(D93:D104)</f>
        <v>1263412</v>
      </c>
      <c r="E105" s="281">
        <f>(+C105-D105)/D105</f>
        <v>0.20192067195815774</v>
      </c>
      <c r="F105" s="48">
        <f>SUM(F93:F104)</f>
        <v>781902</v>
      </c>
      <c r="G105" s="47">
        <f>SUM(G93:G104)</f>
        <v>651910</v>
      </c>
      <c r="H105" s="53">
        <f>(+F105-G105)/G105</f>
        <v>0.19940175791136813</v>
      </c>
      <c r="I105" s="51">
        <f>K105/C105</f>
        <v>49.774647508990647</v>
      </c>
      <c r="J105" s="50">
        <f>K105/F105</f>
        <v>96.666650692797802</v>
      </c>
      <c r="K105" s="47">
        <f>SUM(K93:K104)</f>
        <v>75583847.50999999</v>
      </c>
      <c r="L105" s="48">
        <f>SUM(L93:L104)</f>
        <v>46569359.380000003</v>
      </c>
      <c r="M105" s="44">
        <f>(+K105-L105)/L105</f>
        <v>0.62303816321039518</v>
      </c>
      <c r="N105" s="10"/>
      <c r="R105" s="2"/>
    </row>
    <row r="106" spans="1:18" ht="15.75" customHeight="1" thickTop="1" x14ac:dyDescent="0.25">
      <c r="A106" s="19"/>
      <c r="B106" s="45"/>
      <c r="C106" s="21"/>
      <c r="D106" s="21"/>
      <c r="E106" s="23"/>
      <c r="F106" s="21"/>
      <c r="G106" s="21"/>
      <c r="H106" s="23"/>
      <c r="I106" s="24"/>
      <c r="J106" s="24"/>
      <c r="K106" s="21"/>
      <c r="L106" s="21"/>
      <c r="M106" s="25"/>
      <c r="N106" s="10"/>
      <c r="R106" s="2"/>
    </row>
    <row r="107" spans="1:18" ht="15.75" customHeight="1" x14ac:dyDescent="0.25">
      <c r="A107" s="19" t="s">
        <v>60</v>
      </c>
      <c r="B107" s="20">
        <f>DATE(2020,7,1)</f>
        <v>44013</v>
      </c>
      <c r="C107" s="21">
        <v>198458</v>
      </c>
      <c r="D107" s="21">
        <v>323723</v>
      </c>
      <c r="E107" s="23">
        <f t="shared" ref="E107:E115" si="35">(+C107-D107)/D107</f>
        <v>-0.38695118975173221</v>
      </c>
      <c r="F107" s="21">
        <f>+C107-91512</f>
        <v>106946</v>
      </c>
      <c r="G107" s="21">
        <f>+D107-139054</f>
        <v>184669</v>
      </c>
      <c r="H107" s="23">
        <f t="shared" ref="H107:H115" si="36">(+F107-G107)/G107</f>
        <v>-0.42087735353524414</v>
      </c>
      <c r="I107" s="24">
        <f t="shared" ref="I107:I117" si="37">K107/C107</f>
        <v>57.559684013745979</v>
      </c>
      <c r="J107" s="24">
        <f t="shared" ref="J107:J117" si="38">K107/F107</f>
        <v>106.81259486095786</v>
      </c>
      <c r="K107" s="21">
        <v>11423179.77</v>
      </c>
      <c r="L107" s="21">
        <v>12562489.76</v>
      </c>
      <c r="M107" s="25">
        <f t="shared" ref="M107:M115" si="39">(+K107-L107)/L107</f>
        <v>-9.0691416412346612E-2</v>
      </c>
      <c r="N107" s="10"/>
      <c r="R107" s="2"/>
    </row>
    <row r="108" spans="1:18" ht="15.75" customHeight="1" x14ac:dyDescent="0.25">
      <c r="A108" s="19"/>
      <c r="B108" s="20">
        <f>DATE(2020,8,1)</f>
        <v>44044</v>
      </c>
      <c r="C108" s="21">
        <v>207170</v>
      </c>
      <c r="D108" s="21">
        <v>324702</v>
      </c>
      <c r="E108" s="23">
        <f t="shared" si="35"/>
        <v>-0.36196882064169605</v>
      </c>
      <c r="F108" s="21">
        <f>+C108-94983</f>
        <v>112187</v>
      </c>
      <c r="G108" s="21">
        <f>+D108-140464</f>
        <v>184238</v>
      </c>
      <c r="H108" s="23">
        <f t="shared" si="36"/>
        <v>-0.39107567385664194</v>
      </c>
      <c r="I108" s="24">
        <f t="shared" si="37"/>
        <v>58.301137906067481</v>
      </c>
      <c r="J108" s="24">
        <f t="shared" si="38"/>
        <v>107.66173210799826</v>
      </c>
      <c r="K108" s="21">
        <v>12078246.74</v>
      </c>
      <c r="L108" s="21">
        <v>12914541.609999999</v>
      </c>
      <c r="M108" s="25">
        <f t="shared" si="39"/>
        <v>-6.4756062991228325E-2</v>
      </c>
      <c r="N108" s="10"/>
      <c r="R108" s="2"/>
    </row>
    <row r="109" spans="1:18" ht="15.75" customHeight="1" x14ac:dyDescent="0.25">
      <c r="A109" s="19"/>
      <c r="B109" s="20">
        <f>DATE(2020,9,1)</f>
        <v>44075</v>
      </c>
      <c r="C109" s="21">
        <v>214679</v>
      </c>
      <c r="D109" s="21">
        <v>300779</v>
      </c>
      <c r="E109" s="23">
        <f t="shared" si="35"/>
        <v>-0.28625668680326749</v>
      </c>
      <c r="F109" s="21">
        <f>+C109-98438</f>
        <v>116241</v>
      </c>
      <c r="G109" s="21">
        <f>+D109-129539</f>
        <v>171240</v>
      </c>
      <c r="H109" s="23">
        <f t="shared" si="36"/>
        <v>-0.32118079887876666</v>
      </c>
      <c r="I109" s="24">
        <f t="shared" si="37"/>
        <v>53.75294761015283</v>
      </c>
      <c r="J109" s="24">
        <f t="shared" si="38"/>
        <v>99.273311826291916</v>
      </c>
      <c r="K109" s="21">
        <v>11539629.039999999</v>
      </c>
      <c r="L109" s="21">
        <v>12290273.1</v>
      </c>
      <c r="M109" s="25">
        <f t="shared" si="39"/>
        <v>-6.107627177137346E-2</v>
      </c>
      <c r="N109" s="10"/>
      <c r="R109" s="2"/>
    </row>
    <row r="110" spans="1:18" ht="15.75" customHeight="1" x14ac:dyDescent="0.25">
      <c r="A110" s="19"/>
      <c r="B110" s="20">
        <f>DATE(2020,10,1)</f>
        <v>44105</v>
      </c>
      <c r="C110" s="21">
        <v>212255</v>
      </c>
      <c r="D110" s="21">
        <v>283562</v>
      </c>
      <c r="E110" s="23">
        <f t="shared" si="35"/>
        <v>-0.2514688145802329</v>
      </c>
      <c r="F110" s="21">
        <f>+C110-97155</f>
        <v>115100</v>
      </c>
      <c r="G110" s="21">
        <f>+D110-124664</f>
        <v>158898</v>
      </c>
      <c r="H110" s="23">
        <f t="shared" si="36"/>
        <v>-0.27563594255434304</v>
      </c>
      <c r="I110" s="24">
        <f t="shared" si="37"/>
        <v>53.311127323266824</v>
      </c>
      <c r="J110" s="24">
        <f t="shared" si="38"/>
        <v>98.310628410078195</v>
      </c>
      <c r="K110" s="21">
        <v>11315553.33</v>
      </c>
      <c r="L110" s="21">
        <v>11906925.060000001</v>
      </c>
      <c r="M110" s="25">
        <f t="shared" si="39"/>
        <v>-4.9666200721011376E-2</v>
      </c>
      <c r="N110" s="10"/>
      <c r="R110" s="2"/>
    </row>
    <row r="111" spans="1:18" ht="15.75" customHeight="1" x14ac:dyDescent="0.25">
      <c r="A111" s="19"/>
      <c r="B111" s="20">
        <f>DATE(2020,11,1)</f>
        <v>44136</v>
      </c>
      <c r="C111" s="21">
        <v>182201</v>
      </c>
      <c r="D111" s="21">
        <v>284154</v>
      </c>
      <c r="E111" s="23">
        <f t="shared" si="35"/>
        <v>-0.35879487883330868</v>
      </c>
      <c r="F111" s="21">
        <f>+C111-83158</f>
        <v>99043</v>
      </c>
      <c r="G111" s="21">
        <f>+D111-126846</f>
        <v>157308</v>
      </c>
      <c r="H111" s="23">
        <f t="shared" si="36"/>
        <v>-0.37038802858087322</v>
      </c>
      <c r="I111" s="24">
        <f t="shared" si="37"/>
        <v>57.958710984023135</v>
      </c>
      <c r="J111" s="24">
        <f t="shared" si="38"/>
        <v>106.62172086871358</v>
      </c>
      <c r="K111" s="21">
        <v>10560135.1</v>
      </c>
      <c r="L111" s="21">
        <v>12108761.949999999</v>
      </c>
      <c r="M111" s="25">
        <f t="shared" si="39"/>
        <v>-0.12789307911037096</v>
      </c>
      <c r="N111" s="10"/>
      <c r="R111" s="2"/>
    </row>
    <row r="112" spans="1:18" ht="15.75" customHeight="1" x14ac:dyDescent="0.25">
      <c r="A112" s="19"/>
      <c r="B112" s="20">
        <f>DATE(2020,12,1)</f>
        <v>44166</v>
      </c>
      <c r="C112" s="21">
        <v>236586</v>
      </c>
      <c r="D112" s="21">
        <v>309331</v>
      </c>
      <c r="E112" s="23">
        <f t="shared" si="35"/>
        <v>-0.23516879976465341</v>
      </c>
      <c r="F112" s="21">
        <f>+C112-114318</f>
        <v>122268</v>
      </c>
      <c r="G112" s="21">
        <f>+D112-141782</f>
        <v>167549</v>
      </c>
      <c r="H112" s="23">
        <f t="shared" si="36"/>
        <v>-0.27025526860798932</v>
      </c>
      <c r="I112" s="24">
        <f t="shared" si="37"/>
        <v>58.413076259795595</v>
      </c>
      <c r="J112" s="24">
        <f t="shared" si="38"/>
        <v>113.02806997742664</v>
      </c>
      <c r="K112" s="21">
        <v>13819716.060000001</v>
      </c>
      <c r="L112" s="21">
        <v>12731004.02</v>
      </c>
      <c r="M112" s="25">
        <f t="shared" si="39"/>
        <v>8.551658913072914E-2</v>
      </c>
      <c r="N112" s="10"/>
      <c r="R112" s="2"/>
    </row>
    <row r="113" spans="1:18" ht="15.75" customHeight="1" x14ac:dyDescent="0.25">
      <c r="A113" s="19"/>
      <c r="B113" s="20">
        <f>DATE(2021,1,1)</f>
        <v>44197</v>
      </c>
      <c r="C113" s="21">
        <v>267613</v>
      </c>
      <c r="D113" s="21">
        <v>285267</v>
      </c>
      <c r="E113" s="23">
        <f t="shared" si="35"/>
        <v>-6.1885882348817076E-2</v>
      </c>
      <c r="F113" s="21">
        <f>+C113-127713</f>
        <v>139900</v>
      </c>
      <c r="G113" s="21">
        <f>+D113-129272</f>
        <v>155995</v>
      </c>
      <c r="H113" s="23">
        <f t="shared" si="36"/>
        <v>-0.103176383858457</v>
      </c>
      <c r="I113" s="24">
        <f t="shared" si="37"/>
        <v>59.538376274695175</v>
      </c>
      <c r="J113" s="24">
        <f t="shared" si="38"/>
        <v>113.89023223731236</v>
      </c>
      <c r="K113" s="21">
        <v>15933243.49</v>
      </c>
      <c r="L113" s="21">
        <v>12532066.99</v>
      </c>
      <c r="M113" s="25">
        <f t="shared" si="39"/>
        <v>0.27139788693389355</v>
      </c>
      <c r="N113" s="10"/>
      <c r="R113" s="2"/>
    </row>
    <row r="114" spans="1:18" ht="15.75" customHeight="1" x14ac:dyDescent="0.25">
      <c r="A114" s="19"/>
      <c r="B114" s="20">
        <f>DATE(2021,2,1)</f>
        <v>44228</v>
      </c>
      <c r="C114" s="21">
        <v>191978</v>
      </c>
      <c r="D114" s="21">
        <v>302605</v>
      </c>
      <c r="E114" s="23">
        <f t="shared" si="35"/>
        <v>-0.3655821946101353</v>
      </c>
      <c r="F114" s="21">
        <f>+C114-89920</f>
        <v>102058</v>
      </c>
      <c r="G114" s="21">
        <f>+D114-136090</f>
        <v>166515</v>
      </c>
      <c r="H114" s="23">
        <f t="shared" si="36"/>
        <v>-0.38709425577275319</v>
      </c>
      <c r="I114" s="24">
        <f t="shared" si="37"/>
        <v>60.660395045265602</v>
      </c>
      <c r="J114" s="24">
        <f t="shared" si="38"/>
        <v>114.1063054341649</v>
      </c>
      <c r="K114" s="21">
        <v>11645461.32</v>
      </c>
      <c r="L114" s="21">
        <v>14123619.1</v>
      </c>
      <c r="M114" s="25">
        <f t="shared" si="39"/>
        <v>-0.17546195224140529</v>
      </c>
      <c r="N114" s="10"/>
      <c r="R114" s="2"/>
    </row>
    <row r="115" spans="1:18" ht="15.75" customHeight="1" x14ac:dyDescent="0.25">
      <c r="A115" s="19"/>
      <c r="B115" s="20">
        <f>DATE(2021,3,1)</f>
        <v>44256</v>
      </c>
      <c r="C115" s="21">
        <v>267033</v>
      </c>
      <c r="D115" s="21">
        <v>159571</v>
      </c>
      <c r="E115" s="23">
        <f t="shared" si="35"/>
        <v>0.67344316949821714</v>
      </c>
      <c r="F115" s="21">
        <f>+C115-127518</f>
        <v>139515</v>
      </c>
      <c r="G115" s="21">
        <f>+D115-71512</f>
        <v>88059</v>
      </c>
      <c r="H115" s="23">
        <f t="shared" si="36"/>
        <v>0.5843355023336626</v>
      </c>
      <c r="I115" s="24">
        <f t="shared" si="37"/>
        <v>63.947218957956501</v>
      </c>
      <c r="J115" s="24">
        <f t="shared" si="38"/>
        <v>122.39556836182489</v>
      </c>
      <c r="K115" s="21">
        <v>17076017.719999999</v>
      </c>
      <c r="L115" s="21">
        <v>7271133.6100000003</v>
      </c>
      <c r="M115" s="25">
        <f t="shared" si="39"/>
        <v>1.34846705285615</v>
      </c>
      <c r="N115" s="10"/>
      <c r="R115" s="2"/>
    </row>
    <row r="116" spans="1:18" ht="15.75" customHeight="1" x14ac:dyDescent="0.25">
      <c r="A116" s="19"/>
      <c r="B116" s="20">
        <f>DATE(2021,4,1)</f>
        <v>44287</v>
      </c>
      <c r="C116" s="21">
        <v>260145</v>
      </c>
      <c r="D116" s="21">
        <v>0</v>
      </c>
      <c r="E116" s="23">
        <v>1</v>
      </c>
      <c r="F116" s="21">
        <f>+C116-122006</f>
        <v>138139</v>
      </c>
      <c r="G116" s="21">
        <v>0</v>
      </c>
      <c r="H116" s="23">
        <v>1</v>
      </c>
      <c r="I116" s="24">
        <f t="shared" si="37"/>
        <v>63.626748582521287</v>
      </c>
      <c r="J116" s="24">
        <f t="shared" si="38"/>
        <v>119.82264610283845</v>
      </c>
      <c r="K116" s="21">
        <v>16552180.51</v>
      </c>
      <c r="L116" s="21">
        <v>0</v>
      </c>
      <c r="M116" s="25">
        <v>1</v>
      </c>
      <c r="N116" s="10"/>
      <c r="R116" s="2"/>
    </row>
    <row r="117" spans="1:18" ht="15.75" customHeight="1" x14ac:dyDescent="0.25">
      <c r="A117" s="19"/>
      <c r="B117" s="20">
        <f>DATE(2021,5,1)</f>
        <v>44317</v>
      </c>
      <c r="C117" s="21">
        <v>254752</v>
      </c>
      <c r="D117" s="21">
        <v>0</v>
      </c>
      <c r="E117" s="23">
        <v>1</v>
      </c>
      <c r="F117" s="21">
        <f>+C117-116176</f>
        <v>138576</v>
      </c>
      <c r="G117" s="21">
        <v>0</v>
      </c>
      <c r="H117" s="23">
        <v>1</v>
      </c>
      <c r="I117" s="24">
        <f t="shared" si="37"/>
        <v>61.294532172465772</v>
      </c>
      <c r="J117" s="24">
        <f t="shared" si="38"/>
        <v>112.68116167301697</v>
      </c>
      <c r="K117" s="21">
        <v>15614904.66</v>
      </c>
      <c r="L117" s="21">
        <v>0</v>
      </c>
      <c r="M117" s="25">
        <v>1</v>
      </c>
      <c r="N117" s="10"/>
      <c r="R117" s="2"/>
    </row>
    <row r="118" spans="1:18" ht="15.75" customHeight="1" thickBot="1" x14ac:dyDescent="0.3">
      <c r="A118" s="19"/>
      <c r="B118" s="45"/>
      <c r="C118" s="21"/>
      <c r="D118" s="21"/>
      <c r="E118" s="23"/>
      <c r="F118" s="21"/>
      <c r="G118" s="21"/>
      <c r="H118" s="23"/>
      <c r="I118" s="24"/>
      <c r="J118" s="24"/>
      <c r="K118" s="21"/>
      <c r="L118" s="21"/>
      <c r="M118" s="25"/>
      <c r="N118" s="10"/>
      <c r="R118" s="2"/>
    </row>
    <row r="119" spans="1:18" ht="17.25" thickTop="1" thickBot="1" x14ac:dyDescent="0.3">
      <c r="A119" s="39" t="s">
        <v>14</v>
      </c>
      <c r="B119" s="40"/>
      <c r="C119" s="41">
        <f>SUM(C107:C118)</f>
        <v>2492870</v>
      </c>
      <c r="D119" s="41">
        <f>SUM(D107:D118)</f>
        <v>2573694</v>
      </c>
      <c r="E119" s="280">
        <f>(+C119-D119)/D119</f>
        <v>-3.1403888729584793E-2</v>
      </c>
      <c r="F119" s="41">
        <f>SUM(F107:F118)</f>
        <v>1329973</v>
      </c>
      <c r="G119" s="41">
        <f>SUM(G107:G118)</f>
        <v>1434471</v>
      </c>
      <c r="H119" s="42">
        <f>(+F119-G119)/G119</f>
        <v>-7.2847760603037631E-2</v>
      </c>
      <c r="I119" s="43">
        <f>K119/C119</f>
        <v>59.192123030884083</v>
      </c>
      <c r="J119" s="43">
        <f>K119/F119</f>
        <v>110.94831830420618</v>
      </c>
      <c r="K119" s="41">
        <f>SUM(K107:K118)</f>
        <v>147558267.74000001</v>
      </c>
      <c r="L119" s="41">
        <f>SUM(L107:L118)</f>
        <v>108440815.19999999</v>
      </c>
      <c r="M119" s="44">
        <f>(+K119-L119)/L119</f>
        <v>0.36072628620372105</v>
      </c>
      <c r="N119" s="10"/>
      <c r="R119" s="2"/>
    </row>
    <row r="120" spans="1:18" ht="15.75" customHeight="1" thickTop="1" x14ac:dyDescent="0.2">
      <c r="A120" s="54"/>
      <c r="B120" s="55"/>
      <c r="C120" s="55"/>
      <c r="D120" s="55"/>
      <c r="E120" s="56"/>
      <c r="F120" s="55"/>
      <c r="G120" s="55"/>
      <c r="H120" s="56"/>
      <c r="I120" s="55"/>
      <c r="J120" s="55"/>
      <c r="K120" s="196"/>
      <c r="L120" s="196"/>
      <c r="M120" s="57"/>
      <c r="N120" s="10"/>
      <c r="R120" s="2"/>
    </row>
    <row r="121" spans="1:18" ht="15.75" customHeight="1" x14ac:dyDescent="0.25">
      <c r="A121" s="19" t="s">
        <v>16</v>
      </c>
      <c r="B121" s="20">
        <f>DATE(2020,7,1)</f>
        <v>44013</v>
      </c>
      <c r="C121" s="21">
        <v>211446</v>
      </c>
      <c r="D121" s="21">
        <v>366609</v>
      </c>
      <c r="E121" s="23">
        <f t="shared" ref="E121:E129" si="40">(+C121-D121)/D121</f>
        <v>-0.42323838203644754</v>
      </c>
      <c r="F121" s="21">
        <f>+C121-102823</f>
        <v>108623</v>
      </c>
      <c r="G121" s="21">
        <f>+D121-178251</f>
        <v>188358</v>
      </c>
      <c r="H121" s="23">
        <f t="shared" ref="H121:H129" si="41">(+F121-G121)/G121</f>
        <v>-0.42331623822720565</v>
      </c>
      <c r="I121" s="24">
        <f t="shared" ref="I121:I131" si="42">K121/C121</f>
        <v>65.394689944477548</v>
      </c>
      <c r="J121" s="24">
        <f t="shared" ref="J121:J131" si="43">K121/F121</f>
        <v>127.29758531802656</v>
      </c>
      <c r="K121" s="21">
        <v>13827445.609999999</v>
      </c>
      <c r="L121" s="21">
        <v>15689376.039999999</v>
      </c>
      <c r="M121" s="25">
        <f t="shared" ref="M121:M129" si="44">(+K121-L121)/L121</f>
        <v>-0.11867460026791478</v>
      </c>
      <c r="N121" s="10"/>
      <c r="R121" s="2"/>
    </row>
    <row r="122" spans="1:18" ht="15.75" customHeight="1" x14ac:dyDescent="0.25">
      <c r="A122" s="19"/>
      <c r="B122" s="20">
        <f>DATE(2020,8,1)</f>
        <v>44044</v>
      </c>
      <c r="C122" s="21">
        <v>225551</v>
      </c>
      <c r="D122" s="21">
        <v>384874</v>
      </c>
      <c r="E122" s="23">
        <f t="shared" si="40"/>
        <v>-0.41396145231946041</v>
      </c>
      <c r="F122" s="21">
        <f>+C122-110461</f>
        <v>115090</v>
      </c>
      <c r="G122" s="21">
        <f>+D122-186167</f>
        <v>198707</v>
      </c>
      <c r="H122" s="23">
        <f t="shared" si="41"/>
        <v>-0.42080550760667718</v>
      </c>
      <c r="I122" s="24">
        <f t="shared" si="42"/>
        <v>63.5922016750092</v>
      </c>
      <c r="J122" s="24">
        <f t="shared" si="43"/>
        <v>124.62668068468155</v>
      </c>
      <c r="K122" s="21">
        <v>14343284.68</v>
      </c>
      <c r="L122" s="21">
        <v>16597532.279999999</v>
      </c>
      <c r="M122" s="25">
        <f t="shared" si="44"/>
        <v>-0.13581823863758136</v>
      </c>
      <c r="N122" s="10"/>
      <c r="R122" s="2"/>
    </row>
    <row r="123" spans="1:18" ht="15.75" customHeight="1" x14ac:dyDescent="0.25">
      <c r="A123" s="19"/>
      <c r="B123" s="20">
        <f>DATE(2020,9,1)</f>
        <v>44075</v>
      </c>
      <c r="C123" s="21">
        <v>224827</v>
      </c>
      <c r="D123" s="21">
        <v>348168</v>
      </c>
      <c r="E123" s="23">
        <f t="shared" si="40"/>
        <v>-0.35425714023115279</v>
      </c>
      <c r="F123" s="21">
        <f>+C123-110393</f>
        <v>114434</v>
      </c>
      <c r="G123" s="21">
        <f>+D123-163347</f>
        <v>184821</v>
      </c>
      <c r="H123" s="23">
        <f t="shared" si="41"/>
        <v>-0.3808387575005005</v>
      </c>
      <c r="I123" s="24">
        <f t="shared" si="42"/>
        <v>60.458002019330422</v>
      </c>
      <c r="J123" s="24">
        <f t="shared" si="43"/>
        <v>118.78105475645351</v>
      </c>
      <c r="K123" s="21">
        <v>13592591.220000001</v>
      </c>
      <c r="L123" s="21">
        <v>15466295.43</v>
      </c>
      <c r="M123" s="25">
        <f t="shared" si="44"/>
        <v>-0.12114757657904114</v>
      </c>
      <c r="N123" s="10"/>
      <c r="R123" s="2"/>
    </row>
    <row r="124" spans="1:18" ht="15.75" customHeight="1" x14ac:dyDescent="0.25">
      <c r="A124" s="19"/>
      <c r="B124" s="20">
        <f>DATE(2020,10,1)</f>
        <v>44105</v>
      </c>
      <c r="C124" s="21">
        <v>236689</v>
      </c>
      <c r="D124" s="21">
        <v>347400</v>
      </c>
      <c r="E124" s="23">
        <f t="shared" si="40"/>
        <v>-0.31868451352907312</v>
      </c>
      <c r="F124" s="21">
        <f>+C124-116990</f>
        <v>119699</v>
      </c>
      <c r="G124" s="21">
        <f>+D124-164019</f>
        <v>183381</v>
      </c>
      <c r="H124" s="23">
        <f t="shared" si="41"/>
        <v>-0.3472660744570048</v>
      </c>
      <c r="I124" s="24">
        <f t="shared" si="42"/>
        <v>61.045766089678864</v>
      </c>
      <c r="J124" s="24">
        <f t="shared" si="43"/>
        <v>120.70995856272818</v>
      </c>
      <c r="K124" s="21">
        <v>14448861.33</v>
      </c>
      <c r="L124" s="21">
        <v>16339837.66</v>
      </c>
      <c r="M124" s="25">
        <f t="shared" si="44"/>
        <v>-0.11572797535370373</v>
      </c>
      <c r="N124" s="10"/>
      <c r="R124" s="2"/>
    </row>
    <row r="125" spans="1:18" ht="15.75" customHeight="1" x14ac:dyDescent="0.25">
      <c r="A125" s="19"/>
      <c r="B125" s="20">
        <f>DATE(2020,11,1)</f>
        <v>44136</v>
      </c>
      <c r="C125" s="21">
        <v>217833</v>
      </c>
      <c r="D125" s="21">
        <v>367906</v>
      </c>
      <c r="E125" s="23">
        <f t="shared" si="40"/>
        <v>-0.4079112599413981</v>
      </c>
      <c r="F125" s="21">
        <f>+C125-108450</f>
        <v>109383</v>
      </c>
      <c r="G125" s="21">
        <f>+D125-173004</f>
        <v>194902</v>
      </c>
      <c r="H125" s="23">
        <f t="shared" si="41"/>
        <v>-0.43877948917917725</v>
      </c>
      <c r="I125" s="24">
        <f t="shared" si="42"/>
        <v>57.770713482346565</v>
      </c>
      <c r="J125" s="24">
        <f t="shared" si="43"/>
        <v>115.04866231498497</v>
      </c>
      <c r="K125" s="21">
        <v>12584367.83</v>
      </c>
      <c r="L125" s="21">
        <v>16579737.300000001</v>
      </c>
      <c r="M125" s="25">
        <f t="shared" si="44"/>
        <v>-0.24097905761148583</v>
      </c>
      <c r="N125" s="10"/>
      <c r="R125" s="2"/>
    </row>
    <row r="126" spans="1:18" ht="15.75" customHeight="1" x14ac:dyDescent="0.25">
      <c r="A126" s="19"/>
      <c r="B126" s="20">
        <f>DATE(2020,12,1)</f>
        <v>44166</v>
      </c>
      <c r="C126" s="21">
        <v>232838</v>
      </c>
      <c r="D126" s="21">
        <v>375779</v>
      </c>
      <c r="E126" s="23">
        <f t="shared" si="40"/>
        <v>-0.3803858118734682</v>
      </c>
      <c r="F126" s="21">
        <f>+C126-115697</f>
        <v>117141</v>
      </c>
      <c r="G126" s="21">
        <f>+D126-181369</f>
        <v>194410</v>
      </c>
      <c r="H126" s="23">
        <f t="shared" si="41"/>
        <v>-0.39745383467928602</v>
      </c>
      <c r="I126" s="24">
        <f t="shared" si="42"/>
        <v>60.641073922641489</v>
      </c>
      <c r="J126" s="24">
        <f t="shared" si="43"/>
        <v>120.53462382940216</v>
      </c>
      <c r="K126" s="21">
        <v>14119546.369999999</v>
      </c>
      <c r="L126" s="21">
        <v>15685280.15</v>
      </c>
      <c r="M126" s="25">
        <f t="shared" si="44"/>
        <v>-9.9821856226138317E-2</v>
      </c>
      <c r="N126" s="10"/>
      <c r="R126" s="2"/>
    </row>
    <row r="127" spans="1:18" ht="15.75" customHeight="1" x14ac:dyDescent="0.25">
      <c r="A127" s="19"/>
      <c r="B127" s="20">
        <f>DATE(2021,1,1)</f>
        <v>44197</v>
      </c>
      <c r="C127" s="21">
        <v>260524</v>
      </c>
      <c r="D127" s="21">
        <v>330613</v>
      </c>
      <c r="E127" s="23">
        <f t="shared" si="40"/>
        <v>-0.211997108401666</v>
      </c>
      <c r="F127" s="21">
        <f>+C127-129652</f>
        <v>130872</v>
      </c>
      <c r="G127" s="21">
        <f>+D127-158076</f>
        <v>172537</v>
      </c>
      <c r="H127" s="23">
        <f t="shared" si="41"/>
        <v>-0.24148443522258994</v>
      </c>
      <c r="I127" s="24">
        <f t="shared" si="42"/>
        <v>60.423358462176225</v>
      </c>
      <c r="J127" s="24">
        <f t="shared" si="43"/>
        <v>120.28344519836175</v>
      </c>
      <c r="K127" s="21">
        <v>15741735.039999999</v>
      </c>
      <c r="L127" s="21">
        <v>15064884.390000001</v>
      </c>
      <c r="M127" s="25">
        <f t="shared" si="44"/>
        <v>4.4929030484249108E-2</v>
      </c>
      <c r="N127" s="10"/>
      <c r="R127" s="2"/>
    </row>
    <row r="128" spans="1:18" ht="15.75" customHeight="1" x14ac:dyDescent="0.25">
      <c r="A128" s="19"/>
      <c r="B128" s="20">
        <f>DATE(2021,2,1)</f>
        <v>44228</v>
      </c>
      <c r="C128" s="21">
        <v>219600</v>
      </c>
      <c r="D128" s="21">
        <v>374709</v>
      </c>
      <c r="E128" s="23">
        <f t="shared" si="40"/>
        <v>-0.41394522149187768</v>
      </c>
      <c r="F128" s="21">
        <f>+C128-109391</f>
        <v>110209</v>
      </c>
      <c r="G128" s="21">
        <f>+D128-179401</f>
        <v>195308</v>
      </c>
      <c r="H128" s="23">
        <f t="shared" si="41"/>
        <v>-0.43571691891781189</v>
      </c>
      <c r="I128" s="24">
        <f t="shared" si="42"/>
        <v>60.750195628415305</v>
      </c>
      <c r="J128" s="24">
        <f t="shared" si="43"/>
        <v>121.04948742843145</v>
      </c>
      <c r="K128" s="21">
        <v>13340742.960000001</v>
      </c>
      <c r="L128" s="21">
        <v>17069473.640000001</v>
      </c>
      <c r="M128" s="25">
        <f t="shared" si="44"/>
        <v>-0.21844438549424419</v>
      </c>
      <c r="N128" s="10"/>
      <c r="R128" s="2"/>
    </row>
    <row r="129" spans="1:18" ht="15.75" customHeight="1" x14ac:dyDescent="0.25">
      <c r="A129" s="19"/>
      <c r="B129" s="20">
        <f>DATE(2021,3,1)</f>
        <v>44256</v>
      </c>
      <c r="C129" s="21">
        <v>314144</v>
      </c>
      <c r="D129" s="21">
        <v>181154</v>
      </c>
      <c r="E129" s="23">
        <f t="shared" si="40"/>
        <v>0.73412676507281094</v>
      </c>
      <c r="F129" s="21">
        <f>+C129-159326</f>
        <v>154818</v>
      </c>
      <c r="G129" s="21">
        <f>+D129-86940</f>
        <v>94214</v>
      </c>
      <c r="H129" s="23">
        <f t="shared" si="41"/>
        <v>0.64325896363597768</v>
      </c>
      <c r="I129" s="24">
        <f t="shared" si="42"/>
        <v>62.663791987114188</v>
      </c>
      <c r="J129" s="24">
        <f t="shared" si="43"/>
        <v>127.15223210479401</v>
      </c>
      <c r="K129" s="21">
        <v>19685454.27</v>
      </c>
      <c r="L129" s="21">
        <v>8556336.3699999992</v>
      </c>
      <c r="M129" s="25">
        <f t="shared" si="44"/>
        <v>1.3006872823537676</v>
      </c>
      <c r="N129" s="10"/>
      <c r="R129" s="2"/>
    </row>
    <row r="130" spans="1:18" ht="15.75" customHeight="1" x14ac:dyDescent="0.25">
      <c r="A130" s="19"/>
      <c r="B130" s="20">
        <f>DATE(2021,4,1)</f>
        <v>44287</v>
      </c>
      <c r="C130" s="21">
        <v>297291</v>
      </c>
      <c r="D130" s="21">
        <v>0</v>
      </c>
      <c r="E130" s="23">
        <v>1</v>
      </c>
      <c r="F130" s="21">
        <f>+C130-148792</f>
        <v>148499</v>
      </c>
      <c r="G130" s="21">
        <v>0</v>
      </c>
      <c r="H130" s="23">
        <v>1</v>
      </c>
      <c r="I130" s="24">
        <f t="shared" si="42"/>
        <v>65.378019617142797</v>
      </c>
      <c r="J130" s="24">
        <f t="shared" si="43"/>
        <v>130.88503511808159</v>
      </c>
      <c r="K130" s="21">
        <v>19436296.829999998</v>
      </c>
      <c r="L130" s="21">
        <v>0</v>
      </c>
      <c r="M130" s="25">
        <v>1</v>
      </c>
      <c r="N130" s="10"/>
      <c r="R130" s="2"/>
    </row>
    <row r="131" spans="1:18" ht="15.75" customHeight="1" x14ac:dyDescent="0.25">
      <c r="A131" s="19"/>
      <c r="B131" s="20">
        <f>DATE(2021,5,1)</f>
        <v>44317</v>
      </c>
      <c r="C131" s="21">
        <v>299779</v>
      </c>
      <c r="D131" s="21">
        <v>0</v>
      </c>
      <c r="E131" s="23">
        <v>1</v>
      </c>
      <c r="F131" s="21">
        <f>+C131-150268</f>
        <v>149511</v>
      </c>
      <c r="G131" s="21">
        <v>0</v>
      </c>
      <c r="H131" s="23">
        <v>1</v>
      </c>
      <c r="I131" s="24">
        <f t="shared" si="42"/>
        <v>64.403467054063157</v>
      </c>
      <c r="J131" s="24">
        <f t="shared" si="43"/>
        <v>129.13301997846312</v>
      </c>
      <c r="K131" s="21">
        <v>19306806.949999999</v>
      </c>
      <c r="L131" s="21">
        <v>0</v>
      </c>
      <c r="M131" s="25">
        <v>1</v>
      </c>
      <c r="N131" s="10"/>
      <c r="R131" s="2"/>
    </row>
    <row r="132" spans="1:18" ht="15.75" customHeight="1" thickBot="1" x14ac:dyDescent="0.3">
      <c r="A132" s="19"/>
      <c r="B132" s="45"/>
      <c r="C132" s="21"/>
      <c r="D132" s="21"/>
      <c r="E132" s="23"/>
      <c r="F132" s="21"/>
      <c r="G132" s="21"/>
      <c r="H132" s="23"/>
      <c r="I132" s="24"/>
      <c r="J132" s="24"/>
      <c r="K132" s="21"/>
      <c r="L132" s="21"/>
      <c r="M132" s="25"/>
      <c r="N132" s="10"/>
      <c r="R132" s="2"/>
    </row>
    <row r="133" spans="1:18" ht="17.25" thickTop="1" thickBot="1" x14ac:dyDescent="0.3">
      <c r="A133" s="39" t="s">
        <v>14</v>
      </c>
      <c r="B133" s="40"/>
      <c r="C133" s="41">
        <f>SUM(C121:C132)</f>
        <v>2740522</v>
      </c>
      <c r="D133" s="41">
        <f>SUM(D121:D132)</f>
        <v>3077212</v>
      </c>
      <c r="E133" s="280">
        <f>(+C133-D133)/D133</f>
        <v>-0.109413976027651</v>
      </c>
      <c r="F133" s="41">
        <f>SUM(F121:F132)</f>
        <v>1378279</v>
      </c>
      <c r="G133" s="41">
        <f>SUM(G121:G132)</f>
        <v>1606638</v>
      </c>
      <c r="H133" s="42">
        <f>(+F133-G133)/G133</f>
        <v>-0.14213469368955545</v>
      </c>
      <c r="I133" s="43">
        <f>K133/C133</f>
        <v>62.187836145814558</v>
      </c>
      <c r="J133" s="43">
        <f>K133/F133</f>
        <v>123.65212927861485</v>
      </c>
      <c r="K133" s="41">
        <f>SUM(K121:K132)</f>
        <v>170427133.09</v>
      </c>
      <c r="L133" s="41">
        <f>SUM(L121:L132)</f>
        <v>137048753.25999999</v>
      </c>
      <c r="M133" s="44">
        <f>(+K133-L133)/L133</f>
        <v>0.2435511380878943</v>
      </c>
      <c r="N133" s="10"/>
      <c r="R133" s="2"/>
    </row>
    <row r="134" spans="1:18" ht="15.75" customHeight="1" thickTop="1" x14ac:dyDescent="0.2">
      <c r="A134" s="54"/>
      <c r="B134" s="55"/>
      <c r="C134" s="55"/>
      <c r="D134" s="55"/>
      <c r="E134" s="56"/>
      <c r="F134" s="55"/>
      <c r="G134" s="55"/>
      <c r="H134" s="56"/>
      <c r="I134" s="55"/>
      <c r="J134" s="55"/>
      <c r="K134" s="196"/>
      <c r="L134" s="196"/>
      <c r="M134" s="57"/>
      <c r="N134" s="10"/>
      <c r="R134" s="2"/>
    </row>
    <row r="135" spans="1:18" ht="15.75" customHeight="1" x14ac:dyDescent="0.25">
      <c r="A135" s="19" t="s">
        <v>54</v>
      </c>
      <c r="B135" s="20">
        <f>DATE(2020,7,1)</f>
        <v>44013</v>
      </c>
      <c r="C135" s="21">
        <v>223492</v>
      </c>
      <c r="D135" s="21">
        <v>420137</v>
      </c>
      <c r="E135" s="23">
        <f t="shared" ref="E135:E143" si="45">(+C135-D135)/D135</f>
        <v>-0.46804970759537962</v>
      </c>
      <c r="F135" s="21">
        <f>+C135-109534</f>
        <v>113958</v>
      </c>
      <c r="G135" s="21">
        <f>+D135-190250</f>
        <v>229887</v>
      </c>
      <c r="H135" s="23">
        <f t="shared" ref="H135:H143" si="46">(+F135-G135)/G135</f>
        <v>-0.50428688877578987</v>
      </c>
      <c r="I135" s="24">
        <f t="shared" ref="I135:I145" si="47">K135/C135</f>
        <v>67.284607413240749</v>
      </c>
      <c r="J135" s="24">
        <f t="shared" ref="J135:J145" si="48">K135/F135</f>
        <v>131.9571375419014</v>
      </c>
      <c r="K135" s="21">
        <v>15037571.48</v>
      </c>
      <c r="L135" s="21">
        <v>18224766.800000001</v>
      </c>
      <c r="M135" s="25">
        <f t="shared" ref="M135:M143" si="49">(+K135-L135)/L135</f>
        <v>-0.17488263937621415</v>
      </c>
      <c r="N135" s="10"/>
      <c r="R135" s="2"/>
    </row>
    <row r="136" spans="1:18" ht="15.75" customHeight="1" x14ac:dyDescent="0.25">
      <c r="A136" s="19"/>
      <c r="B136" s="20">
        <f>DATE(2020,8,1)</f>
        <v>44044</v>
      </c>
      <c r="C136" s="21">
        <v>243172</v>
      </c>
      <c r="D136" s="21">
        <v>436427</v>
      </c>
      <c r="E136" s="23">
        <f t="shared" si="45"/>
        <v>-0.44281174171167226</v>
      </c>
      <c r="F136" s="21">
        <f>+C136-117936</f>
        <v>125236</v>
      </c>
      <c r="G136" s="21">
        <f>+D136-195454</f>
        <v>240973</v>
      </c>
      <c r="H136" s="23">
        <f t="shared" si="46"/>
        <v>-0.48029032298224283</v>
      </c>
      <c r="I136" s="24">
        <f t="shared" si="47"/>
        <v>65.227788561183033</v>
      </c>
      <c r="J136" s="24">
        <f t="shared" si="48"/>
        <v>126.65345268133764</v>
      </c>
      <c r="K136" s="21">
        <v>15861571.800000001</v>
      </c>
      <c r="L136" s="21">
        <v>19518295.300000001</v>
      </c>
      <c r="M136" s="25">
        <f t="shared" si="49"/>
        <v>-0.18734850783818194</v>
      </c>
      <c r="N136" s="10"/>
      <c r="R136" s="2"/>
    </row>
    <row r="137" spans="1:18" ht="15.75" customHeight="1" x14ac:dyDescent="0.25">
      <c r="A137" s="19"/>
      <c r="B137" s="20">
        <f>DATE(2020,9,1)</f>
        <v>44075</v>
      </c>
      <c r="C137" s="21">
        <v>258989</v>
      </c>
      <c r="D137" s="21">
        <v>419890</v>
      </c>
      <c r="E137" s="23">
        <f t="shared" si="45"/>
        <v>-0.38319798042344422</v>
      </c>
      <c r="F137" s="21">
        <f>+C137-126754</f>
        <v>132235</v>
      </c>
      <c r="G137" s="21">
        <f>+D137-187135</f>
        <v>232755</v>
      </c>
      <c r="H137" s="23">
        <f t="shared" si="46"/>
        <v>-0.43187042168804107</v>
      </c>
      <c r="I137" s="24">
        <f t="shared" si="47"/>
        <v>63.346609122395158</v>
      </c>
      <c r="J137" s="24">
        <f t="shared" si="48"/>
        <v>124.06756872235036</v>
      </c>
      <c r="K137" s="21">
        <v>16406074.949999999</v>
      </c>
      <c r="L137" s="21">
        <v>18459322.530000001</v>
      </c>
      <c r="M137" s="25">
        <f t="shared" si="49"/>
        <v>-0.11123092825660714</v>
      </c>
      <c r="N137" s="10"/>
      <c r="R137" s="2"/>
    </row>
    <row r="138" spans="1:18" ht="15.75" customHeight="1" x14ac:dyDescent="0.25">
      <c r="A138" s="19"/>
      <c r="B138" s="20">
        <f>DATE(2020,10,1)</f>
        <v>44105</v>
      </c>
      <c r="C138" s="21">
        <v>272659</v>
      </c>
      <c r="D138" s="21">
        <v>422307</v>
      </c>
      <c r="E138" s="23">
        <f t="shared" si="45"/>
        <v>-0.3543583222631877</v>
      </c>
      <c r="F138" s="21">
        <f>+C138-130567</f>
        <v>142092</v>
      </c>
      <c r="G138" s="21">
        <f>+D138-185957</f>
        <v>236350</v>
      </c>
      <c r="H138" s="23">
        <f t="shared" si="46"/>
        <v>-0.39880685424159085</v>
      </c>
      <c r="I138" s="24">
        <f t="shared" si="47"/>
        <v>60.090470587803807</v>
      </c>
      <c r="J138" s="24">
        <f t="shared" si="48"/>
        <v>115.30703783464234</v>
      </c>
      <c r="K138" s="21">
        <v>16384207.619999999</v>
      </c>
      <c r="L138" s="21">
        <v>18621742.489999998</v>
      </c>
      <c r="M138" s="25">
        <f t="shared" si="49"/>
        <v>-0.12015711586612104</v>
      </c>
      <c r="N138" s="10"/>
      <c r="R138" s="2"/>
    </row>
    <row r="139" spans="1:18" ht="15.75" customHeight="1" x14ac:dyDescent="0.25">
      <c r="A139" s="19"/>
      <c r="B139" s="20">
        <f>DATE(2020,11,1)</f>
        <v>44136</v>
      </c>
      <c r="C139" s="21">
        <v>229316</v>
      </c>
      <c r="D139" s="21">
        <v>434809</v>
      </c>
      <c r="E139" s="23">
        <f t="shared" si="45"/>
        <v>-0.4726052128635792</v>
      </c>
      <c r="F139" s="21">
        <f>+C139-112072</f>
        <v>117244</v>
      </c>
      <c r="G139" s="21">
        <f>+D139-195397</f>
        <v>239412</v>
      </c>
      <c r="H139" s="23">
        <f t="shared" si="46"/>
        <v>-0.51028352797687671</v>
      </c>
      <c r="I139" s="24">
        <f t="shared" si="47"/>
        <v>63.174358483490032</v>
      </c>
      <c r="J139" s="24">
        <f t="shared" si="48"/>
        <v>123.56189817815837</v>
      </c>
      <c r="K139" s="21">
        <v>14486891.189999999</v>
      </c>
      <c r="L139" s="21">
        <v>19750307.149999999</v>
      </c>
      <c r="M139" s="25">
        <f t="shared" si="49"/>
        <v>-0.26649792937524008</v>
      </c>
      <c r="N139" s="10"/>
      <c r="R139" s="2"/>
    </row>
    <row r="140" spans="1:18" ht="15.75" customHeight="1" x14ac:dyDescent="0.25">
      <c r="A140" s="19"/>
      <c r="B140" s="20">
        <f>DATE(2020,12,1)</f>
        <v>44166</v>
      </c>
      <c r="C140" s="21">
        <v>224469</v>
      </c>
      <c r="D140" s="21">
        <v>424920</v>
      </c>
      <c r="E140" s="23">
        <f t="shared" si="45"/>
        <v>-0.47173820954532619</v>
      </c>
      <c r="F140" s="21">
        <f>+C140-110658</f>
        <v>113811</v>
      </c>
      <c r="G140" s="21">
        <f>+D140-195550</f>
        <v>229370</v>
      </c>
      <c r="H140" s="23">
        <f t="shared" si="46"/>
        <v>-0.5038104372847364</v>
      </c>
      <c r="I140" s="24">
        <f t="shared" si="47"/>
        <v>62.790052479406953</v>
      </c>
      <c r="J140" s="24">
        <f t="shared" si="48"/>
        <v>123.84058034812099</v>
      </c>
      <c r="K140" s="21">
        <v>14094420.289999999</v>
      </c>
      <c r="L140" s="21">
        <v>19938989.449999999</v>
      </c>
      <c r="M140" s="25">
        <f t="shared" si="49"/>
        <v>-0.29312263666401611</v>
      </c>
      <c r="N140" s="10"/>
      <c r="R140" s="2"/>
    </row>
    <row r="141" spans="1:18" ht="15.75" customHeight="1" x14ac:dyDescent="0.25">
      <c r="A141" s="19"/>
      <c r="B141" s="20">
        <f>DATE(2021,1,1)</f>
        <v>44197</v>
      </c>
      <c r="C141" s="21">
        <v>245222</v>
      </c>
      <c r="D141" s="21">
        <v>399730</v>
      </c>
      <c r="E141" s="23">
        <f t="shared" si="45"/>
        <v>-0.38653090836314513</v>
      </c>
      <c r="F141" s="21">
        <f>+C141-119074</f>
        <v>126148</v>
      </c>
      <c r="G141" s="21">
        <f>+D141-185431</f>
        <v>214299</v>
      </c>
      <c r="H141" s="23">
        <f t="shared" si="46"/>
        <v>-0.41134582989188001</v>
      </c>
      <c r="I141" s="24">
        <f t="shared" si="47"/>
        <v>63.976695280195088</v>
      </c>
      <c r="J141" s="24">
        <f t="shared" si="48"/>
        <v>124.36577012715223</v>
      </c>
      <c r="K141" s="21">
        <v>15688493.17</v>
      </c>
      <c r="L141" s="21">
        <v>18939147.039999999</v>
      </c>
      <c r="M141" s="25">
        <f t="shared" si="49"/>
        <v>-0.17163676184225873</v>
      </c>
      <c r="N141" s="10"/>
      <c r="R141" s="2"/>
    </row>
    <row r="142" spans="1:18" ht="15.75" customHeight="1" x14ac:dyDescent="0.25">
      <c r="A142" s="19"/>
      <c r="B142" s="20">
        <f>DATE(2021,2,1)</f>
        <v>44228</v>
      </c>
      <c r="C142" s="21">
        <v>206903</v>
      </c>
      <c r="D142" s="21">
        <v>435690</v>
      </c>
      <c r="E142" s="23">
        <f t="shared" si="45"/>
        <v>-0.52511418669237298</v>
      </c>
      <c r="F142" s="21">
        <f>+C142-98743</f>
        <v>108160</v>
      </c>
      <c r="G142" s="21">
        <f>+D142-192836</f>
        <v>242854</v>
      </c>
      <c r="H142" s="23">
        <f t="shared" si="46"/>
        <v>-0.55462953049980646</v>
      </c>
      <c r="I142" s="24">
        <f t="shared" si="47"/>
        <v>64.500585636747658</v>
      </c>
      <c r="J142" s="24">
        <f t="shared" si="48"/>
        <v>123.38539820636095</v>
      </c>
      <c r="K142" s="21">
        <v>13345364.67</v>
      </c>
      <c r="L142" s="21">
        <v>18816164.98</v>
      </c>
      <c r="M142" s="25">
        <f t="shared" si="49"/>
        <v>-0.29075001817931556</v>
      </c>
      <c r="N142" s="10"/>
      <c r="R142" s="2"/>
    </row>
    <row r="143" spans="1:18" ht="15.75" customHeight="1" x14ac:dyDescent="0.25">
      <c r="A143" s="19"/>
      <c r="B143" s="20">
        <f>DATE(2021,3,1)</f>
        <v>44256</v>
      </c>
      <c r="C143" s="21">
        <v>292430</v>
      </c>
      <c r="D143" s="21">
        <v>197840</v>
      </c>
      <c r="E143" s="23">
        <f t="shared" si="45"/>
        <v>0.4781136271734735</v>
      </c>
      <c r="F143" s="21">
        <f>+C143-142039</f>
        <v>150391</v>
      </c>
      <c r="G143" s="21">
        <f>+D143-89524</f>
        <v>108316</v>
      </c>
      <c r="H143" s="23">
        <f t="shared" si="46"/>
        <v>0.38844676686731416</v>
      </c>
      <c r="I143" s="24">
        <f t="shared" si="47"/>
        <v>64.788983004479704</v>
      </c>
      <c r="J143" s="24">
        <f t="shared" si="48"/>
        <v>125.97989440857499</v>
      </c>
      <c r="K143" s="21">
        <v>18946242.300000001</v>
      </c>
      <c r="L143" s="21">
        <v>9648338.7699999996</v>
      </c>
      <c r="M143" s="25">
        <f t="shared" si="49"/>
        <v>0.96367921480020768</v>
      </c>
      <c r="N143" s="10"/>
      <c r="R143" s="2"/>
    </row>
    <row r="144" spans="1:18" ht="15.75" customHeight="1" x14ac:dyDescent="0.25">
      <c r="A144" s="19"/>
      <c r="B144" s="20">
        <f>DATE(2021,4,1)</f>
        <v>44287</v>
      </c>
      <c r="C144" s="21">
        <v>297361</v>
      </c>
      <c r="D144" s="21">
        <v>0</v>
      </c>
      <c r="E144" s="23">
        <v>1</v>
      </c>
      <c r="F144" s="21">
        <f>+C144-142685</f>
        <v>154676</v>
      </c>
      <c r="G144" s="21">
        <v>0</v>
      </c>
      <c r="H144" s="23">
        <v>1</v>
      </c>
      <c r="I144" s="24">
        <f t="shared" si="47"/>
        <v>64.360839854587525</v>
      </c>
      <c r="J144" s="24">
        <f t="shared" si="48"/>
        <v>123.73221249579767</v>
      </c>
      <c r="K144" s="21">
        <v>19138403.699999999</v>
      </c>
      <c r="L144" s="21">
        <v>0</v>
      </c>
      <c r="M144" s="25">
        <v>1</v>
      </c>
      <c r="N144" s="10"/>
      <c r="R144" s="2"/>
    </row>
    <row r="145" spans="1:18" ht="15.75" customHeight="1" x14ac:dyDescent="0.25">
      <c r="A145" s="19"/>
      <c r="B145" s="20">
        <f>DATE(2021,5,1)</f>
        <v>44317</v>
      </c>
      <c r="C145" s="21">
        <v>330022</v>
      </c>
      <c r="D145" s="21">
        <v>0</v>
      </c>
      <c r="E145" s="23">
        <v>1</v>
      </c>
      <c r="F145" s="21">
        <f>+C145-159230</f>
        <v>170792</v>
      </c>
      <c r="G145" s="21">
        <v>0</v>
      </c>
      <c r="H145" s="23">
        <v>1</v>
      </c>
      <c r="I145" s="24">
        <f t="shared" si="47"/>
        <v>63.183097672276396</v>
      </c>
      <c r="J145" s="24">
        <f t="shared" si="48"/>
        <v>122.08892840414072</v>
      </c>
      <c r="K145" s="21">
        <v>20851812.260000002</v>
      </c>
      <c r="L145" s="21">
        <v>0</v>
      </c>
      <c r="M145" s="25">
        <v>1</v>
      </c>
      <c r="N145" s="10"/>
      <c r="R145" s="2"/>
    </row>
    <row r="146" spans="1:18" ht="15.75" customHeight="1" thickBot="1" x14ac:dyDescent="0.3">
      <c r="A146" s="19"/>
      <c r="B146" s="45"/>
      <c r="C146" s="21"/>
      <c r="D146" s="21"/>
      <c r="E146" s="23"/>
      <c r="F146" s="21"/>
      <c r="G146" s="21"/>
      <c r="H146" s="23"/>
      <c r="I146" s="24"/>
      <c r="J146" s="24"/>
      <c r="K146" s="21"/>
      <c r="L146" s="21"/>
      <c r="M146" s="25"/>
      <c r="N146" s="10"/>
      <c r="R146" s="2"/>
    </row>
    <row r="147" spans="1:18" ht="17.25" thickTop="1" thickBot="1" x14ac:dyDescent="0.3">
      <c r="A147" s="39" t="s">
        <v>14</v>
      </c>
      <c r="B147" s="40"/>
      <c r="C147" s="41">
        <f>SUM(C135:C146)</f>
        <v>2824035</v>
      </c>
      <c r="D147" s="41">
        <f>SUM(D135:D146)</f>
        <v>3591750</v>
      </c>
      <c r="E147" s="280">
        <f>(+C147-D147)/D147</f>
        <v>-0.21374399665901023</v>
      </c>
      <c r="F147" s="41">
        <f>SUM(F135:F146)</f>
        <v>1454743</v>
      </c>
      <c r="G147" s="41">
        <f>SUM(G135:G146)</f>
        <v>1974216</v>
      </c>
      <c r="H147" s="42">
        <f>(+F147-G147)/G147</f>
        <v>-0.26312875592133789</v>
      </c>
      <c r="I147" s="43">
        <f>K147/C147</f>
        <v>63.823944614709099</v>
      </c>
      <c r="J147" s="43">
        <f>K147/F147</f>
        <v>123.89889721414711</v>
      </c>
      <c r="K147" s="41">
        <f>SUM(K135:K146)</f>
        <v>180241053.43000001</v>
      </c>
      <c r="L147" s="41">
        <f>SUM(L135:L146)</f>
        <v>161917074.51000002</v>
      </c>
      <c r="M147" s="44">
        <f>(+K147-L147)/L147</f>
        <v>0.11316891053925443</v>
      </c>
      <c r="N147" s="10"/>
      <c r="R147" s="2"/>
    </row>
    <row r="148" spans="1:18" ht="15.75" customHeight="1" thickTop="1" x14ac:dyDescent="0.2">
      <c r="A148" s="58"/>
      <c r="B148" s="59"/>
      <c r="C148" s="59"/>
      <c r="D148" s="59"/>
      <c r="E148" s="60"/>
      <c r="F148" s="59"/>
      <c r="G148" s="59"/>
      <c r="H148" s="60"/>
      <c r="I148" s="59"/>
      <c r="J148" s="59"/>
      <c r="K148" s="197"/>
      <c r="L148" s="197"/>
      <c r="M148" s="61"/>
      <c r="N148" s="10"/>
      <c r="R148" s="2"/>
    </row>
    <row r="149" spans="1:18" ht="15" customHeight="1" x14ac:dyDescent="0.25">
      <c r="A149" s="19" t="s">
        <v>55</v>
      </c>
      <c r="B149" s="20">
        <f>DATE(2020,7,1)</f>
        <v>44013</v>
      </c>
      <c r="C149" s="21">
        <v>43226</v>
      </c>
      <c r="D149" s="21">
        <v>61327</v>
      </c>
      <c r="E149" s="23">
        <f t="shared" ref="E149:E157" si="50">(+C149-D149)/D149</f>
        <v>-0.29515547801131636</v>
      </c>
      <c r="F149" s="21">
        <f>+C149-22161</f>
        <v>21065</v>
      </c>
      <c r="G149" s="21">
        <f>+D149-29380</f>
        <v>31947</v>
      </c>
      <c r="H149" s="23">
        <f t="shared" ref="H149:H157" si="51">(+F149-G149)/G149</f>
        <v>-0.34062666291044541</v>
      </c>
      <c r="I149" s="24">
        <f t="shared" ref="I149:I159" si="52">K149/C149</f>
        <v>68.785856891685569</v>
      </c>
      <c r="J149" s="24">
        <f t="shared" ref="J149:J159" si="53">K149/F149</f>
        <v>141.15060289579873</v>
      </c>
      <c r="K149" s="21">
        <v>2973337.45</v>
      </c>
      <c r="L149" s="21">
        <v>2748922.94</v>
      </c>
      <c r="M149" s="25">
        <f t="shared" ref="M149:M157" si="54">(+K149-L149)/L149</f>
        <v>8.1637250260642169E-2</v>
      </c>
      <c r="N149" s="10"/>
      <c r="R149" s="2"/>
    </row>
    <row r="150" spans="1:18" ht="15" customHeight="1" x14ac:dyDescent="0.25">
      <c r="A150" s="19"/>
      <c r="B150" s="20">
        <f>DATE(2020,8,1)</f>
        <v>44044</v>
      </c>
      <c r="C150" s="21">
        <v>46706</v>
      </c>
      <c r="D150" s="21">
        <v>62887</v>
      </c>
      <c r="E150" s="23">
        <f t="shared" si="50"/>
        <v>-0.25730278117894001</v>
      </c>
      <c r="F150" s="21">
        <f>+C150-23797</f>
        <v>22909</v>
      </c>
      <c r="G150" s="21">
        <f>+D150-30695</f>
        <v>32192</v>
      </c>
      <c r="H150" s="23">
        <f t="shared" si="51"/>
        <v>-0.28836356858846918</v>
      </c>
      <c r="I150" s="24">
        <f t="shared" si="52"/>
        <v>65.788545797113855</v>
      </c>
      <c r="J150" s="24">
        <f t="shared" si="53"/>
        <v>134.12719106028197</v>
      </c>
      <c r="K150" s="21">
        <v>3072719.82</v>
      </c>
      <c r="L150" s="21">
        <v>2960495.62</v>
      </c>
      <c r="M150" s="25">
        <f t="shared" si="54"/>
        <v>3.7907233924568254E-2</v>
      </c>
      <c r="N150" s="10"/>
      <c r="R150" s="2"/>
    </row>
    <row r="151" spans="1:18" ht="15" customHeight="1" x14ac:dyDescent="0.25">
      <c r="A151" s="19"/>
      <c r="B151" s="20">
        <f>DATE(2020,9,1)</f>
        <v>44075</v>
      </c>
      <c r="C151" s="21">
        <v>44655</v>
      </c>
      <c r="D151" s="21">
        <v>59108</v>
      </c>
      <c r="E151" s="23">
        <f t="shared" si="50"/>
        <v>-0.24451850849292819</v>
      </c>
      <c r="F151" s="21">
        <f>+C151-22941</f>
        <v>21714</v>
      </c>
      <c r="G151" s="21">
        <f>+D151-28508</f>
        <v>30600</v>
      </c>
      <c r="H151" s="23">
        <f t="shared" si="51"/>
        <v>-0.29039215686274511</v>
      </c>
      <c r="I151" s="24">
        <f t="shared" si="52"/>
        <v>63.064807748292466</v>
      </c>
      <c r="J151" s="24">
        <f t="shared" si="53"/>
        <v>129.69323892419638</v>
      </c>
      <c r="K151" s="21">
        <v>2816158.99</v>
      </c>
      <c r="L151" s="21">
        <v>2697791.52</v>
      </c>
      <c r="M151" s="25">
        <f t="shared" si="54"/>
        <v>4.3875692069786108E-2</v>
      </c>
      <c r="N151" s="10"/>
      <c r="R151" s="2"/>
    </row>
    <row r="152" spans="1:18" ht="15" customHeight="1" x14ac:dyDescent="0.25">
      <c r="A152" s="19"/>
      <c r="B152" s="20">
        <f>DATE(2020,10,1)</f>
        <v>44105</v>
      </c>
      <c r="C152" s="21">
        <v>42403</v>
      </c>
      <c r="D152" s="21">
        <v>56197</v>
      </c>
      <c r="E152" s="23">
        <f t="shared" si="50"/>
        <v>-0.24545794259480044</v>
      </c>
      <c r="F152" s="21">
        <f>+C152-22277</f>
        <v>20126</v>
      </c>
      <c r="G152" s="21">
        <f>+D152-27661</f>
        <v>28536</v>
      </c>
      <c r="H152" s="23">
        <f t="shared" si="51"/>
        <v>-0.29471544715447157</v>
      </c>
      <c r="I152" s="24">
        <f t="shared" si="52"/>
        <v>67.736065136900692</v>
      </c>
      <c r="J152" s="24">
        <f t="shared" si="53"/>
        <v>142.71153582430688</v>
      </c>
      <c r="K152" s="21">
        <v>2872212.37</v>
      </c>
      <c r="L152" s="21">
        <v>2815045.18</v>
      </c>
      <c r="M152" s="25">
        <f t="shared" si="54"/>
        <v>2.0307734457036295E-2</v>
      </c>
      <c r="N152" s="10"/>
      <c r="R152" s="2"/>
    </row>
    <row r="153" spans="1:18" ht="15" customHeight="1" x14ac:dyDescent="0.25">
      <c r="A153" s="19"/>
      <c r="B153" s="20">
        <f>DATE(2020,11,1)</f>
        <v>44136</v>
      </c>
      <c r="C153" s="21">
        <v>37816</v>
      </c>
      <c r="D153" s="21">
        <v>56040</v>
      </c>
      <c r="E153" s="23">
        <f t="shared" si="50"/>
        <v>-0.32519628836545322</v>
      </c>
      <c r="F153" s="21">
        <f>+C153-19316</f>
        <v>18500</v>
      </c>
      <c r="G153" s="21">
        <f>+D153-27978</f>
        <v>28062</v>
      </c>
      <c r="H153" s="23">
        <f t="shared" si="51"/>
        <v>-0.34074549212458127</v>
      </c>
      <c r="I153" s="24">
        <f t="shared" si="52"/>
        <v>70.016627882377819</v>
      </c>
      <c r="J153" s="24">
        <f t="shared" si="53"/>
        <v>143.12155675675675</v>
      </c>
      <c r="K153" s="21">
        <v>2647748.7999999998</v>
      </c>
      <c r="L153" s="21">
        <v>2921369.96</v>
      </c>
      <c r="M153" s="25">
        <f t="shared" si="54"/>
        <v>-9.3661933868862041E-2</v>
      </c>
      <c r="N153" s="10"/>
      <c r="R153" s="2"/>
    </row>
    <row r="154" spans="1:18" ht="15" customHeight="1" x14ac:dyDescent="0.25">
      <c r="A154" s="19"/>
      <c r="B154" s="20">
        <f>DATE(2020,12,1)</f>
        <v>44166</v>
      </c>
      <c r="C154" s="21">
        <v>48198</v>
      </c>
      <c r="D154" s="21">
        <v>57797</v>
      </c>
      <c r="E154" s="23">
        <f t="shared" si="50"/>
        <v>-0.16608128449573506</v>
      </c>
      <c r="F154" s="21">
        <f>+C154-24463</f>
        <v>23735</v>
      </c>
      <c r="G154" s="21">
        <f>+D154-28840</f>
        <v>28957</v>
      </c>
      <c r="H154" s="23">
        <f t="shared" si="51"/>
        <v>-0.18033636081085747</v>
      </c>
      <c r="I154" s="24">
        <f t="shared" si="52"/>
        <v>68.945855222208394</v>
      </c>
      <c r="J154" s="24">
        <f t="shared" si="53"/>
        <v>140.00641794817781</v>
      </c>
      <c r="K154" s="21">
        <v>3323052.33</v>
      </c>
      <c r="L154" s="21">
        <v>2789521.62</v>
      </c>
      <c r="M154" s="25">
        <f t="shared" si="54"/>
        <v>0.1912624394716109</v>
      </c>
      <c r="N154" s="10"/>
      <c r="R154" s="2"/>
    </row>
    <row r="155" spans="1:18" ht="15" customHeight="1" x14ac:dyDescent="0.25">
      <c r="A155" s="19"/>
      <c r="B155" s="20">
        <f>DATE(2021,1,1)</f>
        <v>44197</v>
      </c>
      <c r="C155" s="21">
        <v>49456</v>
      </c>
      <c r="D155" s="21">
        <v>48934</v>
      </c>
      <c r="E155" s="23">
        <f t="shared" si="50"/>
        <v>1.0667429599051785E-2</v>
      </c>
      <c r="F155" s="21">
        <f>+C155-25797</f>
        <v>23659</v>
      </c>
      <c r="G155" s="21">
        <f>+D155-24962</f>
        <v>23972</v>
      </c>
      <c r="H155" s="23">
        <f t="shared" si="51"/>
        <v>-1.3056899716335725E-2</v>
      </c>
      <c r="I155" s="24">
        <f t="shared" si="52"/>
        <v>70.99026670171466</v>
      </c>
      <c r="J155" s="24">
        <f t="shared" si="53"/>
        <v>148.39573227947082</v>
      </c>
      <c r="K155" s="21">
        <v>3510894.63</v>
      </c>
      <c r="L155" s="21">
        <v>2557164.2999999998</v>
      </c>
      <c r="M155" s="25">
        <f t="shared" si="54"/>
        <v>0.37296404067583772</v>
      </c>
      <c r="N155" s="10"/>
      <c r="R155" s="2"/>
    </row>
    <row r="156" spans="1:18" ht="15" customHeight="1" x14ac:dyDescent="0.25">
      <c r="A156" s="19"/>
      <c r="B156" s="20">
        <f>DATE(2021,2,1)</f>
        <v>44228</v>
      </c>
      <c r="C156" s="21">
        <v>37429</v>
      </c>
      <c r="D156" s="21">
        <v>57643</v>
      </c>
      <c r="E156" s="23">
        <f t="shared" si="50"/>
        <v>-0.35067571084086535</v>
      </c>
      <c r="F156" s="21">
        <f>+C156-19952</f>
        <v>17477</v>
      </c>
      <c r="G156" s="21">
        <f>+D156-29130</f>
        <v>28513</v>
      </c>
      <c r="H156" s="23">
        <f t="shared" si="51"/>
        <v>-0.38705152035913443</v>
      </c>
      <c r="I156" s="24">
        <f t="shared" si="52"/>
        <v>70.194734029763026</v>
      </c>
      <c r="J156" s="24">
        <f t="shared" si="53"/>
        <v>150.33007381129485</v>
      </c>
      <c r="K156" s="21">
        <v>2627318.7000000002</v>
      </c>
      <c r="L156" s="21">
        <v>2997668.94</v>
      </c>
      <c r="M156" s="25">
        <f t="shared" si="54"/>
        <v>-0.12354607777335137</v>
      </c>
      <c r="N156" s="10"/>
      <c r="R156" s="2"/>
    </row>
    <row r="157" spans="1:18" ht="15" customHeight="1" x14ac:dyDescent="0.25">
      <c r="A157" s="19"/>
      <c r="B157" s="20">
        <f>DATE(2021,3,1)</f>
        <v>44256</v>
      </c>
      <c r="C157" s="21">
        <v>59560</v>
      </c>
      <c r="D157" s="21">
        <v>31920</v>
      </c>
      <c r="E157" s="23">
        <f t="shared" si="50"/>
        <v>0.86591478696741853</v>
      </c>
      <c r="F157" s="21">
        <f>+C157-31450</f>
        <v>28110</v>
      </c>
      <c r="G157" s="21">
        <f>+D157-15915</f>
        <v>16005</v>
      </c>
      <c r="H157" s="23">
        <f t="shared" si="51"/>
        <v>0.75632614807872545</v>
      </c>
      <c r="I157" s="24">
        <f t="shared" si="52"/>
        <v>71.871571020819331</v>
      </c>
      <c r="J157" s="24">
        <f t="shared" si="53"/>
        <v>152.28284489505512</v>
      </c>
      <c r="K157" s="21">
        <v>4280670.7699999996</v>
      </c>
      <c r="L157" s="21">
        <v>1820820.56</v>
      </c>
      <c r="M157" s="25">
        <f t="shared" si="54"/>
        <v>1.3509569608550551</v>
      </c>
      <c r="N157" s="10"/>
      <c r="R157" s="2"/>
    </row>
    <row r="158" spans="1:18" ht="15" customHeight="1" x14ac:dyDescent="0.25">
      <c r="A158" s="19"/>
      <c r="B158" s="20">
        <f>DATE(2021,4,1)</f>
        <v>44287</v>
      </c>
      <c r="C158" s="21">
        <v>56019</v>
      </c>
      <c r="D158" s="21">
        <v>0</v>
      </c>
      <c r="E158" s="23">
        <v>1</v>
      </c>
      <c r="F158" s="21">
        <f>+C158-29778</f>
        <v>26241</v>
      </c>
      <c r="G158" s="21">
        <v>0</v>
      </c>
      <c r="H158" s="23">
        <v>1</v>
      </c>
      <c r="I158" s="24">
        <f t="shared" si="52"/>
        <v>69.856324461343476</v>
      </c>
      <c r="J158" s="24">
        <f t="shared" si="53"/>
        <v>149.12851796806524</v>
      </c>
      <c r="K158" s="21">
        <v>3913281.44</v>
      </c>
      <c r="L158" s="21">
        <v>0</v>
      </c>
      <c r="M158" s="25">
        <v>1</v>
      </c>
      <c r="N158" s="10"/>
      <c r="R158" s="2"/>
    </row>
    <row r="159" spans="1:18" ht="15" customHeight="1" x14ac:dyDescent="0.25">
      <c r="A159" s="19"/>
      <c r="B159" s="20">
        <f>DATE(2021,5,1)</f>
        <v>44317</v>
      </c>
      <c r="C159" s="21">
        <v>53383</v>
      </c>
      <c r="D159" s="21">
        <v>0</v>
      </c>
      <c r="E159" s="23">
        <v>1</v>
      </c>
      <c r="F159" s="21">
        <f>+C159-27804</f>
        <v>25579</v>
      </c>
      <c r="G159" s="21">
        <v>0</v>
      </c>
      <c r="H159" s="23">
        <v>1</v>
      </c>
      <c r="I159" s="24">
        <f t="shared" si="52"/>
        <v>62.116114118726934</v>
      </c>
      <c r="J159" s="24">
        <f t="shared" si="53"/>
        <v>129.63542437155479</v>
      </c>
      <c r="K159" s="21">
        <v>3315944.52</v>
      </c>
      <c r="L159" s="21">
        <v>0</v>
      </c>
      <c r="M159" s="25">
        <v>1</v>
      </c>
      <c r="N159" s="10"/>
      <c r="R159" s="2"/>
    </row>
    <row r="160" spans="1:18" ht="15.75" thickBot="1" x14ac:dyDescent="0.25">
      <c r="A160" s="38"/>
      <c r="B160" s="20"/>
      <c r="C160" s="21"/>
      <c r="D160" s="21"/>
      <c r="E160" s="23"/>
      <c r="F160" s="21"/>
      <c r="G160" s="21"/>
      <c r="H160" s="23"/>
      <c r="I160" s="24"/>
      <c r="J160" s="24"/>
      <c r="K160" s="21"/>
      <c r="L160" s="21"/>
      <c r="M160" s="25"/>
      <c r="N160" s="10"/>
      <c r="R160" s="2"/>
    </row>
    <row r="161" spans="1:18" ht="17.25" thickTop="1" thickBot="1" x14ac:dyDescent="0.3">
      <c r="A161" s="62" t="s">
        <v>14</v>
      </c>
      <c r="B161" s="52"/>
      <c r="C161" s="48">
        <f>SUM(C149:C160)</f>
        <v>518851</v>
      </c>
      <c r="D161" s="48">
        <f>SUM(D149:D160)</f>
        <v>491853</v>
      </c>
      <c r="E161" s="280">
        <f>(+C161-D161)/D161</f>
        <v>5.4890383915519474E-2</v>
      </c>
      <c r="F161" s="48">
        <f>SUM(F149:F160)</f>
        <v>249115</v>
      </c>
      <c r="G161" s="48">
        <f>SUM(G149:G160)</f>
        <v>248784</v>
      </c>
      <c r="H161" s="42">
        <f>(+F161-G161)/G161</f>
        <v>1.3304714129526015E-3</v>
      </c>
      <c r="I161" s="50">
        <f>K161/C161</f>
        <v>68.137750182615051</v>
      </c>
      <c r="J161" s="50">
        <f>K161/F161</f>
        <v>141.91574100315117</v>
      </c>
      <c r="K161" s="48">
        <f>SUM(K149:K160)</f>
        <v>35353339.82</v>
      </c>
      <c r="L161" s="48">
        <f>SUM(L149:L160)</f>
        <v>24308800.640000001</v>
      </c>
      <c r="M161" s="44">
        <f>(+K161-L161)/L161</f>
        <v>0.4543432373963473</v>
      </c>
      <c r="N161" s="10"/>
      <c r="R161" s="2"/>
    </row>
    <row r="162" spans="1:18" ht="15.75" customHeight="1" thickTop="1" x14ac:dyDescent="0.25">
      <c r="A162" s="19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5.75" x14ac:dyDescent="0.25">
      <c r="A163" s="19" t="s">
        <v>17</v>
      </c>
      <c r="B163" s="20">
        <f>DATE(2020,7,1)</f>
        <v>44013</v>
      </c>
      <c r="C163" s="21">
        <v>316439</v>
      </c>
      <c r="D163" s="21">
        <v>447474</v>
      </c>
      <c r="E163" s="23">
        <f t="shared" ref="E163:E171" si="55">(+C163-D163)/D163</f>
        <v>-0.29283265619901938</v>
      </c>
      <c r="F163" s="21">
        <f>+C163-163690</f>
        <v>152749</v>
      </c>
      <c r="G163" s="21">
        <f>+D163-208413</f>
        <v>239061</v>
      </c>
      <c r="H163" s="23">
        <f t="shared" ref="H163:H171" si="56">(+F163-G163)/G163</f>
        <v>-0.36104592551691828</v>
      </c>
      <c r="I163" s="24">
        <f t="shared" ref="I163:I173" si="57">K163/C163</f>
        <v>71.817670419891343</v>
      </c>
      <c r="J163" s="24">
        <f t="shared" ref="J163:J173" si="58">K163/F163</f>
        <v>148.77944739409094</v>
      </c>
      <c r="K163" s="21">
        <v>22725911.809999999</v>
      </c>
      <c r="L163" s="21">
        <v>22798067.890000001</v>
      </c>
      <c r="M163" s="25">
        <f t="shared" ref="M163:M171" si="59">(+K163-L163)/L163</f>
        <v>-3.1650085589775799E-3</v>
      </c>
      <c r="N163" s="10"/>
      <c r="R163" s="2"/>
    </row>
    <row r="164" spans="1:18" ht="15.75" x14ac:dyDescent="0.25">
      <c r="A164" s="19"/>
      <c r="B164" s="20">
        <f>DATE(2020,8,1)</f>
        <v>44044</v>
      </c>
      <c r="C164" s="21">
        <v>305395</v>
      </c>
      <c r="D164" s="21">
        <v>463395</v>
      </c>
      <c r="E164" s="23">
        <f t="shared" si="55"/>
        <v>-0.34096181443476947</v>
      </c>
      <c r="F164" s="21">
        <f>+C164-155433</f>
        <v>149962</v>
      </c>
      <c r="G164" s="21">
        <f>+D164-219743</f>
        <v>243652</v>
      </c>
      <c r="H164" s="23">
        <f t="shared" si="56"/>
        <v>-0.38452382906768667</v>
      </c>
      <c r="I164" s="24">
        <f t="shared" si="57"/>
        <v>68.028956891894097</v>
      </c>
      <c r="J164" s="24">
        <f t="shared" si="58"/>
        <v>138.53978534562088</v>
      </c>
      <c r="K164" s="21">
        <v>20775703.289999999</v>
      </c>
      <c r="L164" s="21">
        <v>23200828.350000001</v>
      </c>
      <c r="M164" s="25">
        <f t="shared" si="59"/>
        <v>-0.10452752045812201</v>
      </c>
      <c r="N164" s="10"/>
      <c r="R164" s="2"/>
    </row>
    <row r="165" spans="1:18" ht="15.75" x14ac:dyDescent="0.25">
      <c r="A165" s="19"/>
      <c r="B165" s="20">
        <f>DATE(2020,9,1)</f>
        <v>44075</v>
      </c>
      <c r="C165" s="21">
        <v>318244</v>
      </c>
      <c r="D165" s="21">
        <v>425892</v>
      </c>
      <c r="E165" s="23">
        <f t="shared" si="55"/>
        <v>-0.2527589154057836</v>
      </c>
      <c r="F165" s="21">
        <f>+C165-166636</f>
        <v>151608</v>
      </c>
      <c r="G165" s="21">
        <f>+D165-202215</f>
        <v>223677</v>
      </c>
      <c r="H165" s="23">
        <f t="shared" si="56"/>
        <v>-0.32220120978017408</v>
      </c>
      <c r="I165" s="24">
        <f t="shared" si="57"/>
        <v>64.093204113824612</v>
      </c>
      <c r="J165" s="24">
        <f t="shared" si="58"/>
        <v>134.53958663131232</v>
      </c>
      <c r="K165" s="21">
        <v>20397277.649999999</v>
      </c>
      <c r="L165" s="21">
        <v>21530902.170000002</v>
      </c>
      <c r="M165" s="25">
        <f t="shared" si="59"/>
        <v>-5.2651045973332901E-2</v>
      </c>
      <c r="N165" s="10"/>
      <c r="R165" s="2"/>
    </row>
    <row r="166" spans="1:18" ht="15.75" x14ac:dyDescent="0.25">
      <c r="A166" s="19"/>
      <c r="B166" s="20">
        <f>DATE(2020,10,1)</f>
        <v>44105</v>
      </c>
      <c r="C166" s="21">
        <v>334295</v>
      </c>
      <c r="D166" s="21">
        <v>405696</v>
      </c>
      <c r="E166" s="23">
        <f t="shared" si="55"/>
        <v>-0.17599631250985959</v>
      </c>
      <c r="F166" s="21">
        <f>+C166-175103</f>
        <v>159192</v>
      </c>
      <c r="G166" s="21">
        <f>+D166-186355</f>
        <v>219341</v>
      </c>
      <c r="H166" s="23">
        <f t="shared" si="56"/>
        <v>-0.27422597690354289</v>
      </c>
      <c r="I166" s="24">
        <f t="shared" si="57"/>
        <v>65.553468912188336</v>
      </c>
      <c r="J166" s="24">
        <f t="shared" si="58"/>
        <v>137.65890804814313</v>
      </c>
      <c r="K166" s="21">
        <v>21914196.890000001</v>
      </c>
      <c r="L166" s="21">
        <v>21798172.190000001</v>
      </c>
      <c r="M166" s="25">
        <f t="shared" si="59"/>
        <v>5.3226802223915841E-3</v>
      </c>
      <c r="N166" s="10"/>
      <c r="R166" s="2"/>
    </row>
    <row r="167" spans="1:18" ht="15.75" x14ac:dyDescent="0.25">
      <c r="A167" s="19"/>
      <c r="B167" s="20">
        <f>DATE(2020,11,1)</f>
        <v>44136</v>
      </c>
      <c r="C167" s="21">
        <v>292924</v>
      </c>
      <c r="D167" s="21">
        <v>410474</v>
      </c>
      <c r="E167" s="23">
        <f t="shared" si="55"/>
        <v>-0.28637623820266328</v>
      </c>
      <c r="F167" s="21">
        <f>+C167-150746</f>
        <v>142178</v>
      </c>
      <c r="G167" s="21">
        <f>+D167-191079</f>
        <v>219395</v>
      </c>
      <c r="H167" s="23">
        <f t="shared" si="56"/>
        <v>-0.35195423779028695</v>
      </c>
      <c r="I167" s="24">
        <f t="shared" si="57"/>
        <v>65.069266465021641</v>
      </c>
      <c r="J167" s="24">
        <f t="shared" si="58"/>
        <v>134.05976881092712</v>
      </c>
      <c r="K167" s="21">
        <v>19060349.809999999</v>
      </c>
      <c r="L167" s="21">
        <v>20825709.969999999</v>
      </c>
      <c r="M167" s="25">
        <f t="shared" si="59"/>
        <v>-8.4768306220678644E-2</v>
      </c>
      <c r="N167" s="10"/>
      <c r="R167" s="2"/>
    </row>
    <row r="168" spans="1:18" ht="15.75" x14ac:dyDescent="0.25">
      <c r="A168" s="19"/>
      <c r="B168" s="20">
        <f>DATE(2020,12,1)</f>
        <v>44166</v>
      </c>
      <c r="C168" s="21">
        <v>344056</v>
      </c>
      <c r="D168" s="21">
        <v>436988</v>
      </c>
      <c r="E168" s="23">
        <f t="shared" si="55"/>
        <v>-0.21266487866943715</v>
      </c>
      <c r="F168" s="21">
        <f>+C168-176597</f>
        <v>167459</v>
      </c>
      <c r="G168" s="21">
        <f>+D168-202156</f>
        <v>234832</v>
      </c>
      <c r="H168" s="23">
        <f t="shared" si="56"/>
        <v>-0.28689871908428155</v>
      </c>
      <c r="I168" s="24">
        <f t="shared" si="57"/>
        <v>69.410434028181456</v>
      </c>
      <c r="J168" s="24">
        <f t="shared" si="58"/>
        <v>142.60849694552098</v>
      </c>
      <c r="K168" s="21">
        <v>23881076.289999999</v>
      </c>
      <c r="L168" s="21">
        <v>22010059.18</v>
      </c>
      <c r="M168" s="25">
        <f t="shared" si="59"/>
        <v>8.5007363892058346E-2</v>
      </c>
      <c r="N168" s="10"/>
      <c r="R168" s="2"/>
    </row>
    <row r="169" spans="1:18" ht="15.75" x14ac:dyDescent="0.25">
      <c r="A169" s="19"/>
      <c r="B169" s="20">
        <f>DATE(2021,1,1)</f>
        <v>44197</v>
      </c>
      <c r="C169" s="21">
        <v>393510</v>
      </c>
      <c r="D169" s="21">
        <v>413705</v>
      </c>
      <c r="E169" s="23">
        <f t="shared" si="55"/>
        <v>-4.8814976855488815E-2</v>
      </c>
      <c r="F169" s="21">
        <f>+C169-207236</f>
        <v>186274</v>
      </c>
      <c r="G169" s="21">
        <f>+D169-196166</f>
        <v>217539</v>
      </c>
      <c r="H169" s="23">
        <f t="shared" si="56"/>
        <v>-0.14372135571093</v>
      </c>
      <c r="I169" s="24">
        <f t="shared" si="57"/>
        <v>66.00784155421718</v>
      </c>
      <c r="J169" s="24">
        <f t="shared" si="58"/>
        <v>139.44375344921997</v>
      </c>
      <c r="K169" s="21">
        <v>25974745.73</v>
      </c>
      <c r="L169" s="21">
        <v>21171280.829999998</v>
      </c>
      <c r="M169" s="25">
        <f t="shared" si="59"/>
        <v>0.22688589030444611</v>
      </c>
      <c r="N169" s="10"/>
      <c r="R169" s="2"/>
    </row>
    <row r="170" spans="1:18" ht="15.75" x14ac:dyDescent="0.25">
      <c r="A170" s="19"/>
      <c r="B170" s="20">
        <f>DATE(2021,2,1)</f>
        <v>44228</v>
      </c>
      <c r="C170" s="21">
        <v>319714</v>
      </c>
      <c r="D170" s="21">
        <v>430579</v>
      </c>
      <c r="E170" s="23">
        <f t="shared" si="55"/>
        <v>-0.25747888308533395</v>
      </c>
      <c r="F170" s="21">
        <f>+C170-169622</f>
        <v>150092</v>
      </c>
      <c r="G170" s="21">
        <f>+D170-205960</f>
        <v>224619</v>
      </c>
      <c r="H170" s="23">
        <f t="shared" si="56"/>
        <v>-0.33179294716831614</v>
      </c>
      <c r="I170" s="24">
        <f t="shared" si="57"/>
        <v>68.92292833595026</v>
      </c>
      <c r="J170" s="24">
        <f t="shared" si="58"/>
        <v>146.81412140553795</v>
      </c>
      <c r="K170" s="21">
        <v>22035625.109999999</v>
      </c>
      <c r="L170" s="21">
        <v>21286896.960000001</v>
      </c>
      <c r="M170" s="25">
        <f t="shared" si="59"/>
        <v>3.517319369783798E-2</v>
      </c>
      <c r="N170" s="10"/>
      <c r="R170" s="2"/>
    </row>
    <row r="171" spans="1:18" ht="15.75" x14ac:dyDescent="0.25">
      <c r="A171" s="19"/>
      <c r="B171" s="20">
        <f>DATE(2021,3,1)</f>
        <v>44256</v>
      </c>
      <c r="C171" s="21">
        <v>399522</v>
      </c>
      <c r="D171" s="21">
        <v>213931</v>
      </c>
      <c r="E171" s="23">
        <f t="shared" si="55"/>
        <v>0.86752738032356225</v>
      </c>
      <c r="F171" s="21">
        <f>+C171-209767</f>
        <v>189755</v>
      </c>
      <c r="G171" s="21">
        <f>+D171-102211</f>
        <v>111720</v>
      </c>
      <c r="H171" s="23">
        <f t="shared" si="56"/>
        <v>0.69848728965270324</v>
      </c>
      <c r="I171" s="24">
        <f t="shared" si="57"/>
        <v>70.026791240532447</v>
      </c>
      <c r="J171" s="24">
        <f t="shared" si="58"/>
        <v>147.4387694131907</v>
      </c>
      <c r="K171" s="21">
        <v>27977243.690000001</v>
      </c>
      <c r="L171" s="21">
        <v>11674661.050000001</v>
      </c>
      <c r="M171" s="25">
        <f t="shared" si="59"/>
        <v>1.3964073620792614</v>
      </c>
      <c r="N171" s="10"/>
      <c r="R171" s="2"/>
    </row>
    <row r="172" spans="1:18" ht="15.75" x14ac:dyDescent="0.25">
      <c r="A172" s="19"/>
      <c r="B172" s="20">
        <f>DATE(2021,4,1)</f>
        <v>44287</v>
      </c>
      <c r="C172" s="21">
        <v>387065</v>
      </c>
      <c r="D172" s="21">
        <v>0</v>
      </c>
      <c r="E172" s="23">
        <v>1</v>
      </c>
      <c r="F172" s="21">
        <f>+C172-202718</f>
        <v>184347</v>
      </c>
      <c r="G172" s="21">
        <v>0</v>
      </c>
      <c r="H172" s="23">
        <v>1</v>
      </c>
      <c r="I172" s="24">
        <f t="shared" si="57"/>
        <v>69.583279914226281</v>
      </c>
      <c r="J172" s="24">
        <f t="shared" si="58"/>
        <v>146.10084373491296</v>
      </c>
      <c r="K172" s="21">
        <v>26933252.239999998</v>
      </c>
      <c r="L172" s="21">
        <v>0</v>
      </c>
      <c r="M172" s="25">
        <v>1</v>
      </c>
      <c r="N172" s="10"/>
      <c r="R172" s="2"/>
    </row>
    <row r="173" spans="1:18" ht="15.75" x14ac:dyDescent="0.25">
      <c r="A173" s="19"/>
      <c r="B173" s="20">
        <f>DATE(2021,5,1)</f>
        <v>44317</v>
      </c>
      <c r="C173" s="21">
        <v>391047</v>
      </c>
      <c r="D173" s="21">
        <v>0</v>
      </c>
      <c r="E173" s="23">
        <v>1</v>
      </c>
      <c r="F173" s="21">
        <f>+C173-203663</f>
        <v>187384</v>
      </c>
      <c r="G173" s="21">
        <v>0</v>
      </c>
      <c r="H173" s="23">
        <v>1</v>
      </c>
      <c r="I173" s="24">
        <f t="shared" si="57"/>
        <v>68.686488861952654</v>
      </c>
      <c r="J173" s="24">
        <f t="shared" si="58"/>
        <v>143.3401219421082</v>
      </c>
      <c r="K173" s="21">
        <v>26859645.41</v>
      </c>
      <c r="L173" s="21">
        <v>0</v>
      </c>
      <c r="M173" s="25">
        <v>1</v>
      </c>
      <c r="N173" s="10"/>
      <c r="R173" s="2"/>
    </row>
    <row r="174" spans="1:18" ht="15.75" thickBot="1" x14ac:dyDescent="0.25">
      <c r="A174" s="38"/>
      <c r="B174" s="45"/>
      <c r="C174" s="21"/>
      <c r="D174" s="21"/>
      <c r="E174" s="23"/>
      <c r="F174" s="21"/>
      <c r="G174" s="21"/>
      <c r="H174" s="23"/>
      <c r="I174" s="24"/>
      <c r="J174" s="24"/>
      <c r="K174" s="21"/>
      <c r="L174" s="21"/>
      <c r="M174" s="25"/>
      <c r="N174" s="10"/>
      <c r="R174" s="2"/>
    </row>
    <row r="175" spans="1:18" ht="17.25" thickTop="1" thickBot="1" x14ac:dyDescent="0.3">
      <c r="A175" s="39" t="s">
        <v>14</v>
      </c>
      <c r="B175" s="40"/>
      <c r="C175" s="41">
        <f>SUM(C163:C174)</f>
        <v>3802211</v>
      </c>
      <c r="D175" s="41">
        <f>SUM(D163:D174)</f>
        <v>3648134</v>
      </c>
      <c r="E175" s="280">
        <f>(+C175-D175)/D175</f>
        <v>4.2234468361085423E-2</v>
      </c>
      <c r="F175" s="41">
        <f>SUM(F163:F174)</f>
        <v>1821000</v>
      </c>
      <c r="G175" s="41">
        <f>SUM(G163:G174)</f>
        <v>1933836</v>
      </c>
      <c r="H175" s="42">
        <f>(+F175-G175)/G175</f>
        <v>-5.8348277723653919E-2</v>
      </c>
      <c r="I175" s="43">
        <f>K175/C175</f>
        <v>67.995970744390561</v>
      </c>
      <c r="J175" s="43">
        <f>K175/F175</f>
        <v>141.97420533772652</v>
      </c>
      <c r="K175" s="41">
        <f>SUM(K163:K174)</f>
        <v>258535027.91999999</v>
      </c>
      <c r="L175" s="41">
        <f>SUM(L163:L174)</f>
        <v>186296578.59</v>
      </c>
      <c r="M175" s="44">
        <f>(+K175-L175)/L175</f>
        <v>0.38776047245066037</v>
      </c>
      <c r="N175" s="10"/>
      <c r="R175" s="2"/>
    </row>
    <row r="176" spans="1:18" ht="15.75" customHeight="1" thickTop="1" x14ac:dyDescent="0.25">
      <c r="A176" s="19"/>
      <c r="B176" s="45"/>
      <c r="C176" s="21"/>
      <c r="D176" s="21"/>
      <c r="E176" s="23"/>
      <c r="F176" s="21"/>
      <c r="G176" s="21"/>
      <c r="H176" s="23"/>
      <c r="I176" s="24"/>
      <c r="J176" s="24"/>
      <c r="K176" s="21"/>
      <c r="L176" s="21"/>
      <c r="M176" s="25"/>
      <c r="N176" s="10"/>
      <c r="R176" s="2"/>
    </row>
    <row r="177" spans="1:18" ht="15.75" x14ac:dyDescent="0.25">
      <c r="A177" s="19" t="s">
        <v>57</v>
      </c>
      <c r="B177" s="20">
        <f>DATE(2020,7,1)</f>
        <v>44013</v>
      </c>
      <c r="C177" s="21">
        <v>61338</v>
      </c>
      <c r="D177" s="21">
        <v>77431</v>
      </c>
      <c r="E177" s="23">
        <f t="shared" ref="E177:E185" si="60">(+C177-D177)/D177</f>
        <v>-0.2078366545698751</v>
      </c>
      <c r="F177" s="21">
        <f>+C177-27914</f>
        <v>33424</v>
      </c>
      <c r="G177" s="21">
        <f>+D177-35761</f>
        <v>41670</v>
      </c>
      <c r="H177" s="23">
        <f t="shared" ref="H177:H185" si="61">(+F177-G177)/G177</f>
        <v>-0.19788816894648428</v>
      </c>
      <c r="I177" s="24">
        <f t="shared" ref="I177:I187" si="62">K177/C177</f>
        <v>57.274320812546875</v>
      </c>
      <c r="J177" s="24">
        <f t="shared" ref="J177:J187" si="63">K177/F177</f>
        <v>105.10687799186213</v>
      </c>
      <c r="K177" s="21">
        <v>3513092.29</v>
      </c>
      <c r="L177" s="21">
        <v>3396657.88</v>
      </c>
      <c r="M177" s="25">
        <f t="shared" ref="M177:M185" si="64">(+K177-L177)/L177</f>
        <v>3.4279110264705301E-2</v>
      </c>
      <c r="N177" s="10"/>
      <c r="R177" s="2"/>
    </row>
    <row r="178" spans="1:18" ht="15.75" x14ac:dyDescent="0.25">
      <c r="A178" s="19"/>
      <c r="B178" s="20">
        <f>DATE(2020,8,1)</f>
        <v>44044</v>
      </c>
      <c r="C178" s="21">
        <v>61855</v>
      </c>
      <c r="D178" s="21">
        <v>83032</v>
      </c>
      <c r="E178" s="23">
        <f t="shared" si="60"/>
        <v>-0.25504624722998365</v>
      </c>
      <c r="F178" s="21">
        <f>+C178-27562</f>
        <v>34293</v>
      </c>
      <c r="G178" s="21">
        <f>+D178-37844</f>
        <v>45188</v>
      </c>
      <c r="H178" s="23">
        <f t="shared" si="61"/>
        <v>-0.24110383287598477</v>
      </c>
      <c r="I178" s="24">
        <f t="shared" si="62"/>
        <v>57.364789265217041</v>
      </c>
      <c r="J178" s="24">
        <f t="shared" si="63"/>
        <v>103.47006794389526</v>
      </c>
      <c r="K178" s="21">
        <v>3548299.04</v>
      </c>
      <c r="L178" s="21">
        <v>3491800.49</v>
      </c>
      <c r="M178" s="25">
        <f t="shared" si="64"/>
        <v>1.618034883774239E-2</v>
      </c>
      <c r="N178" s="10"/>
      <c r="R178" s="2"/>
    </row>
    <row r="179" spans="1:18" ht="15.75" x14ac:dyDescent="0.25">
      <c r="A179" s="19"/>
      <c r="B179" s="20">
        <f>DATE(2020,9,1)</f>
        <v>44075</v>
      </c>
      <c r="C179" s="21">
        <v>58255</v>
      </c>
      <c r="D179" s="21">
        <v>70924</v>
      </c>
      <c r="E179" s="23">
        <f t="shared" si="60"/>
        <v>-0.17862782696971405</v>
      </c>
      <c r="F179" s="21">
        <f>+C179-26013</f>
        <v>32242</v>
      </c>
      <c r="G179" s="21">
        <f>+D179-32729</f>
        <v>38195</v>
      </c>
      <c r="H179" s="23">
        <f t="shared" si="61"/>
        <v>-0.15585809660950387</v>
      </c>
      <c r="I179" s="24">
        <f t="shared" si="62"/>
        <v>55.064059394043426</v>
      </c>
      <c r="J179" s="24">
        <f t="shared" si="63"/>
        <v>99.490006203089138</v>
      </c>
      <c r="K179" s="21">
        <v>3207756.78</v>
      </c>
      <c r="L179" s="21">
        <v>3371438.75</v>
      </c>
      <c r="M179" s="25">
        <f t="shared" si="64"/>
        <v>-4.8549590289902259E-2</v>
      </c>
      <c r="N179" s="10"/>
      <c r="R179" s="2"/>
    </row>
    <row r="180" spans="1:18" ht="15.75" x14ac:dyDescent="0.25">
      <c r="A180" s="19"/>
      <c r="B180" s="20">
        <f>DATE(2020,10,1)</f>
        <v>44105</v>
      </c>
      <c r="C180" s="21">
        <v>55328</v>
      </c>
      <c r="D180" s="21">
        <v>70482</v>
      </c>
      <c r="E180" s="23">
        <f t="shared" si="60"/>
        <v>-0.21500524956726541</v>
      </c>
      <c r="F180" s="21">
        <f>+C180-22799</f>
        <v>32529</v>
      </c>
      <c r="G180" s="21">
        <f>+D180-33635</f>
        <v>36847</v>
      </c>
      <c r="H180" s="23">
        <f t="shared" si="61"/>
        <v>-0.11718728797459765</v>
      </c>
      <c r="I180" s="24">
        <f t="shared" si="62"/>
        <v>52.386605696934645</v>
      </c>
      <c r="J180" s="24">
        <f t="shared" si="63"/>
        <v>89.103449844753911</v>
      </c>
      <c r="K180" s="21">
        <v>2898446.12</v>
      </c>
      <c r="L180" s="21">
        <v>3274009.79</v>
      </c>
      <c r="M180" s="25">
        <f t="shared" si="64"/>
        <v>-0.11471061300644428</v>
      </c>
      <c r="N180" s="10"/>
      <c r="R180" s="2"/>
    </row>
    <row r="181" spans="1:18" ht="15.75" x14ac:dyDescent="0.25">
      <c r="A181" s="19"/>
      <c r="B181" s="20">
        <f>DATE(2020,11,1)</f>
        <v>44136</v>
      </c>
      <c r="C181" s="21">
        <v>49882</v>
      </c>
      <c r="D181" s="21">
        <v>73056</v>
      </c>
      <c r="E181" s="23">
        <f t="shared" si="60"/>
        <v>-0.31720871660096367</v>
      </c>
      <c r="F181" s="21">
        <f>+C181-20773</f>
        <v>29109</v>
      </c>
      <c r="G181" s="21">
        <f>+D181-35437</f>
        <v>37619</v>
      </c>
      <c r="H181" s="23">
        <f t="shared" si="61"/>
        <v>-0.22621547622212179</v>
      </c>
      <c r="I181" s="24">
        <f t="shared" si="62"/>
        <v>51.305875065153764</v>
      </c>
      <c r="J181" s="24">
        <f t="shared" si="63"/>
        <v>87.919188567109828</v>
      </c>
      <c r="K181" s="21">
        <v>2559239.66</v>
      </c>
      <c r="L181" s="21">
        <v>3377500.2</v>
      </c>
      <c r="M181" s="25">
        <f t="shared" si="64"/>
        <v>-0.24226809520248141</v>
      </c>
      <c r="N181" s="10"/>
      <c r="R181" s="2"/>
    </row>
    <row r="182" spans="1:18" ht="15.75" x14ac:dyDescent="0.25">
      <c r="A182" s="19"/>
      <c r="B182" s="20">
        <f>DATE(2020,12,1)</f>
        <v>44166</v>
      </c>
      <c r="C182" s="21">
        <v>53490</v>
      </c>
      <c r="D182" s="21">
        <v>74995</v>
      </c>
      <c r="E182" s="23">
        <f t="shared" si="60"/>
        <v>-0.28675245016334422</v>
      </c>
      <c r="F182" s="21">
        <f>+C182-22512</f>
        <v>30978</v>
      </c>
      <c r="G182" s="21">
        <f>+D182-35471</f>
        <v>39524</v>
      </c>
      <c r="H182" s="23">
        <f t="shared" si="61"/>
        <v>-0.21622305434672603</v>
      </c>
      <c r="I182" s="24">
        <f t="shared" si="62"/>
        <v>52.612236118900725</v>
      </c>
      <c r="J182" s="24">
        <f t="shared" si="63"/>
        <v>90.846036219252369</v>
      </c>
      <c r="K182" s="21">
        <v>2814228.51</v>
      </c>
      <c r="L182" s="21">
        <v>3534603.49</v>
      </c>
      <c r="M182" s="25">
        <f t="shared" si="64"/>
        <v>-0.20380644732515679</v>
      </c>
      <c r="N182" s="10"/>
      <c r="R182" s="2"/>
    </row>
    <row r="183" spans="1:18" ht="15.75" x14ac:dyDescent="0.25">
      <c r="A183" s="19"/>
      <c r="B183" s="20">
        <f>DATE(2021,1,1)</f>
        <v>44197</v>
      </c>
      <c r="C183" s="21">
        <v>60656</v>
      </c>
      <c r="D183" s="21">
        <v>73278</v>
      </c>
      <c r="E183" s="23">
        <f t="shared" si="60"/>
        <v>-0.17224815087748027</v>
      </c>
      <c r="F183" s="21">
        <f>+C183-26102</f>
        <v>34554</v>
      </c>
      <c r="G183" s="21">
        <f>+D183-33277</f>
        <v>40001</v>
      </c>
      <c r="H183" s="23">
        <f t="shared" si="61"/>
        <v>-0.13617159571010726</v>
      </c>
      <c r="I183" s="24">
        <f t="shared" si="62"/>
        <v>51.859267838301243</v>
      </c>
      <c r="J183" s="24">
        <f t="shared" si="63"/>
        <v>91.033621288418132</v>
      </c>
      <c r="K183" s="21">
        <v>3145575.75</v>
      </c>
      <c r="L183" s="21">
        <v>3413407.42</v>
      </c>
      <c r="M183" s="25">
        <f t="shared" si="64"/>
        <v>-7.8464606489898572E-2</v>
      </c>
      <c r="N183" s="10"/>
      <c r="R183" s="2"/>
    </row>
    <row r="184" spans="1:18" ht="15.75" x14ac:dyDescent="0.25">
      <c r="A184" s="19"/>
      <c r="B184" s="20">
        <f>DATE(2021,2,1)</f>
        <v>44228</v>
      </c>
      <c r="C184" s="21">
        <v>50775</v>
      </c>
      <c r="D184" s="21">
        <v>79497</v>
      </c>
      <c r="E184" s="23">
        <f t="shared" si="60"/>
        <v>-0.36129665270387562</v>
      </c>
      <c r="F184" s="21">
        <f>+C184-21966</f>
        <v>28809</v>
      </c>
      <c r="G184" s="21">
        <f>+D184-36820</f>
        <v>42677</v>
      </c>
      <c r="H184" s="23">
        <f t="shared" si="61"/>
        <v>-0.32495255055416267</v>
      </c>
      <c r="I184" s="24">
        <f t="shared" si="62"/>
        <v>55.419195864106349</v>
      </c>
      <c r="J184" s="24">
        <f t="shared" si="63"/>
        <v>97.674673539518892</v>
      </c>
      <c r="K184" s="21">
        <v>2813909.67</v>
      </c>
      <c r="L184" s="21">
        <v>3872279.72</v>
      </c>
      <c r="M184" s="25">
        <f t="shared" si="64"/>
        <v>-0.27331962733312049</v>
      </c>
      <c r="N184" s="10"/>
      <c r="R184" s="2"/>
    </row>
    <row r="185" spans="1:18" ht="15.75" x14ac:dyDescent="0.25">
      <c r="A185" s="19"/>
      <c r="B185" s="20">
        <f>DATE(2021,3,1)</f>
        <v>44256</v>
      </c>
      <c r="C185" s="21">
        <v>76729</v>
      </c>
      <c r="D185" s="21">
        <v>43437</v>
      </c>
      <c r="E185" s="23">
        <f t="shared" si="60"/>
        <v>0.76644335474365177</v>
      </c>
      <c r="F185" s="21">
        <f>+C185-32968</f>
        <v>43761</v>
      </c>
      <c r="G185" s="21">
        <f>+D185-19777</f>
        <v>23660</v>
      </c>
      <c r="H185" s="23">
        <f t="shared" si="61"/>
        <v>0.84957734573119192</v>
      </c>
      <c r="I185" s="24">
        <f t="shared" si="62"/>
        <v>58.294842106635045</v>
      </c>
      <c r="J185" s="24">
        <f t="shared" si="63"/>
        <v>102.21212815063642</v>
      </c>
      <c r="K185" s="21">
        <v>4472904.9400000004</v>
      </c>
      <c r="L185" s="21">
        <v>2122954.5099999998</v>
      </c>
      <c r="M185" s="25">
        <f t="shared" si="64"/>
        <v>1.1069245332063196</v>
      </c>
      <c r="N185" s="10"/>
      <c r="R185" s="2"/>
    </row>
    <row r="186" spans="1:18" ht="15.75" x14ac:dyDescent="0.25">
      <c r="A186" s="19"/>
      <c r="B186" s="20">
        <f>DATE(2021,4,1)</f>
        <v>44287</v>
      </c>
      <c r="C186" s="21">
        <v>77702</v>
      </c>
      <c r="D186" s="21">
        <v>0</v>
      </c>
      <c r="E186" s="23">
        <v>1</v>
      </c>
      <c r="F186" s="21">
        <f>+C186-34358</f>
        <v>43344</v>
      </c>
      <c r="G186" s="21">
        <v>0</v>
      </c>
      <c r="H186" s="23">
        <v>1</v>
      </c>
      <c r="I186" s="24">
        <f t="shared" si="62"/>
        <v>58.129942472523233</v>
      </c>
      <c r="J186" s="24">
        <f t="shared" si="63"/>
        <v>104.2084899870801</v>
      </c>
      <c r="K186" s="21">
        <v>4516812.79</v>
      </c>
      <c r="L186" s="21">
        <v>0</v>
      </c>
      <c r="M186" s="25">
        <v>1</v>
      </c>
      <c r="N186" s="10"/>
      <c r="R186" s="2"/>
    </row>
    <row r="187" spans="1:18" ht="15.75" x14ac:dyDescent="0.25">
      <c r="A187" s="19"/>
      <c r="B187" s="20">
        <f>DATE(2021,5,1)</f>
        <v>44317</v>
      </c>
      <c r="C187" s="21">
        <v>75881</v>
      </c>
      <c r="D187" s="21">
        <v>0</v>
      </c>
      <c r="E187" s="23">
        <v>1</v>
      </c>
      <c r="F187" s="21">
        <f>+C187-33342</f>
        <v>42539</v>
      </c>
      <c r="G187" s="21">
        <v>0</v>
      </c>
      <c r="H187" s="23">
        <v>1</v>
      </c>
      <c r="I187" s="24">
        <f t="shared" si="62"/>
        <v>57.621904429303783</v>
      </c>
      <c r="J187" s="24">
        <f t="shared" si="63"/>
        <v>102.78586073955665</v>
      </c>
      <c r="K187" s="21">
        <v>4372407.7300000004</v>
      </c>
      <c r="L187" s="21">
        <v>0</v>
      </c>
      <c r="M187" s="25">
        <v>1</v>
      </c>
      <c r="N187" s="10"/>
      <c r="R187" s="2"/>
    </row>
    <row r="188" spans="1:18" ht="15.75" thickBot="1" x14ac:dyDescent="0.25">
      <c r="A188" s="38"/>
      <c r="B188" s="45"/>
      <c r="C188" s="21"/>
      <c r="D188" s="21"/>
      <c r="E188" s="23"/>
      <c r="F188" s="21"/>
      <c r="G188" s="21"/>
      <c r="H188" s="23"/>
      <c r="I188" s="24"/>
      <c r="J188" s="24"/>
      <c r="K188" s="21"/>
      <c r="L188" s="21"/>
      <c r="M188" s="25"/>
      <c r="N188" s="10"/>
      <c r="R188" s="2"/>
    </row>
    <row r="189" spans="1:18" ht="17.25" thickTop="1" thickBot="1" x14ac:dyDescent="0.3">
      <c r="A189" s="26" t="s">
        <v>14</v>
      </c>
      <c r="B189" s="27"/>
      <c r="C189" s="28">
        <f>SUM(C177:C188)</f>
        <v>681891</v>
      </c>
      <c r="D189" s="28">
        <f>SUM(D177:D188)</f>
        <v>646132</v>
      </c>
      <c r="E189" s="280">
        <f>(+C189-D189)/D189</f>
        <v>5.5343180650393418E-2</v>
      </c>
      <c r="F189" s="28">
        <f>SUM(F177:F188)</f>
        <v>385582</v>
      </c>
      <c r="G189" s="28">
        <f>SUM(G177:G188)</f>
        <v>345381</v>
      </c>
      <c r="H189" s="42">
        <f>(+F189-G189)/G189</f>
        <v>0.11639609590568097</v>
      </c>
      <c r="I189" s="43">
        <f>K189/C189</f>
        <v>55.525990634866865</v>
      </c>
      <c r="J189" s="43">
        <f>K189/F189</f>
        <v>98.196163928814101</v>
      </c>
      <c r="K189" s="28">
        <f>SUM(K177:K188)</f>
        <v>37862673.280000001</v>
      </c>
      <c r="L189" s="28">
        <f>SUM(L177:L188)</f>
        <v>29854652.25</v>
      </c>
      <c r="M189" s="44">
        <f>(+K189-L189)/L189</f>
        <v>0.26823360603706248</v>
      </c>
      <c r="N189" s="10"/>
      <c r="R189" s="2"/>
    </row>
    <row r="190" spans="1:18" ht="16.5" thickTop="1" thickBot="1" x14ac:dyDescent="0.25">
      <c r="A190" s="63"/>
      <c r="B190" s="34"/>
      <c r="C190" s="35"/>
      <c r="D190" s="35"/>
      <c r="E190" s="29"/>
      <c r="F190" s="35"/>
      <c r="G190" s="35"/>
      <c r="H190" s="29"/>
      <c r="I190" s="36"/>
      <c r="J190" s="36"/>
      <c r="K190" s="35"/>
      <c r="L190" s="35"/>
      <c r="M190" s="37"/>
      <c r="N190" s="10"/>
      <c r="R190" s="2"/>
    </row>
    <row r="191" spans="1:18" ht="17.25" thickTop="1" thickBot="1" x14ac:dyDescent="0.3">
      <c r="A191" s="64" t="s">
        <v>18</v>
      </c>
      <c r="B191" s="65"/>
      <c r="C191" s="28">
        <f>C189+C175+C77+C105+C119+C49+C21+C133+C147+C63+C161+C35+C91</f>
        <v>25106708</v>
      </c>
      <c r="D191" s="28">
        <f>D189+D175+D77+D105+D119+D49+D21+D133+D147+D63+D161+D35+D91</f>
        <v>26007558</v>
      </c>
      <c r="E191" s="279">
        <f>(+C191-D191)/D191</f>
        <v>-3.4638007920620613E-2</v>
      </c>
      <c r="F191" s="28">
        <f>F189+F175+F77+F105+F119+F49+F21+F133+F147+F63+F161+F35+F91</f>
        <v>12709412</v>
      </c>
      <c r="G191" s="28">
        <f>G189+G175+G77+G105+G119+G49+G21+G133+G147+G63+G161+G35+G91</f>
        <v>13750867</v>
      </c>
      <c r="H191" s="30">
        <f>(+F191-G191)/G191</f>
        <v>-7.5737406230458049E-2</v>
      </c>
      <c r="I191" s="31">
        <f>K191/C191</f>
        <v>62.55175428295896</v>
      </c>
      <c r="J191" s="31">
        <f>K191/F191</f>
        <v>123.56737114746143</v>
      </c>
      <c r="K191" s="28">
        <f>K189+K175+K77+K105+K119+K49+K21+K133+K147+K63+K161+K35+K91</f>
        <v>1570468629.6700001</v>
      </c>
      <c r="L191" s="28">
        <f>L189+L175+L77+L105+L119+L49+L21+L133+L147+L63+L161+L35+L91</f>
        <v>1233214289.8699999</v>
      </c>
      <c r="M191" s="32">
        <f>(+K191-L191)/L191</f>
        <v>0.27347586106511307</v>
      </c>
      <c r="N191" s="10"/>
      <c r="R191" s="2"/>
    </row>
    <row r="192" spans="1:18" ht="17.25" thickTop="1" thickBot="1" x14ac:dyDescent="0.3">
      <c r="A192" s="64"/>
      <c r="B192" s="65"/>
      <c r="C192" s="28"/>
      <c r="D192" s="28"/>
      <c r="E192" s="29"/>
      <c r="F192" s="28"/>
      <c r="G192" s="28"/>
      <c r="H192" s="30"/>
      <c r="I192" s="31"/>
      <c r="J192" s="31"/>
      <c r="K192" s="28"/>
      <c r="L192" s="28"/>
      <c r="M192" s="32"/>
      <c r="N192" s="10"/>
      <c r="R192" s="2"/>
    </row>
    <row r="193" spans="1:18" ht="17.25" thickTop="1" thickBot="1" x14ac:dyDescent="0.3">
      <c r="A193" s="64" t="s">
        <v>19</v>
      </c>
      <c r="B193" s="65"/>
      <c r="C193" s="28">
        <f>SUM(C19+C33+C47+C61+C75+C89+C103+C117+C131+C145+C159+C173+C187)</f>
        <v>2732833</v>
      </c>
      <c r="D193" s="28">
        <f>SUM(D19+D33+D47+D61+D75+D89+D103+D117+D131+D145+D159+D173+D187)</f>
        <v>0</v>
      </c>
      <c r="E193" s="279">
        <v>1</v>
      </c>
      <c r="F193" s="28">
        <f>SUM(F19+F33+F47+F61+F75+F89+F103+F117+F131+F145+F159+F173+F187)</f>
        <v>1375134</v>
      </c>
      <c r="G193" s="28">
        <f>SUM(G19+G33+G47+G61+G75+G89+G103+G117+G131+G145+G159+G173+G187)</f>
        <v>0</v>
      </c>
      <c r="H193" s="30">
        <v>1</v>
      </c>
      <c r="I193" s="31">
        <f>K193/C193</f>
        <v>63.410296988509714</v>
      </c>
      <c r="J193" s="31">
        <f>K193/F193</f>
        <v>126.01662976117235</v>
      </c>
      <c r="K193" s="28">
        <f>SUM(K19+K33+K47+K61+K75+K89+K103+K117+K131+K145+K159+K173+K187)</f>
        <v>173289752.14999998</v>
      </c>
      <c r="L193" s="28">
        <f>SUM(L19+L33+L47+L61+L75+L89+L103+L117+L131+L145+L159+L173+L187)</f>
        <v>0</v>
      </c>
      <c r="M193" s="44">
        <v>1</v>
      </c>
      <c r="N193" s="10"/>
      <c r="R193" s="2"/>
    </row>
    <row r="194" spans="1:18" ht="15.75" thickTop="1" x14ac:dyDescent="0.2">
      <c r="A194" s="66"/>
      <c r="B194" s="67"/>
      <c r="C194" s="68"/>
      <c r="D194" s="67"/>
      <c r="E194" s="67"/>
      <c r="F194" s="67"/>
      <c r="G194" s="67"/>
      <c r="H194" s="67"/>
      <c r="I194" s="67"/>
      <c r="J194" s="67"/>
      <c r="K194" s="68"/>
      <c r="L194" s="68"/>
      <c r="M194" s="67"/>
      <c r="R194" s="2"/>
    </row>
    <row r="195" spans="1:18" x14ac:dyDescent="0.2">
      <c r="A195" s="289" t="s">
        <v>73</v>
      </c>
      <c r="B195" s="290"/>
      <c r="C195" s="291"/>
      <c r="D195" s="290"/>
      <c r="E195" s="290"/>
      <c r="F195" s="290"/>
      <c r="G195" s="290"/>
      <c r="H195" s="290"/>
      <c r="I195" s="290"/>
      <c r="J195" s="290"/>
      <c r="K195" s="291"/>
      <c r="L195" s="291"/>
      <c r="M195" s="290"/>
      <c r="R195" s="2"/>
    </row>
    <row r="196" spans="1:18" ht="18.75" x14ac:dyDescent="0.3">
      <c r="A196" s="264" t="s">
        <v>20</v>
      </c>
      <c r="B196" s="70"/>
      <c r="C196" s="71"/>
      <c r="D196" s="71"/>
      <c r="E196" s="71"/>
      <c r="F196" s="71"/>
      <c r="G196" s="71"/>
      <c r="H196" s="71"/>
      <c r="I196" s="71"/>
      <c r="J196" s="71"/>
      <c r="K196" s="198"/>
      <c r="L196" s="198"/>
      <c r="M196" s="71"/>
      <c r="N196" s="2"/>
      <c r="O196" s="2"/>
      <c r="P196" s="2"/>
      <c r="Q196" s="2"/>
      <c r="R196" s="2"/>
    </row>
    <row r="197" spans="1:18" ht="18" x14ac:dyDescent="0.25">
      <c r="A197" s="69"/>
      <c r="B197" s="70"/>
      <c r="C197" s="71"/>
      <c r="D197" s="71"/>
      <c r="E197" s="71"/>
      <c r="F197" s="71"/>
      <c r="G197" s="71"/>
      <c r="H197" s="71"/>
      <c r="I197" s="71"/>
      <c r="J197" s="71"/>
      <c r="K197" s="198"/>
      <c r="L197" s="198"/>
      <c r="M197" s="71"/>
      <c r="N197" s="2"/>
      <c r="O197" s="2"/>
      <c r="P197" s="2"/>
      <c r="Q197" s="2"/>
      <c r="R197" s="2"/>
    </row>
    <row r="198" spans="1:18" ht="15.75" x14ac:dyDescent="0.25">
      <c r="A198" s="72"/>
      <c r="B198" s="73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3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3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73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73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73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73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4"/>
      <c r="N207" s="2"/>
      <c r="O207" s="2"/>
      <c r="P207" s="2"/>
      <c r="Q207" s="2"/>
      <c r="R207" s="2"/>
    </row>
    <row r="208" spans="1:18" x14ac:dyDescent="0.2">
      <c r="A208" s="2"/>
      <c r="B208" s="73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4"/>
      <c r="N208" s="2"/>
      <c r="O208" s="2"/>
      <c r="P208" s="2"/>
      <c r="Q208" s="2"/>
      <c r="R208" s="2"/>
    </row>
    <row r="209" spans="1:18" x14ac:dyDescent="0.2">
      <c r="A209" s="2"/>
      <c r="B209" s="70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4"/>
      <c r="N209" s="2"/>
      <c r="O209" s="2"/>
      <c r="P209" s="2"/>
      <c r="Q209" s="2"/>
      <c r="R209" s="2"/>
    </row>
    <row r="210" spans="1:18" ht="15.75" x14ac:dyDescent="0.25">
      <c r="A210" s="76"/>
      <c r="B210" s="70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.75" x14ac:dyDescent="0.25">
      <c r="A211" s="76"/>
      <c r="B211" s="70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.75" x14ac:dyDescent="0.25">
      <c r="A212" s="76"/>
      <c r="B212" s="70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70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.75" x14ac:dyDescent="0.25">
      <c r="A214" s="76"/>
      <c r="B214" s="73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73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73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77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77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.75" x14ac:dyDescent="0.25">
      <c r="A227" s="76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.75" x14ac:dyDescent="0.25">
      <c r="A230" s="76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 x14ac:dyDescent="0.25">
      <c r="A231" s="76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.75" x14ac:dyDescent="0.25">
      <c r="A232" s="76"/>
      <c r="B232" s="77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77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77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77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77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77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77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77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77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.75" x14ac:dyDescent="0.25">
      <c r="A245" s="76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.75" x14ac:dyDescent="0.25">
      <c r="A248" s="76"/>
      <c r="B248" s="77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77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77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ht="15.75" x14ac:dyDescent="0.25">
      <c r="A254" s="76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ht="15.75" x14ac:dyDescent="0.25">
      <c r="A257" s="76"/>
      <c r="B257" s="76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74"/>
      <c r="D327" s="74"/>
      <c r="E327" s="74"/>
      <c r="F327" s="74"/>
      <c r="G327" s="74"/>
      <c r="H327" s="74"/>
      <c r="I327" s="74"/>
      <c r="J327" s="74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74"/>
      <c r="D328" s="74"/>
      <c r="E328" s="74"/>
      <c r="F328" s="74"/>
      <c r="G328" s="74"/>
      <c r="H328" s="74"/>
      <c r="I328" s="74"/>
      <c r="J328" s="74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74"/>
      <c r="D329" s="74"/>
      <c r="E329" s="74"/>
      <c r="F329" s="74"/>
      <c r="G329" s="74"/>
      <c r="H329" s="74"/>
      <c r="I329" s="74"/>
      <c r="J329" s="74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74"/>
      <c r="D330" s="74"/>
      <c r="E330" s="74"/>
      <c r="F330" s="74"/>
      <c r="G330" s="74"/>
      <c r="H330" s="74"/>
      <c r="I330" s="74"/>
      <c r="J330" s="74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74"/>
      <c r="D331" s="74"/>
      <c r="E331" s="74"/>
      <c r="F331" s="74"/>
      <c r="G331" s="74"/>
      <c r="H331" s="74"/>
      <c r="I331" s="74"/>
      <c r="J331" s="74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74"/>
      <c r="D332" s="74"/>
      <c r="E332" s="74"/>
      <c r="F332" s="74"/>
      <c r="G332" s="74"/>
      <c r="H332" s="74"/>
      <c r="I332" s="74"/>
      <c r="J332" s="74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74"/>
      <c r="D333" s="74"/>
      <c r="E333" s="74"/>
      <c r="F333" s="74"/>
      <c r="G333" s="74"/>
      <c r="H333" s="74"/>
      <c r="I333" s="74"/>
      <c r="J333" s="74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74"/>
      <c r="D334" s="74"/>
      <c r="E334" s="74"/>
      <c r="F334" s="74"/>
      <c r="G334" s="74"/>
      <c r="H334" s="74"/>
      <c r="I334" s="74"/>
      <c r="J334" s="74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74"/>
      <c r="D335" s="74"/>
      <c r="E335" s="74"/>
      <c r="F335" s="74"/>
      <c r="G335" s="74"/>
      <c r="H335" s="74"/>
      <c r="I335" s="74"/>
      <c r="J335" s="74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74"/>
      <c r="D336" s="74"/>
      <c r="E336" s="74"/>
      <c r="F336" s="74"/>
      <c r="G336" s="74"/>
      <c r="H336" s="74"/>
      <c r="I336" s="74"/>
      <c r="J336" s="74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74"/>
      <c r="D337" s="74"/>
      <c r="E337" s="74"/>
      <c r="F337" s="74"/>
      <c r="G337" s="74"/>
      <c r="H337" s="74"/>
      <c r="I337" s="74"/>
      <c r="J337" s="74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74"/>
      <c r="D338" s="74"/>
      <c r="E338" s="74"/>
      <c r="F338" s="74"/>
      <c r="G338" s="74"/>
      <c r="H338" s="74"/>
      <c r="I338" s="74"/>
      <c r="J338" s="74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74"/>
      <c r="D339" s="74"/>
      <c r="E339" s="74"/>
      <c r="F339" s="74"/>
      <c r="G339" s="74"/>
      <c r="H339" s="74"/>
      <c r="I339" s="74"/>
      <c r="J339" s="74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74"/>
      <c r="D340" s="74"/>
      <c r="E340" s="74"/>
      <c r="F340" s="74"/>
      <c r="G340" s="74"/>
      <c r="H340" s="74"/>
      <c r="I340" s="74"/>
      <c r="J340" s="74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  <row r="453" spans="1:18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192"/>
      <c r="L453" s="192"/>
      <c r="M453" s="75"/>
      <c r="N453" s="2"/>
      <c r="O453" s="2"/>
      <c r="P453" s="2"/>
      <c r="Q453" s="2"/>
      <c r="R453" s="2"/>
    </row>
    <row r="454" spans="1:18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192"/>
      <c r="L454" s="192"/>
      <c r="M454" s="75"/>
      <c r="N454" s="2"/>
      <c r="O454" s="2"/>
      <c r="P454" s="2"/>
      <c r="Q454" s="2"/>
      <c r="R454" s="2"/>
    </row>
    <row r="455" spans="1:18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192"/>
      <c r="L455" s="192"/>
      <c r="M455" s="75"/>
      <c r="N455" s="2"/>
      <c r="O455" s="2"/>
      <c r="P455" s="2"/>
      <c r="Q455" s="2"/>
      <c r="R455" s="2"/>
    </row>
    <row r="456" spans="1:18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192"/>
      <c r="L456" s="192"/>
      <c r="M456" s="75"/>
      <c r="N456" s="2"/>
      <c r="O456" s="2"/>
      <c r="P456" s="2"/>
      <c r="Q456" s="2"/>
      <c r="R456" s="2"/>
    </row>
    <row r="457" spans="1:18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192"/>
      <c r="L457" s="192"/>
      <c r="M457" s="75"/>
      <c r="N457" s="2"/>
      <c r="O457" s="2"/>
      <c r="P457" s="2"/>
      <c r="Q457" s="2"/>
      <c r="R457" s="2"/>
    </row>
    <row r="458" spans="1:18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192"/>
      <c r="L458" s="192"/>
      <c r="M458" s="75"/>
      <c r="N458" s="2"/>
      <c r="O458" s="2"/>
      <c r="P458" s="2"/>
      <c r="Q458" s="2"/>
      <c r="R458" s="2"/>
    </row>
    <row r="459" spans="1:18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192"/>
      <c r="L459" s="192"/>
      <c r="M459" s="75"/>
      <c r="N459" s="2"/>
      <c r="O459" s="2"/>
      <c r="P459" s="2"/>
      <c r="Q459" s="2"/>
      <c r="R459" s="2"/>
    </row>
    <row r="460" spans="1:18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192"/>
      <c r="L460" s="192"/>
      <c r="M460" s="75"/>
      <c r="N460" s="2"/>
      <c r="O460" s="2"/>
      <c r="P460" s="2"/>
      <c r="Q460" s="2"/>
      <c r="R460" s="2"/>
    </row>
    <row r="461" spans="1:18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192"/>
      <c r="L461" s="192"/>
      <c r="M461" s="75"/>
      <c r="N461" s="2"/>
      <c r="O461" s="2"/>
      <c r="P461" s="2"/>
      <c r="Q461" s="2"/>
      <c r="R461" s="2"/>
    </row>
    <row r="462" spans="1:18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92"/>
      <c r="L462" s="192"/>
      <c r="M462" s="75"/>
      <c r="N462" s="2"/>
      <c r="O462" s="2"/>
      <c r="P462" s="2"/>
      <c r="Q462" s="2"/>
      <c r="R462" s="2"/>
    </row>
    <row r="463" spans="1:18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192"/>
      <c r="L463" s="192"/>
      <c r="M463" s="75"/>
      <c r="N463" s="2"/>
      <c r="O463" s="2"/>
      <c r="P463" s="2"/>
      <c r="Q463" s="2"/>
      <c r="R463" s="2"/>
    </row>
    <row r="464" spans="1:18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192"/>
      <c r="L464" s="192"/>
      <c r="M464" s="75"/>
      <c r="N464" s="2"/>
      <c r="O464" s="2"/>
      <c r="P464" s="2"/>
      <c r="Q464" s="2"/>
      <c r="R464" s="2"/>
    </row>
    <row r="465" spans="1:18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192"/>
      <c r="L465" s="192"/>
      <c r="M465" s="75"/>
      <c r="N465" s="2"/>
      <c r="O465" s="2"/>
      <c r="P465" s="2"/>
      <c r="Q465" s="2"/>
      <c r="R465" s="2"/>
    </row>
    <row r="466" spans="1:18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192"/>
      <c r="L466" s="192"/>
      <c r="M466" s="75"/>
      <c r="N466" s="2"/>
      <c r="O466" s="2"/>
      <c r="P466" s="2"/>
      <c r="Q466" s="2"/>
      <c r="R466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4" manualBreakCount="4">
    <brk id="49" max="12" man="1"/>
    <brk id="91" max="12" man="1"/>
    <brk id="133" max="12" man="1"/>
    <brk id="17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65</v>
      </c>
      <c r="E7" s="275" t="s">
        <v>56</v>
      </c>
      <c r="F7" s="84" t="s">
        <v>63</v>
      </c>
      <c r="G7" s="84" t="s">
        <v>67</v>
      </c>
      <c r="H7" s="84" t="s">
        <v>66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DATE(2020,7,1)</f>
        <v>44013</v>
      </c>
      <c r="B10" s="89">
        <f>'MONTHLY STATS'!$C$9*2</f>
        <v>376666</v>
      </c>
      <c r="C10" s="89">
        <f>'MONTHLY STATS'!$C$23*2</f>
        <v>158942</v>
      </c>
      <c r="D10" s="89">
        <f>'MONTHLY STATS'!$C$37*2</f>
        <v>106210</v>
      </c>
      <c r="E10" s="89">
        <f>'MONTHLY STATS'!$C$51*2</f>
        <v>452472</v>
      </c>
      <c r="F10" s="89">
        <f>'MONTHLY STATS'!$C$65*2</f>
        <v>521570</v>
      </c>
      <c r="G10" s="89">
        <f>'MONTHLY STATS'!$C$79*2</f>
        <v>151956</v>
      </c>
      <c r="H10" s="89">
        <f>'MONTHLY STATS'!$C$93*2</f>
        <v>179564</v>
      </c>
      <c r="I10" s="89">
        <f>'MONTHLY STATS'!$C$107*2</f>
        <v>396916</v>
      </c>
      <c r="J10" s="89">
        <f>'MONTHLY STATS'!$C$121*2</f>
        <v>422892</v>
      </c>
      <c r="K10" s="89">
        <f>'MONTHLY STATS'!$C$135*2</f>
        <v>446984</v>
      </c>
      <c r="L10" s="89">
        <f>'MONTHLY STATS'!$C$149*2</f>
        <v>86452</v>
      </c>
      <c r="M10" s="89">
        <f>'MONTHLY STATS'!$C$163*2</f>
        <v>632878</v>
      </c>
      <c r="N10" s="89">
        <f>'MONTHLY STATS'!$C$177*2</f>
        <v>122676</v>
      </c>
      <c r="O10" s="90">
        <f t="shared" ref="O10:O15" si="0">SUM(B10:N10)</f>
        <v>4056178</v>
      </c>
      <c r="P10" s="83"/>
    </row>
    <row r="11" spans="1:16" ht="15.75" x14ac:dyDescent="0.25">
      <c r="A11" s="88">
        <f>DATE(2020,8,1)</f>
        <v>44044</v>
      </c>
      <c r="B11" s="89">
        <f>'MONTHLY STATS'!$C$10*2</f>
        <v>386252</v>
      </c>
      <c r="C11" s="89">
        <f>'MONTHLY STATS'!$C$24*2</f>
        <v>176468</v>
      </c>
      <c r="D11" s="89">
        <f>'MONTHLY STATS'!$C$38*2</f>
        <v>105220</v>
      </c>
      <c r="E11" s="89">
        <f>'MONTHLY STATS'!$C$52*2</f>
        <v>497732</v>
      </c>
      <c r="F11" s="89">
        <f>'MONTHLY STATS'!$C$66*2</f>
        <v>535796</v>
      </c>
      <c r="G11" s="89">
        <f>'MONTHLY STATS'!$C$80*2</f>
        <v>150102</v>
      </c>
      <c r="H11" s="89">
        <f>'MONTHLY STATS'!$C$94*2</f>
        <v>181532</v>
      </c>
      <c r="I11" s="89">
        <f>'MONTHLY STATS'!$C$108*2</f>
        <v>414340</v>
      </c>
      <c r="J11" s="89">
        <f>'MONTHLY STATS'!$C$122*2</f>
        <v>451102</v>
      </c>
      <c r="K11" s="89">
        <f>'MONTHLY STATS'!$C$136*2</f>
        <v>486344</v>
      </c>
      <c r="L11" s="89">
        <f>'MONTHLY STATS'!$C$150*2</f>
        <v>93412</v>
      </c>
      <c r="M11" s="89">
        <f>'MONTHLY STATS'!$C$164*2</f>
        <v>610790</v>
      </c>
      <c r="N11" s="89">
        <f>'MONTHLY STATS'!$C$178*2</f>
        <v>123710</v>
      </c>
      <c r="O11" s="90">
        <f t="shared" si="0"/>
        <v>4212800</v>
      </c>
      <c r="P11" s="83"/>
    </row>
    <row r="12" spans="1:16" ht="15.75" x14ac:dyDescent="0.25">
      <c r="A12" s="88">
        <f>DATE(2020,9,1)</f>
        <v>44075</v>
      </c>
      <c r="B12" s="89">
        <f>'MONTHLY STATS'!$C$11*2</f>
        <v>393508</v>
      </c>
      <c r="C12" s="89">
        <f>'MONTHLY STATS'!$C$25*2</f>
        <v>181896</v>
      </c>
      <c r="D12" s="89">
        <f>'MONTHLY STATS'!$C$39*2</f>
        <v>101704</v>
      </c>
      <c r="E12" s="89">
        <f>'MONTHLY STATS'!$C$53*2</f>
        <v>499142</v>
      </c>
      <c r="F12" s="89">
        <f>'MONTHLY STATS'!$C$67*2</f>
        <v>491416</v>
      </c>
      <c r="G12" s="89">
        <f>'MONTHLY STATS'!$C$81*2</f>
        <v>152116</v>
      </c>
      <c r="H12" s="89">
        <f>'MONTHLY STATS'!$C$95*2</f>
        <v>227798</v>
      </c>
      <c r="I12" s="89">
        <f>'MONTHLY STATS'!$C$109*2</f>
        <v>429358</v>
      </c>
      <c r="J12" s="89">
        <f>'MONTHLY STATS'!$C$123*2</f>
        <v>449654</v>
      </c>
      <c r="K12" s="89">
        <f>'MONTHLY STATS'!$C$137*2</f>
        <v>517978</v>
      </c>
      <c r="L12" s="89">
        <f>'MONTHLY STATS'!$C$151*2</f>
        <v>89310</v>
      </c>
      <c r="M12" s="89">
        <f>'MONTHLY STATS'!$C$165*2</f>
        <v>636488</v>
      </c>
      <c r="N12" s="89">
        <f>'MONTHLY STATS'!$C$179*2</f>
        <v>116510</v>
      </c>
      <c r="O12" s="90">
        <f t="shared" si="0"/>
        <v>4286878</v>
      </c>
      <c r="P12" s="83"/>
    </row>
    <row r="13" spans="1:16" ht="15.75" x14ac:dyDescent="0.25">
      <c r="A13" s="88">
        <f>DATE(2020,10,1)</f>
        <v>44105</v>
      </c>
      <c r="B13" s="89">
        <f>'MONTHLY STATS'!$C$12*2</f>
        <v>407654</v>
      </c>
      <c r="C13" s="89">
        <f>'MONTHLY STATS'!$C$26*2</f>
        <v>174198</v>
      </c>
      <c r="D13" s="89">
        <f>'MONTHLY STATS'!$C$40*2</f>
        <v>102526</v>
      </c>
      <c r="E13" s="89">
        <f>'MONTHLY STATS'!$C$54*2</f>
        <v>544168</v>
      </c>
      <c r="F13" s="89">
        <f>'MONTHLY STATS'!$C$68*2</f>
        <v>504572</v>
      </c>
      <c r="G13" s="89">
        <f>'MONTHLY STATS'!$C$82*2</f>
        <v>158558</v>
      </c>
      <c r="H13" s="89">
        <f>'MONTHLY STATS'!$C$96*2</f>
        <v>266504</v>
      </c>
      <c r="I13" s="89">
        <f>'MONTHLY STATS'!$C$110*2</f>
        <v>424510</v>
      </c>
      <c r="J13" s="89">
        <f>'MONTHLY STATS'!$C$124*2</f>
        <v>473378</v>
      </c>
      <c r="K13" s="89">
        <f>'MONTHLY STATS'!$C$138*2</f>
        <v>545318</v>
      </c>
      <c r="L13" s="89">
        <f>'MONTHLY STATS'!$C$152*2</f>
        <v>84806</v>
      </c>
      <c r="M13" s="89">
        <f>'MONTHLY STATS'!$C$166*2</f>
        <v>668590</v>
      </c>
      <c r="N13" s="89">
        <f>'MONTHLY STATS'!$C$180*2</f>
        <v>110656</v>
      </c>
      <c r="O13" s="90">
        <f t="shared" si="0"/>
        <v>4465438</v>
      </c>
      <c r="P13" s="83"/>
    </row>
    <row r="14" spans="1:16" ht="15.75" x14ac:dyDescent="0.25">
      <c r="A14" s="88">
        <f>DATE(2020,11,1)</f>
        <v>44136</v>
      </c>
      <c r="B14" s="89">
        <f>'MONTHLY STATS'!$C$13*2</f>
        <v>378296</v>
      </c>
      <c r="C14" s="89">
        <f>'MONTHLY STATS'!$C$27*2</f>
        <v>155566</v>
      </c>
      <c r="D14" s="89">
        <f>'MONTHLY STATS'!$C$41*2</f>
        <v>91494</v>
      </c>
      <c r="E14" s="89">
        <f>'MONTHLY STATS'!$C$55*2</f>
        <v>465798</v>
      </c>
      <c r="F14" s="89">
        <f>'MONTHLY STATS'!$C$69*2</f>
        <v>459294</v>
      </c>
      <c r="G14" s="89">
        <f>'MONTHLY STATS'!$C$83*2</f>
        <v>146872</v>
      </c>
      <c r="H14" s="89">
        <f>'MONTHLY STATS'!$C$97*2</f>
        <v>257284</v>
      </c>
      <c r="I14" s="89">
        <f>'MONTHLY STATS'!$C$111*2</f>
        <v>364402</v>
      </c>
      <c r="J14" s="89">
        <f>'MONTHLY STATS'!$C$125*2</f>
        <v>435666</v>
      </c>
      <c r="K14" s="89">
        <f>'MONTHLY STATS'!$C$139*2</f>
        <v>458632</v>
      </c>
      <c r="L14" s="89">
        <f>'MONTHLY STATS'!$C$153*2</f>
        <v>75632</v>
      </c>
      <c r="M14" s="89">
        <f>'MONTHLY STATS'!$C$167*2</f>
        <v>585848</v>
      </c>
      <c r="N14" s="89">
        <f>'MONTHLY STATS'!$C$181*2</f>
        <v>99764</v>
      </c>
      <c r="O14" s="90">
        <f t="shared" si="0"/>
        <v>3974548</v>
      </c>
      <c r="P14" s="83"/>
    </row>
    <row r="15" spans="1:16" ht="15.75" x14ac:dyDescent="0.25">
      <c r="A15" s="88">
        <f>DATE(2020,12,1)</f>
        <v>44166</v>
      </c>
      <c r="B15" s="89">
        <f>'MONTHLY STATS'!$C$14*2</f>
        <v>392152</v>
      </c>
      <c r="C15" s="89">
        <f>'MONTHLY STATS'!$C$28*2</f>
        <v>164878</v>
      </c>
      <c r="D15" s="89">
        <f>'MONTHLY STATS'!$C$42*2</f>
        <v>100036</v>
      </c>
      <c r="E15" s="89">
        <f>'MONTHLY STATS'!$C$56*2</f>
        <v>453314</v>
      </c>
      <c r="F15" s="89">
        <f>'MONTHLY STATS'!$C$70*2</f>
        <v>474630</v>
      </c>
      <c r="G15" s="89">
        <f>'MONTHLY STATS'!$C$84*2</f>
        <v>180106</v>
      </c>
      <c r="H15" s="89">
        <f>'MONTHLY STATS'!$C$98*2</f>
        <v>272648</v>
      </c>
      <c r="I15" s="89">
        <f>'MONTHLY STATS'!$C$112*2</f>
        <v>473172</v>
      </c>
      <c r="J15" s="89">
        <f>'MONTHLY STATS'!$C$126*2</f>
        <v>465676</v>
      </c>
      <c r="K15" s="89">
        <f>'MONTHLY STATS'!$C$140*2</f>
        <v>448938</v>
      </c>
      <c r="L15" s="89">
        <f>'MONTHLY STATS'!$C$154*2</f>
        <v>96396</v>
      </c>
      <c r="M15" s="89">
        <f>'MONTHLY STATS'!$C$168*2</f>
        <v>688112</v>
      </c>
      <c r="N15" s="89">
        <f>'MONTHLY STATS'!$C$182*2</f>
        <v>106980</v>
      </c>
      <c r="O15" s="90">
        <f t="shared" si="0"/>
        <v>4317038</v>
      </c>
      <c r="P15" s="83"/>
    </row>
    <row r="16" spans="1:16" ht="15.75" x14ac:dyDescent="0.25">
      <c r="A16" s="88">
        <f>DATE(2021,1,1)</f>
        <v>44197</v>
      </c>
      <c r="B16" s="89">
        <f>'MONTHLY STATS'!$C$15*2</f>
        <v>421458</v>
      </c>
      <c r="C16" s="89">
        <f>'MONTHLY STATS'!$C$29*2</f>
        <v>208314</v>
      </c>
      <c r="D16" s="89">
        <f>'MONTHLY STATS'!$C$43*2</f>
        <v>126344</v>
      </c>
      <c r="E16" s="89">
        <f>'MONTHLY STATS'!$C$57*2</f>
        <v>475812</v>
      </c>
      <c r="F16" s="89">
        <f>'MONTHLY STATS'!$C$71*2</f>
        <v>507458</v>
      </c>
      <c r="G16" s="89">
        <f>'MONTHLY STATS'!$C$85*2</f>
        <v>205936</v>
      </c>
      <c r="H16" s="89">
        <f>'MONTHLY STATS'!$C$99*2</f>
        <v>297882</v>
      </c>
      <c r="I16" s="89">
        <f>'MONTHLY STATS'!$C$113*2</f>
        <v>535226</v>
      </c>
      <c r="J16" s="89">
        <f>'MONTHLY STATS'!$C$127*2</f>
        <v>521048</v>
      </c>
      <c r="K16" s="89">
        <f>'MONTHLY STATS'!$C$141*2</f>
        <v>490444</v>
      </c>
      <c r="L16" s="89">
        <f>'MONTHLY STATS'!$C$155*2</f>
        <v>98912</v>
      </c>
      <c r="M16" s="89">
        <f>'MONTHLY STATS'!$C$169*2</f>
        <v>787020</v>
      </c>
      <c r="N16" s="89">
        <f>'MONTHLY STATS'!$C$183*2</f>
        <v>121312</v>
      </c>
      <c r="O16" s="90">
        <f>SUM(B16:N16)</f>
        <v>4797166</v>
      </c>
      <c r="P16" s="83"/>
    </row>
    <row r="17" spans="1:16" ht="15.75" x14ac:dyDescent="0.25">
      <c r="A17" s="88">
        <f>DATE(2021,2,1)</f>
        <v>44228</v>
      </c>
      <c r="B17" s="89">
        <f>'MONTHLY STATS'!$C$16*2</f>
        <v>357612</v>
      </c>
      <c r="C17" s="89">
        <f>'MONTHLY STATS'!$C$30*2</f>
        <v>176010</v>
      </c>
      <c r="D17" s="89">
        <f>'MONTHLY STATS'!$C$44*2</f>
        <v>83818</v>
      </c>
      <c r="E17" s="89">
        <f>'MONTHLY STATS'!$C$58*2</f>
        <v>399548</v>
      </c>
      <c r="F17" s="89">
        <f>'MONTHLY STATS'!$C$72*2</f>
        <v>443098</v>
      </c>
      <c r="G17" s="89">
        <f>'MONTHLY STATS'!$C$86*2</f>
        <v>146776</v>
      </c>
      <c r="H17" s="89">
        <f>'MONTHLY STATS'!$C$100*2</f>
        <v>256616</v>
      </c>
      <c r="I17" s="89">
        <f>'MONTHLY STATS'!$C$114*2</f>
        <v>383956</v>
      </c>
      <c r="J17" s="89">
        <f>'MONTHLY STATS'!$C$128*2</f>
        <v>439200</v>
      </c>
      <c r="K17" s="89">
        <f>'MONTHLY STATS'!$C$142*2</f>
        <v>413806</v>
      </c>
      <c r="L17" s="89">
        <f>'MONTHLY STATS'!$C$156*2</f>
        <v>74858</v>
      </c>
      <c r="M17" s="89">
        <f>'MONTHLY STATS'!$C$170*2</f>
        <v>639428</v>
      </c>
      <c r="N17" s="89">
        <f>'MONTHLY STATS'!$C$184*2</f>
        <v>101550</v>
      </c>
      <c r="O17" s="90">
        <f>SUM(B17:N17)</f>
        <v>3916276</v>
      </c>
      <c r="P17" s="83"/>
    </row>
    <row r="18" spans="1:16" ht="15.75" x14ac:dyDescent="0.25">
      <c r="A18" s="88">
        <f>DATE(2021,3,1)</f>
        <v>44256</v>
      </c>
      <c r="B18" s="89">
        <f>'MONTHLY STATS'!$C$17*2</f>
        <v>489270</v>
      </c>
      <c r="C18" s="89">
        <f>'MONTHLY STATS'!$C$31*2</f>
        <v>253988</v>
      </c>
      <c r="D18" s="89">
        <f>'MONTHLY STATS'!$C$45*2</f>
        <v>148546</v>
      </c>
      <c r="E18" s="89">
        <f>'MONTHLY STATS'!$C$59*2</f>
        <v>541174</v>
      </c>
      <c r="F18" s="89">
        <f>'MONTHLY STATS'!$C$73*2</f>
        <v>591028</v>
      </c>
      <c r="G18" s="89">
        <f>'MONTHLY STATS'!$C$87*2</f>
        <v>224836</v>
      </c>
      <c r="H18" s="89">
        <f>'MONTHLY STATS'!$C$101*2</f>
        <v>356588</v>
      </c>
      <c r="I18" s="89">
        <f>'MONTHLY STATS'!$C$115*2</f>
        <v>534066</v>
      </c>
      <c r="J18" s="89">
        <f>'MONTHLY STATS'!$C$129*2</f>
        <v>628288</v>
      </c>
      <c r="K18" s="89">
        <f>'MONTHLY STATS'!$C$143*2</f>
        <v>584860</v>
      </c>
      <c r="L18" s="89">
        <f>'MONTHLY STATS'!$C$157*2</f>
        <v>119120</v>
      </c>
      <c r="M18" s="89">
        <f>'MONTHLY STATS'!$C$171*2</f>
        <v>799044</v>
      </c>
      <c r="N18" s="89">
        <f>'MONTHLY STATS'!$C$185*2</f>
        <v>153458</v>
      </c>
      <c r="O18" s="90">
        <f>SUM(B18:N18)</f>
        <v>5424266</v>
      </c>
      <c r="P18" s="83"/>
    </row>
    <row r="19" spans="1:16" ht="15.75" x14ac:dyDescent="0.25">
      <c r="A19" s="88">
        <f>DATE(2021,4,1)</f>
        <v>44287</v>
      </c>
      <c r="B19" s="89">
        <f>'MONTHLY STATS'!$C$18*2</f>
        <v>459560</v>
      </c>
      <c r="C19" s="89">
        <f>'MONTHLY STATS'!$C$32*2</f>
        <v>233190</v>
      </c>
      <c r="D19" s="89">
        <f>'MONTHLY STATS'!$C$46*2</f>
        <v>145722</v>
      </c>
      <c r="E19" s="89">
        <f>'MONTHLY STATS'!$C$60*2</f>
        <v>581972</v>
      </c>
      <c r="F19" s="89">
        <f>'MONTHLY STATS'!$C$74*2</f>
        <v>548438</v>
      </c>
      <c r="G19" s="89">
        <f>'MONTHLY STATS'!$C$88*2</f>
        <v>217312</v>
      </c>
      <c r="H19" s="89">
        <f>'MONTHLY STATS'!$C$102*2</f>
        <v>359802</v>
      </c>
      <c r="I19" s="89">
        <f>'MONTHLY STATS'!$C$116*2</f>
        <v>520290</v>
      </c>
      <c r="J19" s="89">
        <f>'MONTHLY STATS'!$C$130*2</f>
        <v>594582</v>
      </c>
      <c r="K19" s="89">
        <f>'MONTHLY STATS'!$C$144*2</f>
        <v>594722</v>
      </c>
      <c r="L19" s="89">
        <f>'MONTHLY STATS'!$C$158*2</f>
        <v>112038</v>
      </c>
      <c r="M19" s="89">
        <f>'MONTHLY STATS'!$C$172*2</f>
        <v>774130</v>
      </c>
      <c r="N19" s="89">
        <f>'MONTHLY STATS'!$C$186*2</f>
        <v>155404</v>
      </c>
      <c r="O19" s="90">
        <f>SUM(B19:N19)</f>
        <v>5297162</v>
      </c>
      <c r="P19" s="83"/>
    </row>
    <row r="20" spans="1:16" ht="15.75" x14ac:dyDescent="0.25">
      <c r="A20" s="88">
        <f>DATE(2021,5,1)</f>
        <v>44317</v>
      </c>
      <c r="B20" s="89">
        <f>'MONTHLY STATS'!$C$19*2</f>
        <v>470728</v>
      </c>
      <c r="C20" s="89">
        <f>'MONTHLY STATS'!$C$33*2</f>
        <v>243584</v>
      </c>
      <c r="D20" s="89">
        <f>'MONTHLY STATS'!$C$47*2</f>
        <v>138848</v>
      </c>
      <c r="E20" s="89">
        <f>'MONTHLY STATS'!$C$61*2</f>
        <v>654876</v>
      </c>
      <c r="F20" s="89">
        <f>'MONTHLY STATS'!$C$75*2</f>
        <v>553690</v>
      </c>
      <c r="G20" s="89">
        <f>'MONTHLY STATS'!$C$89*2</f>
        <v>213388</v>
      </c>
      <c r="H20" s="89">
        <f>'MONTHLY STATS'!$C$103*2</f>
        <v>380824</v>
      </c>
      <c r="I20" s="89">
        <f>'MONTHLY STATS'!$C$117*2</f>
        <v>509504</v>
      </c>
      <c r="J20" s="89">
        <f>'MONTHLY STATS'!$C$131*2</f>
        <v>599558</v>
      </c>
      <c r="K20" s="89">
        <f>'MONTHLY STATS'!$C$145*2</f>
        <v>660044</v>
      </c>
      <c r="L20" s="89">
        <f>'MONTHLY STATS'!$C$159*2</f>
        <v>106766</v>
      </c>
      <c r="M20" s="89">
        <f>'MONTHLY STATS'!$C$173*2</f>
        <v>782094</v>
      </c>
      <c r="N20" s="89">
        <f>'MONTHLY STATS'!$C$187*2</f>
        <v>151762</v>
      </c>
      <c r="O20" s="90">
        <f>SUM(B20:N20)</f>
        <v>5465666</v>
      </c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1">SUM(B10:B21)</f>
        <v>4533156</v>
      </c>
      <c r="C23" s="90">
        <f t="shared" si="1"/>
        <v>2127034</v>
      </c>
      <c r="D23" s="90">
        <f t="shared" si="1"/>
        <v>1250468</v>
      </c>
      <c r="E23" s="90">
        <f t="shared" si="1"/>
        <v>5566008</v>
      </c>
      <c r="F23" s="90">
        <f t="shared" si="1"/>
        <v>5630990</v>
      </c>
      <c r="G23" s="90">
        <f>SUM(G10:G21)</f>
        <v>1947958</v>
      </c>
      <c r="H23" s="90">
        <f t="shared" si="1"/>
        <v>3037042</v>
      </c>
      <c r="I23" s="90">
        <f>SUM(I10:I21)</f>
        <v>4985740</v>
      </c>
      <c r="J23" s="90">
        <f t="shared" si="1"/>
        <v>5481044</v>
      </c>
      <c r="K23" s="90">
        <f>SUM(K10:K21)</f>
        <v>5648070</v>
      </c>
      <c r="L23" s="90">
        <f t="shared" si="1"/>
        <v>1037702</v>
      </c>
      <c r="M23" s="90">
        <f t="shared" si="1"/>
        <v>7604422</v>
      </c>
      <c r="N23" s="90">
        <f t="shared" si="1"/>
        <v>1363782</v>
      </c>
      <c r="O23" s="90">
        <f t="shared" si="1"/>
        <v>50213416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65</v>
      </c>
      <c r="E28" s="275" t="s">
        <v>56</v>
      </c>
      <c r="F28" s="84" t="s">
        <v>63</v>
      </c>
      <c r="G28" s="84" t="s">
        <v>67</v>
      </c>
      <c r="H28" s="84" t="s">
        <v>66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DATE(2020,7,1)</f>
        <v>44013</v>
      </c>
      <c r="B31" s="89">
        <f>'MONTHLY STATS'!$K$9*0.21</f>
        <v>2859195.1269</v>
      </c>
      <c r="C31" s="89">
        <f>'MONTHLY STATS'!$K$23*0.21</f>
        <v>1178796.7863</v>
      </c>
      <c r="D31" s="89">
        <f>'MONTHLY STATS'!$K$37*0.21</f>
        <v>728228.88599999994</v>
      </c>
      <c r="E31" s="89">
        <f>'MONTHLY STATS'!$K$51*0.21</f>
        <v>3061575.4994999999</v>
      </c>
      <c r="F31" s="89">
        <f>'MONTHLY STATS'!$K$65*0.21</f>
        <v>3317763.2228999999</v>
      </c>
      <c r="G31" s="89">
        <f>'MONTHLY STATS'!$K$79*0.21</f>
        <v>1051497.2097</v>
      </c>
      <c r="H31" s="89">
        <f>'MONTHLY STATS'!$K$93*0.21</f>
        <v>955953.50549999997</v>
      </c>
      <c r="I31" s="89">
        <f>'MONTHLY STATS'!$K$107*0.21</f>
        <v>2398867.7516999999</v>
      </c>
      <c r="J31" s="89">
        <f>'MONTHLY STATS'!$K$121*0.21</f>
        <v>2903763.5780999996</v>
      </c>
      <c r="K31" s="89">
        <f>'MONTHLY STATS'!$K$135*0.21</f>
        <v>3157890.0107999998</v>
      </c>
      <c r="L31" s="89">
        <f>'MONTHLY STATS'!$K$149*0.21</f>
        <v>624400.86450000003</v>
      </c>
      <c r="M31" s="89">
        <f>'MONTHLY STATS'!$K$163*0.21</f>
        <v>4772441.4800999993</v>
      </c>
      <c r="N31" s="89">
        <f>'MONTHLY STATS'!$K$177*0.21</f>
        <v>737749.38089999999</v>
      </c>
      <c r="O31" s="90">
        <f t="shared" ref="O31:O36" si="2">SUM(B31:N31)</f>
        <v>27748123.302899998</v>
      </c>
      <c r="P31" s="83"/>
    </row>
    <row r="32" spans="1:16" ht="15.75" x14ac:dyDescent="0.25">
      <c r="A32" s="88">
        <f>DATE(2020,8,1)</f>
        <v>44044</v>
      </c>
      <c r="B32" s="89">
        <f>'MONTHLY STATS'!$K$10*0.21</f>
        <v>2650302.3833999997</v>
      </c>
      <c r="C32" s="89">
        <f>'MONTHLY STATS'!$K$24*0.21</f>
        <v>1258855.9683000001</v>
      </c>
      <c r="D32" s="89">
        <f>'MONTHLY STATS'!$K$38*0.21</f>
        <v>692227.40999999992</v>
      </c>
      <c r="E32" s="89">
        <f>'MONTHLY STATS'!$K$52*0.21</f>
        <v>3170806.4156999998</v>
      </c>
      <c r="F32" s="89">
        <f>'MONTHLY STATS'!$K$66*0.21</f>
        <v>3274392.6348000001</v>
      </c>
      <c r="G32" s="89">
        <f>'MONTHLY STATS'!$K$80*0.21</f>
        <v>1042214.6279999999</v>
      </c>
      <c r="H32" s="89">
        <f>'MONTHLY STATS'!$K$94*0.21</f>
        <v>924689.3459999999</v>
      </c>
      <c r="I32" s="89">
        <f>'MONTHLY STATS'!$K$108*0.21</f>
        <v>2536431.8153999997</v>
      </c>
      <c r="J32" s="89">
        <f>'MONTHLY STATS'!$K$122*0.21</f>
        <v>3012089.7827999997</v>
      </c>
      <c r="K32" s="89">
        <f>'MONTHLY STATS'!$K$136*0.21</f>
        <v>3330930.0780000002</v>
      </c>
      <c r="L32" s="89">
        <f>'MONTHLY STATS'!$K$150*0.21</f>
        <v>645271.1621999999</v>
      </c>
      <c r="M32" s="89">
        <f>'MONTHLY STATS'!$K$164*0.21</f>
        <v>4362897.6908999998</v>
      </c>
      <c r="N32" s="89">
        <f>'MONTHLY STATS'!$K$178*0.21</f>
        <v>745142.79839999997</v>
      </c>
      <c r="O32" s="90">
        <f t="shared" si="2"/>
        <v>27646252.113899998</v>
      </c>
      <c r="P32" s="83"/>
    </row>
    <row r="33" spans="1:16" ht="15.75" x14ac:dyDescent="0.25">
      <c r="A33" s="88">
        <f>DATE(2020,9,1)</f>
        <v>44075</v>
      </c>
      <c r="B33" s="89">
        <f>'MONTHLY STATS'!$K$11*0.21</f>
        <v>2610141.7838999997</v>
      </c>
      <c r="C33" s="89">
        <f>'MONTHLY STATS'!$K$25*0.21</f>
        <v>1240836.3785999999</v>
      </c>
      <c r="D33" s="89">
        <f>'MONTHLY STATS'!$K$39*0.21</f>
        <v>651075.1128</v>
      </c>
      <c r="E33" s="89">
        <f>'MONTHLY STATS'!$K$53*0.21</f>
        <v>3135831.1277999999</v>
      </c>
      <c r="F33" s="89">
        <f>'MONTHLY STATS'!$K$67*0.21</f>
        <v>3087246.4980000001</v>
      </c>
      <c r="G33" s="89">
        <f>'MONTHLY STATS'!$K$81*0.21</f>
        <v>1046144.2025999998</v>
      </c>
      <c r="H33" s="89">
        <f>'MONTHLY STATS'!$K$95*0.21</f>
        <v>1124784.6645</v>
      </c>
      <c r="I33" s="89">
        <f>'MONTHLY STATS'!$K$109*0.21</f>
        <v>2423322.0983999996</v>
      </c>
      <c r="J33" s="89">
        <f>'MONTHLY STATS'!$K$123*0.21</f>
        <v>2854444.1562000001</v>
      </c>
      <c r="K33" s="89">
        <f>'MONTHLY STATS'!$K$137*0.21</f>
        <v>3445275.7394999997</v>
      </c>
      <c r="L33" s="89">
        <f>'MONTHLY STATS'!$K$151*0.21</f>
        <v>591393.38789999997</v>
      </c>
      <c r="M33" s="89">
        <f>'MONTHLY STATS'!$K$165*0.21</f>
        <v>4283428.3064999999</v>
      </c>
      <c r="N33" s="89">
        <f>'MONTHLY STATS'!$K$179*0.21</f>
        <v>673628.92379999999</v>
      </c>
      <c r="O33" s="90">
        <f t="shared" si="2"/>
        <v>27167552.380499996</v>
      </c>
      <c r="P33" s="83"/>
    </row>
    <row r="34" spans="1:16" ht="15.75" x14ac:dyDescent="0.25">
      <c r="A34" s="88">
        <f>DATE(2020,10,1)</f>
        <v>44105</v>
      </c>
      <c r="B34" s="89">
        <f>'MONTHLY STATS'!$K$12*0.21</f>
        <v>2714785.8443999998</v>
      </c>
      <c r="C34" s="89">
        <f>'MONTHLY STATS'!$K$26*0.21</f>
        <v>1200446.0769</v>
      </c>
      <c r="D34" s="89">
        <f>'MONTHLY STATS'!$K$40*0.21</f>
        <v>709462.30530000001</v>
      </c>
      <c r="E34" s="89">
        <f>'MONTHLY STATS'!$K$54*0.21</f>
        <v>3331583.3123999997</v>
      </c>
      <c r="F34" s="89">
        <f>'MONTHLY STATS'!$K$68*0.21</f>
        <v>3140077.1598</v>
      </c>
      <c r="G34" s="89">
        <f>'MONTHLY STATS'!$K$82*0.21</f>
        <v>1048776.6218999999</v>
      </c>
      <c r="H34" s="89">
        <f>'MONTHLY STATS'!$K$96*0.21</f>
        <v>1287290.6172</v>
      </c>
      <c r="I34" s="89">
        <f>'MONTHLY STATS'!$K$110*0.21</f>
        <v>2376266.1993</v>
      </c>
      <c r="J34" s="89">
        <f>'MONTHLY STATS'!$K$124*0.21</f>
        <v>3034260.8792999997</v>
      </c>
      <c r="K34" s="89">
        <f>'MONTHLY STATS'!$K$138*0.21</f>
        <v>3440683.6001999998</v>
      </c>
      <c r="L34" s="89">
        <f>'MONTHLY STATS'!$K$152*0.21</f>
        <v>603164.59770000004</v>
      </c>
      <c r="M34" s="89">
        <f>'MONTHLY STATS'!$K$166*0.21</f>
        <v>4601981.3469000002</v>
      </c>
      <c r="N34" s="89">
        <f>'MONTHLY STATS'!$K$180*0.21</f>
        <v>608673.68519999995</v>
      </c>
      <c r="O34" s="90">
        <f t="shared" si="2"/>
        <v>28097452.2465</v>
      </c>
      <c r="P34" s="83"/>
    </row>
    <row r="35" spans="1:16" ht="15.75" x14ac:dyDescent="0.25">
      <c r="A35" s="88">
        <f>DATE(2020,11,1)</f>
        <v>44136</v>
      </c>
      <c r="B35" s="89">
        <f>'MONTHLY STATS'!$K$13*0.21</f>
        <v>2368268.8722000001</v>
      </c>
      <c r="C35" s="89">
        <f>'MONTHLY STATS'!$K$27*0.21</f>
        <v>1123386.5726999999</v>
      </c>
      <c r="D35" s="89">
        <f>'MONTHLY STATS'!$K$41*0.21</f>
        <v>640084.75020000001</v>
      </c>
      <c r="E35" s="89">
        <f>'MONTHLY STATS'!$K$55*0.21</f>
        <v>2849597.9798999997</v>
      </c>
      <c r="F35" s="89">
        <f>'MONTHLY STATS'!$K$69*0.21</f>
        <v>2626045.7244000002</v>
      </c>
      <c r="G35" s="89">
        <f>'MONTHLY STATS'!$K$83*0.21</f>
        <v>944126.72549999994</v>
      </c>
      <c r="H35" s="89">
        <f>'MONTHLY STATS'!$K$97*0.21</f>
        <v>1210198.3550999998</v>
      </c>
      <c r="I35" s="89">
        <f>'MONTHLY STATS'!$K$111*0.21</f>
        <v>2217628.3709999998</v>
      </c>
      <c r="J35" s="89">
        <f>'MONTHLY STATS'!$K$125*0.21</f>
        <v>2642717.2442999999</v>
      </c>
      <c r="K35" s="89">
        <f>'MONTHLY STATS'!$K$139*0.21</f>
        <v>3042247.1498999996</v>
      </c>
      <c r="L35" s="89">
        <f>'MONTHLY STATS'!$K$153*0.21</f>
        <v>556027.24799999991</v>
      </c>
      <c r="M35" s="89">
        <f>'MONTHLY STATS'!$K$167*0.21</f>
        <v>4002673.4600999998</v>
      </c>
      <c r="N35" s="89">
        <f>'MONTHLY STATS'!$K$181*0.21</f>
        <v>537440.32860000001</v>
      </c>
      <c r="O35" s="90">
        <f t="shared" si="2"/>
        <v>24760442.7819</v>
      </c>
      <c r="P35" s="83"/>
    </row>
    <row r="36" spans="1:16" ht="15.75" x14ac:dyDescent="0.25">
      <c r="A36" s="88">
        <f>DATE(2020,12,1)</f>
        <v>44166</v>
      </c>
      <c r="B36" s="89">
        <f>'MONTHLY STATS'!$K$14*0.21</f>
        <v>2627025.0530999997</v>
      </c>
      <c r="C36" s="89">
        <f>'MONTHLY STATS'!$K$28*0.21</f>
        <v>1210539.8529000001</v>
      </c>
      <c r="D36" s="89">
        <f>'MONTHLY STATS'!$K$42*0.21</f>
        <v>705852.32129999995</v>
      </c>
      <c r="E36" s="89">
        <f>'MONTHLY STATS'!$K$56*0.21</f>
        <v>3089789.0141999996</v>
      </c>
      <c r="F36" s="89">
        <f>'MONTHLY STATS'!$K$70*0.21</f>
        <v>2771255.1782999998</v>
      </c>
      <c r="G36" s="89">
        <f>'MONTHLY STATS'!$K$84*0.21</f>
        <v>1288720.1523</v>
      </c>
      <c r="H36" s="89">
        <f>'MONTHLY STATS'!$K$98*0.21</f>
        <v>1340633.1225000001</v>
      </c>
      <c r="I36" s="89">
        <f>'MONTHLY STATS'!$K$112*0.21</f>
        <v>2902140.3725999999</v>
      </c>
      <c r="J36" s="89">
        <f>'MONTHLY STATS'!$K$126*0.21</f>
        <v>2965104.7376999999</v>
      </c>
      <c r="K36" s="89">
        <f>'MONTHLY STATS'!$K$140*0.21</f>
        <v>2959828.2608999996</v>
      </c>
      <c r="L36" s="89">
        <f>'MONTHLY STATS'!$K$154*0.21</f>
        <v>697840.98930000002</v>
      </c>
      <c r="M36" s="89">
        <f>'MONTHLY STATS'!$K$168*0.21</f>
        <v>5015026.0208999999</v>
      </c>
      <c r="N36" s="89">
        <f>'MONTHLY STATS'!$K$182*0.21</f>
        <v>590987.98709999991</v>
      </c>
      <c r="O36" s="90">
        <f t="shared" si="2"/>
        <v>28164743.063099999</v>
      </c>
      <c r="P36" s="83"/>
    </row>
    <row r="37" spans="1:16" ht="15.75" x14ac:dyDescent="0.25">
      <c r="A37" s="88">
        <f>DATE(2021,1,1)</f>
        <v>44197</v>
      </c>
      <c r="B37" s="89">
        <f>'MONTHLY STATS'!$K$15*0.21</f>
        <v>2688803.0274</v>
      </c>
      <c r="C37" s="89">
        <f>'MONTHLY STATS'!$K$29*0.21</f>
        <v>1489067.7479999999</v>
      </c>
      <c r="D37" s="89">
        <f>'MONTHLY STATS'!$K$43*0.21</f>
        <v>857897.24789999996</v>
      </c>
      <c r="E37" s="89">
        <f>'MONTHLY STATS'!$K$57*0.21</f>
        <v>3050253.3641999997</v>
      </c>
      <c r="F37" s="89">
        <f>'MONTHLY STATS'!$K$71*0.21</f>
        <v>3163924.6968</v>
      </c>
      <c r="G37" s="89">
        <f>'MONTHLY STATS'!$K$85*0.21</f>
        <v>1432808.5652999999</v>
      </c>
      <c r="H37" s="89">
        <f>'MONTHLY STATS'!$K$99*0.21</f>
        <v>1452439.8084</v>
      </c>
      <c r="I37" s="89">
        <f>'MONTHLY STATS'!$K$113*0.21</f>
        <v>3345981.1329000001</v>
      </c>
      <c r="J37" s="89">
        <f>'MONTHLY STATS'!$K$127*0.21</f>
        <v>3305764.3583999998</v>
      </c>
      <c r="K37" s="89">
        <f>'MONTHLY STATS'!$K$141*0.21</f>
        <v>3294583.5656999997</v>
      </c>
      <c r="L37" s="89">
        <f>'MONTHLY STATS'!$K$155*0.21</f>
        <v>737287.87229999993</v>
      </c>
      <c r="M37" s="89">
        <f>'MONTHLY STATS'!$K$169*0.21</f>
        <v>5454696.6032999996</v>
      </c>
      <c r="N37" s="89">
        <f>'MONTHLY STATS'!$K$183*0.21</f>
        <v>660570.90749999997</v>
      </c>
      <c r="O37" s="90">
        <f>SUM(B37:N37)</f>
        <v>30934078.898099996</v>
      </c>
      <c r="P37" s="83"/>
    </row>
    <row r="38" spans="1:16" ht="15.75" x14ac:dyDescent="0.25">
      <c r="A38" s="88">
        <f>DATE(2021,2,1)</f>
        <v>44228</v>
      </c>
      <c r="B38" s="89">
        <f>'MONTHLY STATS'!$K$16*0.21</f>
        <v>2383669.8731999998</v>
      </c>
      <c r="C38" s="89">
        <f>'MONTHLY STATS'!$K$30*0.21</f>
        <v>1256150.1434999998</v>
      </c>
      <c r="D38" s="89">
        <f>'MONTHLY STATS'!$K$44*0.21</f>
        <v>636659.73419999995</v>
      </c>
      <c r="E38" s="89">
        <f>'MONTHLY STATS'!$K$58*0.21</f>
        <v>2507727.5159999998</v>
      </c>
      <c r="F38" s="89">
        <f>'MONTHLY STATS'!$K$72*0.21</f>
        <v>2775343.4457</v>
      </c>
      <c r="G38" s="89">
        <f>'MONTHLY STATS'!$K$86*0.21</f>
        <v>1038314.2056</v>
      </c>
      <c r="H38" s="89">
        <f>'MONTHLY STATS'!$K$100*0.21</f>
        <v>1338059.5808999999</v>
      </c>
      <c r="I38" s="89">
        <f>'MONTHLY STATS'!$K$114*0.21</f>
        <v>2445546.8772</v>
      </c>
      <c r="J38" s="89">
        <f>'MONTHLY STATS'!$K$128*0.21</f>
        <v>2801556.0216000001</v>
      </c>
      <c r="K38" s="89">
        <f>'MONTHLY STATS'!$K$142*0.21</f>
        <v>2802526.5806999998</v>
      </c>
      <c r="L38" s="89">
        <f>'MONTHLY STATS'!$K$156*0.21</f>
        <v>551736.92700000003</v>
      </c>
      <c r="M38" s="89">
        <f>'MONTHLY STATS'!$K$170*0.21</f>
        <v>4627481.2730999999</v>
      </c>
      <c r="N38" s="89">
        <f>'MONTHLY STATS'!$K$184*0.21</f>
        <v>590921.0307</v>
      </c>
      <c r="O38" s="90">
        <f>SUM(B38:N38)</f>
        <v>25755693.209399998</v>
      </c>
      <c r="P38" s="83"/>
    </row>
    <row r="39" spans="1:16" ht="15.75" x14ac:dyDescent="0.25">
      <c r="A39" s="88">
        <f>DATE(2021,3,1)</f>
        <v>44256</v>
      </c>
      <c r="B39" s="89">
        <f>'MONTHLY STATS'!$K$17*0.21</f>
        <v>3432898.3772999998</v>
      </c>
      <c r="C39" s="89">
        <f>'MONTHLY STATS'!$K$31*0.21</f>
        <v>1860861.2316000001</v>
      </c>
      <c r="D39" s="89">
        <f>'MONTHLY STATS'!$K$45*0.21</f>
        <v>1122740.4405</v>
      </c>
      <c r="E39" s="89">
        <f>'MONTHLY STATS'!$K$59*0.21</f>
        <v>3690428.8553999993</v>
      </c>
      <c r="F39" s="89">
        <f>'MONTHLY STATS'!$K$73*0.21</f>
        <v>3859253.0255999998</v>
      </c>
      <c r="G39" s="89">
        <f>'MONTHLY STATS'!$K$87*0.21</f>
        <v>1635249.7601999999</v>
      </c>
      <c r="H39" s="89">
        <f>'MONTHLY STATS'!$K$101*0.21</f>
        <v>2088366.4934999999</v>
      </c>
      <c r="I39" s="89">
        <f>'MONTHLY STATS'!$K$115*0.21</f>
        <v>3585963.7211999996</v>
      </c>
      <c r="J39" s="89">
        <f>'MONTHLY STATS'!$K$129*0.21</f>
        <v>4133945.3966999999</v>
      </c>
      <c r="K39" s="89">
        <f>'MONTHLY STATS'!$K$143*0.21</f>
        <v>3978710.8829999999</v>
      </c>
      <c r="L39" s="89">
        <f>'MONTHLY STATS'!$K$157*0.21</f>
        <v>898940.86169999989</v>
      </c>
      <c r="M39" s="89">
        <f>'MONTHLY STATS'!$K$171*0.21</f>
        <v>5875221.1749</v>
      </c>
      <c r="N39" s="89">
        <f>'MONTHLY STATS'!$K$185*0.21</f>
        <v>939310.03740000003</v>
      </c>
      <c r="O39" s="90">
        <f>SUM(B39:N39)</f>
        <v>37101890.258999996</v>
      </c>
      <c r="P39" s="83"/>
    </row>
    <row r="40" spans="1:16" ht="15.75" x14ac:dyDescent="0.25">
      <c r="A40" s="88">
        <f>DATE(2021,4,1)</f>
        <v>44287</v>
      </c>
      <c r="B40" s="89">
        <f>'MONTHLY STATS'!$K$18*0.21</f>
        <v>3171730.3883999996</v>
      </c>
      <c r="C40" s="89">
        <f>'MONTHLY STATS'!$K$32*0.21</f>
        <v>1772639.9501999998</v>
      </c>
      <c r="D40" s="89">
        <f>'MONTHLY STATS'!$K$46*0.21</f>
        <v>1130767.9193999998</v>
      </c>
      <c r="E40" s="89">
        <f>'MONTHLY STATS'!$K$60*0.21</f>
        <v>3721511.3228999996</v>
      </c>
      <c r="F40" s="89">
        <f>'MONTHLY STATS'!$K$74*0.21</f>
        <v>3616546.6785000004</v>
      </c>
      <c r="G40" s="89">
        <f>'MONTHLY STATS'!$K$88*0.21</f>
        <v>1527061.4268</v>
      </c>
      <c r="H40" s="89">
        <f>'MONTHLY STATS'!$K$102*0.21</f>
        <v>2088130.5605999997</v>
      </c>
      <c r="I40" s="89">
        <f>'MONTHLY STATS'!$K$116*0.21</f>
        <v>3475957.9071</v>
      </c>
      <c r="J40" s="89">
        <f>'MONTHLY STATS'!$K$130*0.21</f>
        <v>4081622.3342999993</v>
      </c>
      <c r="K40" s="89">
        <f>'MONTHLY STATS'!$K$144*0.21</f>
        <v>4019064.7769999998</v>
      </c>
      <c r="L40" s="89">
        <f>'MONTHLY STATS'!$K$158*0.21</f>
        <v>821789.10239999997</v>
      </c>
      <c r="M40" s="89">
        <f>'MONTHLY STATS'!$K$172*0.21</f>
        <v>5655982.9703999991</v>
      </c>
      <c r="N40" s="89">
        <f>'MONTHLY STATS'!$K$186*0.21</f>
        <v>948530.68589999992</v>
      </c>
      <c r="O40" s="90">
        <f>SUM(B40:N40)</f>
        <v>36031336.023900002</v>
      </c>
      <c r="P40" s="83"/>
    </row>
    <row r="41" spans="1:16" ht="15.75" x14ac:dyDescent="0.25">
      <c r="A41" s="88">
        <f>DATE(2021,5,1)</f>
        <v>44317</v>
      </c>
      <c r="B41" s="89">
        <f>'MONTHLY STATS'!$K$19*0.21</f>
        <v>3239966.6984999999</v>
      </c>
      <c r="C41" s="89">
        <f>'MONTHLY STATS'!$K$33*0.21</f>
        <v>1800030.8612999998</v>
      </c>
      <c r="D41" s="89">
        <f>'MONTHLY STATS'!$K$47*0.21</f>
        <v>1035350.2341</v>
      </c>
      <c r="E41" s="89">
        <f>'MONTHLY STATS'!$K$61*0.21</f>
        <v>4227220.7375999996</v>
      </c>
      <c r="F41" s="89">
        <f>'MONTHLY STATS'!$K$75*0.21</f>
        <v>3583268.0708999997</v>
      </c>
      <c r="G41" s="89">
        <f>'MONTHLY STATS'!$K$89*0.21</f>
        <v>1475429.9049</v>
      </c>
      <c r="H41" s="89">
        <f>'MONTHLY STATS'!$K$103*0.21</f>
        <v>2062061.9228999999</v>
      </c>
      <c r="I41" s="89">
        <f>'MONTHLY STATS'!$K$117*0.21</f>
        <v>3279129.9786</v>
      </c>
      <c r="J41" s="89">
        <f>'MONTHLY STATS'!$K$131*0.21</f>
        <v>4054429.4594999999</v>
      </c>
      <c r="K41" s="89">
        <f>'MONTHLY STATS'!$K$145*0.21</f>
        <v>4378880.5745999999</v>
      </c>
      <c r="L41" s="89">
        <f>'MONTHLY STATS'!$K$159*0.21</f>
        <v>696348.34919999994</v>
      </c>
      <c r="M41" s="89">
        <f>'MONTHLY STATS'!$K$173*0.21</f>
        <v>5640525.5361000001</v>
      </c>
      <c r="N41" s="89">
        <f>'MONTHLY STATS'!$K$187*0.21</f>
        <v>918205.62330000009</v>
      </c>
      <c r="O41" s="90">
        <f>SUM(B41:N41)</f>
        <v>36390847.951499999</v>
      </c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3">SUM(B31:B42)</f>
        <v>30746787.428699996</v>
      </c>
      <c r="C44" s="90">
        <f t="shared" si="3"/>
        <v>15391611.570299998</v>
      </c>
      <c r="D44" s="90">
        <f t="shared" si="3"/>
        <v>8910346.3617000002</v>
      </c>
      <c r="E44" s="90">
        <f t="shared" si="3"/>
        <v>35836325.145599999</v>
      </c>
      <c r="F44" s="90">
        <f t="shared" si="3"/>
        <v>35215116.335700005</v>
      </c>
      <c r="G44" s="90">
        <f t="shared" si="3"/>
        <v>13530343.402799997</v>
      </c>
      <c r="H44" s="90">
        <f t="shared" si="3"/>
        <v>15872607.9771</v>
      </c>
      <c r="I44" s="90">
        <f>SUM(I31:I42)</f>
        <v>30987236.225399997</v>
      </c>
      <c r="J44" s="90">
        <f t="shared" si="3"/>
        <v>35789697.948899999</v>
      </c>
      <c r="K44" s="90">
        <f>SUM(K31:K42)</f>
        <v>37850621.220299989</v>
      </c>
      <c r="L44" s="90">
        <f t="shared" si="3"/>
        <v>7424201.3622000003</v>
      </c>
      <c r="M44" s="90">
        <f t="shared" si="3"/>
        <v>54292355.863199994</v>
      </c>
      <c r="N44" s="90">
        <f t="shared" si="3"/>
        <v>7951161.3887999998</v>
      </c>
      <c r="O44" s="90">
        <f t="shared" si="3"/>
        <v>329798412.23069996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x14ac:dyDescent="0.2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 x14ac:dyDescent="0.25">
      <c r="A49" s="115" t="s">
        <v>29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97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DATE(2020,7,1)</f>
        <v>44013</v>
      </c>
      <c r="C9" s="204">
        <v>9990468.4100000001</v>
      </c>
      <c r="D9" s="204">
        <v>1959351.91</v>
      </c>
      <c r="E9" s="204">
        <v>2192281.5</v>
      </c>
      <c r="F9" s="132">
        <f t="shared" ref="F9:F17" si="0">(+D9-E9)/E9</f>
        <v>-0.10624985431843496</v>
      </c>
      <c r="G9" s="215">
        <f t="shared" ref="G9:G19" si="1">D9/C9</f>
        <v>0.19612212657003936</v>
      </c>
      <c r="H9" s="123"/>
    </row>
    <row r="10" spans="1:8" ht="15.75" x14ac:dyDescent="0.25">
      <c r="A10" s="130"/>
      <c r="B10" s="131">
        <f>DATE(2020,8,1)</f>
        <v>44044</v>
      </c>
      <c r="C10" s="204">
        <v>8751467</v>
      </c>
      <c r="D10" s="204">
        <v>1563543</v>
      </c>
      <c r="E10" s="204">
        <v>1845303</v>
      </c>
      <c r="F10" s="132">
        <f t="shared" si="0"/>
        <v>-0.15269037117481518</v>
      </c>
      <c r="G10" s="215">
        <f t="shared" si="1"/>
        <v>0.17866067483314513</v>
      </c>
      <c r="H10" s="123"/>
    </row>
    <row r="11" spans="1:8" ht="15.75" x14ac:dyDescent="0.25">
      <c r="A11" s="130"/>
      <c r="B11" s="131">
        <f>DATE(2020,9,1)</f>
        <v>44075</v>
      </c>
      <c r="C11" s="204">
        <v>8691740</v>
      </c>
      <c r="D11" s="204">
        <v>1378249</v>
      </c>
      <c r="E11" s="204">
        <v>1703371</v>
      </c>
      <c r="F11" s="132">
        <f t="shared" si="0"/>
        <v>-0.19086975180392293</v>
      </c>
      <c r="G11" s="215">
        <f t="shared" si="1"/>
        <v>0.15856997563203684</v>
      </c>
      <c r="H11" s="123"/>
    </row>
    <row r="12" spans="1:8" ht="15.75" x14ac:dyDescent="0.25">
      <c r="A12" s="130"/>
      <c r="B12" s="131">
        <f>DATE(2020,10,1)</f>
        <v>44105</v>
      </c>
      <c r="C12" s="204">
        <v>8802128</v>
      </c>
      <c r="D12" s="204">
        <v>1495832.5</v>
      </c>
      <c r="E12" s="204">
        <v>1844628</v>
      </c>
      <c r="F12" s="132">
        <f t="shared" si="0"/>
        <v>-0.18908717638461522</v>
      </c>
      <c r="G12" s="215">
        <f t="shared" si="1"/>
        <v>0.16993987135838062</v>
      </c>
      <c r="H12" s="123"/>
    </row>
    <row r="13" spans="1:8" ht="15.75" x14ac:dyDescent="0.25">
      <c r="A13" s="130"/>
      <c r="B13" s="131">
        <f>DATE(2020,11,1)</f>
        <v>44136</v>
      </c>
      <c r="C13" s="204">
        <v>8465916</v>
      </c>
      <c r="D13" s="204">
        <v>1446618</v>
      </c>
      <c r="E13" s="204">
        <v>1695412.5</v>
      </c>
      <c r="F13" s="132">
        <f t="shared" si="0"/>
        <v>-0.14674570347924179</v>
      </c>
      <c r="G13" s="215">
        <f t="shared" si="1"/>
        <v>0.17087554376868375</v>
      </c>
      <c r="H13" s="123"/>
    </row>
    <row r="14" spans="1:8" ht="15.75" x14ac:dyDescent="0.25">
      <c r="A14" s="130"/>
      <c r="B14" s="131">
        <f>DATE(2020,12,1)</f>
        <v>44166</v>
      </c>
      <c r="C14" s="204">
        <v>9313724</v>
      </c>
      <c r="D14" s="204">
        <v>1661463</v>
      </c>
      <c r="E14" s="204">
        <v>1854155.5</v>
      </c>
      <c r="F14" s="132">
        <f t="shared" si="0"/>
        <v>-0.10392467082723104</v>
      </c>
      <c r="G14" s="215">
        <f t="shared" si="1"/>
        <v>0.17838868748955841</v>
      </c>
      <c r="H14" s="123"/>
    </row>
    <row r="15" spans="1:8" ht="15.75" x14ac:dyDescent="0.25">
      <c r="A15" s="130"/>
      <c r="B15" s="131">
        <f>DATE(2021,1,1)</f>
        <v>44197</v>
      </c>
      <c r="C15" s="204">
        <v>9656853</v>
      </c>
      <c r="D15" s="204">
        <v>1430188</v>
      </c>
      <c r="E15" s="204">
        <v>1814739</v>
      </c>
      <c r="F15" s="132">
        <f t="shared" si="0"/>
        <v>-0.21190430138989683</v>
      </c>
      <c r="G15" s="215">
        <f t="shared" si="1"/>
        <v>0.14810083574845759</v>
      </c>
      <c r="H15" s="123"/>
    </row>
    <row r="16" spans="1:8" ht="15.75" x14ac:dyDescent="0.25">
      <c r="A16" s="130"/>
      <c r="B16" s="131">
        <f>DATE(2021,2,1)</f>
        <v>44228</v>
      </c>
      <c r="C16" s="204">
        <v>8747669</v>
      </c>
      <c r="D16" s="204">
        <v>1356444</v>
      </c>
      <c r="E16" s="204">
        <v>1907085.75</v>
      </c>
      <c r="F16" s="132">
        <f t="shared" si="0"/>
        <v>-0.28873465705461854</v>
      </c>
      <c r="G16" s="215">
        <f t="shared" si="1"/>
        <v>0.15506348033973394</v>
      </c>
      <c r="H16" s="123"/>
    </row>
    <row r="17" spans="1:8" ht="15.75" x14ac:dyDescent="0.25">
      <c r="A17" s="130"/>
      <c r="B17" s="131">
        <f>DATE(2021,3,1)</f>
        <v>44256</v>
      </c>
      <c r="C17" s="204">
        <v>11840275</v>
      </c>
      <c r="D17" s="204">
        <v>2088206.5</v>
      </c>
      <c r="E17" s="204">
        <v>1133526.5</v>
      </c>
      <c r="F17" s="132">
        <f t="shared" si="0"/>
        <v>0.8422211567175536</v>
      </c>
      <c r="G17" s="215">
        <f t="shared" si="1"/>
        <v>0.17636469592133627</v>
      </c>
      <c r="H17" s="123"/>
    </row>
    <row r="18" spans="1:8" ht="15.75" x14ac:dyDescent="0.25">
      <c r="A18" s="130"/>
      <c r="B18" s="131">
        <f>DATE(2021,4,1)</f>
        <v>44287</v>
      </c>
      <c r="C18" s="204">
        <v>10496021</v>
      </c>
      <c r="D18" s="204">
        <v>1972772</v>
      </c>
      <c r="E18" s="204">
        <v>0</v>
      </c>
      <c r="F18" s="132">
        <v>1</v>
      </c>
      <c r="G18" s="215">
        <f t="shared" si="1"/>
        <v>0.18795427333843939</v>
      </c>
      <c r="H18" s="123"/>
    </row>
    <row r="19" spans="1:8" ht="15.75" x14ac:dyDescent="0.25">
      <c r="A19" s="130"/>
      <c r="B19" s="131">
        <f>DATE(2021,5,1)</f>
        <v>44317</v>
      </c>
      <c r="C19" s="204">
        <v>11830253</v>
      </c>
      <c r="D19" s="204">
        <v>1636491.5</v>
      </c>
      <c r="E19" s="204">
        <v>0</v>
      </c>
      <c r="F19" s="132">
        <v>1</v>
      </c>
      <c r="G19" s="215">
        <f t="shared" si="1"/>
        <v>0.13833106527814748</v>
      </c>
      <c r="H19" s="123"/>
    </row>
    <row r="20" spans="1:8" ht="15.75" thickBot="1" x14ac:dyDescent="0.25">
      <c r="A20" s="133"/>
      <c r="B20" s="134"/>
      <c r="C20" s="204"/>
      <c r="D20" s="204"/>
      <c r="E20" s="204"/>
      <c r="F20" s="132"/>
      <c r="G20" s="215"/>
      <c r="H20" s="123"/>
    </row>
    <row r="21" spans="1:8" ht="17.25" thickTop="1" thickBot="1" x14ac:dyDescent="0.3">
      <c r="A21" s="135" t="s">
        <v>14</v>
      </c>
      <c r="B21" s="136"/>
      <c r="C21" s="201">
        <f>SUM(C9:C20)</f>
        <v>106586514.41</v>
      </c>
      <c r="D21" s="201">
        <f>SUM(D9:D20)</f>
        <v>17989159.41</v>
      </c>
      <c r="E21" s="201">
        <f>SUM(E9:E20)</f>
        <v>15990502.75</v>
      </c>
      <c r="F21" s="137">
        <f>(+D21-E21)/E21</f>
        <v>0.12499023271798006</v>
      </c>
      <c r="G21" s="212">
        <f>D21/C21</f>
        <v>0.1687751917733436</v>
      </c>
      <c r="H21" s="123"/>
    </row>
    <row r="22" spans="1:8" ht="15.75" customHeight="1" thickTop="1" x14ac:dyDescent="0.25">
      <c r="A22" s="138"/>
      <c r="B22" s="139"/>
      <c r="C22" s="205"/>
      <c r="D22" s="205"/>
      <c r="E22" s="205"/>
      <c r="F22" s="140"/>
      <c r="G22" s="216"/>
      <c r="H22" s="123"/>
    </row>
    <row r="23" spans="1:8" ht="15.75" x14ac:dyDescent="0.25">
      <c r="A23" s="19" t="s">
        <v>15</v>
      </c>
      <c r="B23" s="131">
        <f>DATE(2020,7,1)</f>
        <v>44013</v>
      </c>
      <c r="C23" s="204">
        <v>1658177</v>
      </c>
      <c r="D23" s="204">
        <v>547209</v>
      </c>
      <c r="E23" s="204">
        <v>728719</v>
      </c>
      <c r="F23" s="132">
        <f t="shared" ref="F23:F31" si="2">(+D23-E23)/E23</f>
        <v>-0.24908092145257638</v>
      </c>
      <c r="G23" s="215">
        <f t="shared" ref="G23:G33" si="3">D23/C23</f>
        <v>0.33000638653171527</v>
      </c>
      <c r="H23" s="123"/>
    </row>
    <row r="24" spans="1:8" ht="15.75" x14ac:dyDescent="0.25">
      <c r="A24" s="19"/>
      <c r="B24" s="131">
        <f>DATE(2020,8,1)</f>
        <v>44044</v>
      </c>
      <c r="C24" s="204">
        <v>1982325</v>
      </c>
      <c r="D24" s="204">
        <v>526001.5</v>
      </c>
      <c r="E24" s="204">
        <v>718107.5</v>
      </c>
      <c r="F24" s="132">
        <f t="shared" si="2"/>
        <v>-0.2675170500238474</v>
      </c>
      <c r="G24" s="215">
        <f t="shared" si="3"/>
        <v>0.26534574300379604</v>
      </c>
      <c r="H24" s="123"/>
    </row>
    <row r="25" spans="1:8" ht="15.75" x14ac:dyDescent="0.25">
      <c r="A25" s="19"/>
      <c r="B25" s="131">
        <f>DATE(2020,9,1)</f>
        <v>44075</v>
      </c>
      <c r="C25" s="204">
        <v>1922059</v>
      </c>
      <c r="D25" s="204">
        <v>401819.5</v>
      </c>
      <c r="E25" s="204">
        <v>573243</v>
      </c>
      <c r="F25" s="132">
        <f t="shared" si="2"/>
        <v>-0.29904159318125123</v>
      </c>
      <c r="G25" s="215">
        <f t="shared" si="3"/>
        <v>0.20905679794428786</v>
      </c>
      <c r="H25" s="123"/>
    </row>
    <row r="26" spans="1:8" ht="15.75" x14ac:dyDescent="0.25">
      <c r="A26" s="19"/>
      <c r="B26" s="131">
        <f>DATE(2020,10,1)</f>
        <v>44105</v>
      </c>
      <c r="C26" s="204">
        <v>2326336</v>
      </c>
      <c r="D26" s="204">
        <v>612154.5</v>
      </c>
      <c r="E26" s="204">
        <v>591260.5</v>
      </c>
      <c r="F26" s="132">
        <f t="shared" si="2"/>
        <v>3.5338061649645119E-2</v>
      </c>
      <c r="G26" s="215">
        <f t="shared" si="3"/>
        <v>0.26314105099177421</v>
      </c>
      <c r="H26" s="123"/>
    </row>
    <row r="27" spans="1:8" ht="15.75" x14ac:dyDescent="0.25">
      <c r="A27" s="19"/>
      <c r="B27" s="131">
        <f>DATE(2020,11,1)</f>
        <v>44136</v>
      </c>
      <c r="C27" s="204">
        <v>2058779</v>
      </c>
      <c r="D27" s="204">
        <v>534831.5</v>
      </c>
      <c r="E27" s="204">
        <v>527573</v>
      </c>
      <c r="F27" s="132">
        <f t="shared" si="2"/>
        <v>1.3758285583227345E-2</v>
      </c>
      <c r="G27" s="215">
        <f t="shared" si="3"/>
        <v>0.25978091869015568</v>
      </c>
      <c r="H27" s="123"/>
    </row>
    <row r="28" spans="1:8" ht="15.75" x14ac:dyDescent="0.25">
      <c r="A28" s="19"/>
      <c r="B28" s="131">
        <f>DATE(2020,12,1)</f>
        <v>44166</v>
      </c>
      <c r="C28" s="204">
        <v>1993699</v>
      </c>
      <c r="D28" s="204">
        <v>508771</v>
      </c>
      <c r="E28" s="204">
        <v>731643</v>
      </c>
      <c r="F28" s="132">
        <f t="shared" si="2"/>
        <v>-0.30461850930030082</v>
      </c>
      <c r="G28" s="215">
        <f t="shared" si="3"/>
        <v>0.25518947443922074</v>
      </c>
      <c r="H28" s="123"/>
    </row>
    <row r="29" spans="1:8" ht="15.75" x14ac:dyDescent="0.25">
      <c r="A29" s="19"/>
      <c r="B29" s="131">
        <f>DATE(2021,1,1)</f>
        <v>44197</v>
      </c>
      <c r="C29" s="204">
        <v>2392071</v>
      </c>
      <c r="D29" s="204">
        <v>716489.5</v>
      </c>
      <c r="E29" s="204">
        <v>617104</v>
      </c>
      <c r="F29" s="132">
        <f t="shared" si="2"/>
        <v>0.16105145972153803</v>
      </c>
      <c r="G29" s="215">
        <f t="shared" si="3"/>
        <v>0.29952685350894687</v>
      </c>
      <c r="H29" s="123"/>
    </row>
    <row r="30" spans="1:8" ht="15.75" x14ac:dyDescent="0.25">
      <c r="A30" s="19"/>
      <c r="B30" s="131">
        <f>DATE(2021,2,1)</f>
        <v>44228</v>
      </c>
      <c r="C30" s="204">
        <v>1922909</v>
      </c>
      <c r="D30" s="204">
        <v>476264</v>
      </c>
      <c r="E30" s="204">
        <v>597734</v>
      </c>
      <c r="F30" s="132">
        <f t="shared" si="2"/>
        <v>-0.20321748470055243</v>
      </c>
      <c r="G30" s="215">
        <f t="shared" si="3"/>
        <v>0.24767890732218736</v>
      </c>
      <c r="H30" s="123"/>
    </row>
    <row r="31" spans="1:8" ht="15.75" x14ac:dyDescent="0.25">
      <c r="A31" s="19"/>
      <c r="B31" s="131">
        <f>DATE(2021,3,1)</f>
        <v>44256</v>
      </c>
      <c r="C31" s="204">
        <v>2457578</v>
      </c>
      <c r="D31" s="204">
        <v>890723</v>
      </c>
      <c r="E31" s="204">
        <v>408496.5</v>
      </c>
      <c r="F31" s="132">
        <f t="shared" si="2"/>
        <v>1.180491142518969</v>
      </c>
      <c r="G31" s="215">
        <f t="shared" si="3"/>
        <v>0.3624393610294363</v>
      </c>
      <c r="H31" s="123"/>
    </row>
    <row r="32" spans="1:8" ht="15.75" x14ac:dyDescent="0.25">
      <c r="A32" s="19"/>
      <c r="B32" s="131">
        <f>DATE(2021,4,1)</f>
        <v>44287</v>
      </c>
      <c r="C32" s="204">
        <v>2598201</v>
      </c>
      <c r="D32" s="204">
        <v>858639</v>
      </c>
      <c r="E32" s="204">
        <v>0</v>
      </c>
      <c r="F32" s="132">
        <v>1</v>
      </c>
      <c r="G32" s="215">
        <f t="shared" si="3"/>
        <v>0.33047443211668381</v>
      </c>
      <c r="H32" s="123"/>
    </row>
    <row r="33" spans="1:8" ht="15.75" x14ac:dyDescent="0.25">
      <c r="A33" s="19"/>
      <c r="B33" s="131">
        <f>DATE(2021,5,1)</f>
        <v>44317</v>
      </c>
      <c r="C33" s="204">
        <v>2781438</v>
      </c>
      <c r="D33" s="204">
        <v>857186</v>
      </c>
      <c r="E33" s="204">
        <v>0</v>
      </c>
      <c r="F33" s="132">
        <v>1</v>
      </c>
      <c r="G33" s="215">
        <f t="shared" si="3"/>
        <v>0.30818087622301843</v>
      </c>
      <c r="H33" s="123"/>
    </row>
    <row r="34" spans="1:8" ht="15.75" thickBot="1" x14ac:dyDescent="0.25">
      <c r="A34" s="133"/>
      <c r="B34" s="131"/>
      <c r="C34" s="204"/>
      <c r="D34" s="204"/>
      <c r="E34" s="204"/>
      <c r="F34" s="132"/>
      <c r="G34" s="215"/>
      <c r="H34" s="123"/>
    </row>
    <row r="35" spans="1:8" ht="17.25" thickTop="1" thickBot="1" x14ac:dyDescent="0.3">
      <c r="A35" s="135" t="s">
        <v>14</v>
      </c>
      <c r="B35" s="136"/>
      <c r="C35" s="201">
        <f>SUM(C23:C34)</f>
        <v>24093572</v>
      </c>
      <c r="D35" s="201">
        <f>SUM(D23:D34)</f>
        <v>6930088.5</v>
      </c>
      <c r="E35" s="201">
        <f>SUM(E23:E34)</f>
        <v>5493880.5</v>
      </c>
      <c r="F35" s="137">
        <f>(+D35-E35)/E35</f>
        <v>0.26141959221719513</v>
      </c>
      <c r="G35" s="212">
        <f>D35/C35</f>
        <v>0.28763225726762309</v>
      </c>
      <c r="H35" s="123"/>
    </row>
    <row r="36" spans="1:8" ht="15.75" customHeight="1" thickTop="1" x14ac:dyDescent="0.25">
      <c r="A36" s="255"/>
      <c r="B36" s="139"/>
      <c r="C36" s="205"/>
      <c r="D36" s="205"/>
      <c r="E36" s="205"/>
      <c r="F36" s="140"/>
      <c r="G36" s="219"/>
      <c r="H36" s="123"/>
    </row>
    <row r="37" spans="1:8" ht="15.75" x14ac:dyDescent="0.25">
      <c r="A37" s="19" t="s">
        <v>65</v>
      </c>
      <c r="B37" s="131">
        <f>DATE(2020,7,1)</f>
        <v>44013</v>
      </c>
      <c r="C37" s="204">
        <v>1270413</v>
      </c>
      <c r="D37" s="204">
        <v>362069</v>
      </c>
      <c r="E37" s="204">
        <v>293379.5</v>
      </c>
      <c r="F37" s="132">
        <f t="shared" ref="F37:F45" si="4">(+D37-E37)/E37</f>
        <v>0.23413190083151686</v>
      </c>
      <c r="G37" s="215">
        <f t="shared" ref="G37:G47" si="5">D37/C37</f>
        <v>0.28500101935354882</v>
      </c>
      <c r="H37" s="123"/>
    </row>
    <row r="38" spans="1:8" ht="15.75" x14ac:dyDescent="0.25">
      <c r="A38" s="19"/>
      <c r="B38" s="131">
        <f>DATE(2020,8,1)</f>
        <v>44044</v>
      </c>
      <c r="C38" s="204">
        <v>1273813</v>
      </c>
      <c r="D38" s="204">
        <v>264520</v>
      </c>
      <c r="E38" s="204">
        <v>306469</v>
      </c>
      <c r="F38" s="132">
        <f t="shared" si="4"/>
        <v>-0.13687844447562397</v>
      </c>
      <c r="G38" s="215">
        <f t="shared" si="5"/>
        <v>0.20765999404936203</v>
      </c>
      <c r="H38" s="123"/>
    </row>
    <row r="39" spans="1:8" ht="15.75" x14ac:dyDescent="0.25">
      <c r="A39" s="19"/>
      <c r="B39" s="131">
        <f>DATE(2020,9,1)</f>
        <v>44075</v>
      </c>
      <c r="C39" s="204">
        <v>1439276</v>
      </c>
      <c r="D39" s="204">
        <v>282126.5</v>
      </c>
      <c r="E39" s="204">
        <v>301048.5</v>
      </c>
      <c r="F39" s="132">
        <f t="shared" si="4"/>
        <v>-6.2853659792359032E-2</v>
      </c>
      <c r="G39" s="215">
        <f t="shared" si="5"/>
        <v>0.19601973492228036</v>
      </c>
      <c r="H39" s="123"/>
    </row>
    <row r="40" spans="1:8" ht="15.75" x14ac:dyDescent="0.25">
      <c r="A40" s="19"/>
      <c r="B40" s="131">
        <f>DATE(2020,10,1)</f>
        <v>44105</v>
      </c>
      <c r="C40" s="204">
        <v>1274380</v>
      </c>
      <c r="D40" s="204">
        <v>409251</v>
      </c>
      <c r="E40" s="204">
        <v>332474</v>
      </c>
      <c r="F40" s="132">
        <f t="shared" si="4"/>
        <v>0.2309263280737742</v>
      </c>
      <c r="G40" s="215">
        <f t="shared" si="5"/>
        <v>0.32113733737189848</v>
      </c>
      <c r="H40" s="123"/>
    </row>
    <row r="41" spans="1:8" ht="15.75" x14ac:dyDescent="0.25">
      <c r="A41" s="19"/>
      <c r="B41" s="131">
        <f>DATE(2020,11,1)</f>
        <v>44136</v>
      </c>
      <c r="C41" s="204">
        <v>1032984</v>
      </c>
      <c r="D41" s="204">
        <v>302858</v>
      </c>
      <c r="E41" s="204">
        <v>408121.5</v>
      </c>
      <c r="F41" s="132">
        <f t="shared" si="4"/>
        <v>-0.25792196686525948</v>
      </c>
      <c r="G41" s="215">
        <f t="shared" si="5"/>
        <v>0.29318750338824223</v>
      </c>
      <c r="H41" s="123"/>
    </row>
    <row r="42" spans="1:8" ht="15.75" x14ac:dyDescent="0.25">
      <c r="A42" s="19"/>
      <c r="B42" s="131">
        <f>DATE(2020,12,1)</f>
        <v>44166</v>
      </c>
      <c r="C42" s="204">
        <v>1323876</v>
      </c>
      <c r="D42" s="204">
        <v>403813</v>
      </c>
      <c r="E42" s="204">
        <v>350849</v>
      </c>
      <c r="F42" s="132">
        <f t="shared" si="4"/>
        <v>0.15095952959820322</v>
      </c>
      <c r="G42" s="215">
        <f t="shared" si="5"/>
        <v>0.30502328012593327</v>
      </c>
      <c r="H42" s="123"/>
    </row>
    <row r="43" spans="1:8" ht="15.75" x14ac:dyDescent="0.25">
      <c r="A43" s="19"/>
      <c r="B43" s="131">
        <f>DATE(2021,1,1)</f>
        <v>44197</v>
      </c>
      <c r="C43" s="204">
        <v>1355483</v>
      </c>
      <c r="D43" s="204">
        <v>346038</v>
      </c>
      <c r="E43" s="204">
        <v>350509</v>
      </c>
      <c r="F43" s="132">
        <f t="shared" si="4"/>
        <v>-1.2755735230764403E-2</v>
      </c>
      <c r="G43" s="215">
        <f t="shared" si="5"/>
        <v>0.25528759859031797</v>
      </c>
      <c r="H43" s="123"/>
    </row>
    <row r="44" spans="1:8" ht="15.75" x14ac:dyDescent="0.25">
      <c r="A44" s="19"/>
      <c r="B44" s="131">
        <f>DATE(2021,2,1)</f>
        <v>44228</v>
      </c>
      <c r="C44" s="204">
        <v>993672</v>
      </c>
      <c r="D44" s="204">
        <v>285945.5</v>
      </c>
      <c r="E44" s="204">
        <v>404769.5</v>
      </c>
      <c r="F44" s="132">
        <f t="shared" si="4"/>
        <v>-0.29355966790976101</v>
      </c>
      <c r="G44" s="215">
        <f t="shared" si="5"/>
        <v>0.28776648632546759</v>
      </c>
      <c r="H44" s="123"/>
    </row>
    <row r="45" spans="1:8" ht="15.75" x14ac:dyDescent="0.25">
      <c r="A45" s="19"/>
      <c r="B45" s="131">
        <f>DATE(2021,3,1)</f>
        <v>44256</v>
      </c>
      <c r="C45" s="204">
        <v>1535221</v>
      </c>
      <c r="D45" s="204">
        <v>429833</v>
      </c>
      <c r="E45" s="204">
        <v>280036</v>
      </c>
      <c r="F45" s="132">
        <f t="shared" si="4"/>
        <v>0.53492051022011455</v>
      </c>
      <c r="G45" s="215">
        <f t="shared" si="5"/>
        <v>0.27998118837613606</v>
      </c>
      <c r="H45" s="123"/>
    </row>
    <row r="46" spans="1:8" ht="15.75" x14ac:dyDescent="0.25">
      <c r="A46" s="19"/>
      <c r="B46" s="131">
        <f>DATE(2021,4,1)</f>
        <v>44287</v>
      </c>
      <c r="C46" s="204">
        <v>1497467</v>
      </c>
      <c r="D46" s="204">
        <v>327891.5</v>
      </c>
      <c r="E46" s="204">
        <v>0</v>
      </c>
      <c r="F46" s="132">
        <v>1</v>
      </c>
      <c r="G46" s="215">
        <f t="shared" si="5"/>
        <v>0.21896409069448608</v>
      </c>
      <c r="H46" s="123"/>
    </row>
    <row r="47" spans="1:8" ht="15.75" x14ac:dyDescent="0.25">
      <c r="A47" s="19"/>
      <c r="B47" s="131">
        <f>DATE(2021,5,1)</f>
        <v>44317</v>
      </c>
      <c r="C47" s="204">
        <v>1560488</v>
      </c>
      <c r="D47" s="204">
        <v>419048</v>
      </c>
      <c r="E47" s="204">
        <v>0</v>
      </c>
      <c r="F47" s="132">
        <v>1</v>
      </c>
      <c r="G47" s="215">
        <f t="shared" si="5"/>
        <v>0.26853650909202764</v>
      </c>
      <c r="H47" s="123"/>
    </row>
    <row r="48" spans="1:8" ht="15.75" thickBot="1" x14ac:dyDescent="0.25">
      <c r="A48" s="133"/>
      <c r="B48" s="131"/>
      <c r="C48" s="204"/>
      <c r="D48" s="204"/>
      <c r="E48" s="204"/>
      <c r="F48" s="132"/>
      <c r="G48" s="215"/>
      <c r="H48" s="123"/>
    </row>
    <row r="49" spans="1:8" ht="17.25" thickTop="1" thickBot="1" x14ac:dyDescent="0.3">
      <c r="A49" s="141" t="s">
        <v>14</v>
      </c>
      <c r="B49" s="142"/>
      <c r="C49" s="206">
        <f>SUM(C37:C48)</f>
        <v>14557073</v>
      </c>
      <c r="D49" s="206">
        <f>SUM(D37:D48)</f>
        <v>3833393.5</v>
      </c>
      <c r="E49" s="206">
        <f>SUM(E37:E48)</f>
        <v>3027656</v>
      </c>
      <c r="F49" s="143">
        <f>(+D49-E49)/E49</f>
        <v>0.26612584124484417</v>
      </c>
      <c r="G49" s="217">
        <f>D49/C49</f>
        <v>0.26333545898959221</v>
      </c>
      <c r="H49" s="123"/>
    </row>
    <row r="50" spans="1:8" ht="15.75" thickTop="1" x14ac:dyDescent="0.2">
      <c r="A50" s="133"/>
      <c r="B50" s="134"/>
      <c r="C50" s="204"/>
      <c r="D50" s="204"/>
      <c r="E50" s="204"/>
      <c r="F50" s="132"/>
      <c r="G50" s="218"/>
      <c r="H50" s="123"/>
    </row>
    <row r="51" spans="1:8" ht="15.75" x14ac:dyDescent="0.25">
      <c r="A51" s="177" t="s">
        <v>59</v>
      </c>
      <c r="B51" s="131">
        <f>DATE(2020,7,1)</f>
        <v>44013</v>
      </c>
      <c r="C51" s="204">
        <v>10382905</v>
      </c>
      <c r="D51" s="204">
        <v>1708169.06</v>
      </c>
      <c r="E51" s="204">
        <v>3167340.9</v>
      </c>
      <c r="F51" s="132">
        <f t="shared" ref="F51:F59" si="6">(+D51-E51)/E51</f>
        <v>-0.4606930185506713</v>
      </c>
      <c r="G51" s="215">
        <f t="shared" ref="G51:G61" si="7">D51/C51</f>
        <v>0.16451745055935696</v>
      </c>
      <c r="H51" s="123"/>
    </row>
    <row r="52" spans="1:8" ht="15.75" x14ac:dyDescent="0.25">
      <c r="A52" s="177"/>
      <c r="B52" s="131">
        <f>DATE(2020,8,1)</f>
        <v>44044</v>
      </c>
      <c r="C52" s="204">
        <v>11468634</v>
      </c>
      <c r="D52" s="204">
        <v>2028826.5</v>
      </c>
      <c r="E52" s="204">
        <v>3870445.12</v>
      </c>
      <c r="F52" s="132">
        <f t="shared" si="6"/>
        <v>-0.47581571703050013</v>
      </c>
      <c r="G52" s="215">
        <f t="shared" si="7"/>
        <v>0.17690219253661771</v>
      </c>
      <c r="H52" s="123"/>
    </row>
    <row r="53" spans="1:8" ht="15.75" x14ac:dyDescent="0.25">
      <c r="A53" s="177"/>
      <c r="B53" s="131">
        <f>DATE(2020,9,1)</f>
        <v>44075</v>
      </c>
      <c r="C53" s="204">
        <v>10567803</v>
      </c>
      <c r="D53" s="204">
        <v>2149169</v>
      </c>
      <c r="E53" s="204">
        <v>2775665.96</v>
      </c>
      <c r="F53" s="132">
        <f t="shared" si="6"/>
        <v>-0.22571050300303425</v>
      </c>
      <c r="G53" s="215">
        <f t="shared" si="7"/>
        <v>0.20336951777015524</v>
      </c>
      <c r="H53" s="123"/>
    </row>
    <row r="54" spans="1:8" ht="15.75" x14ac:dyDescent="0.25">
      <c r="A54" s="177"/>
      <c r="B54" s="131">
        <f>DATE(2020,10,1)</f>
        <v>44105</v>
      </c>
      <c r="C54" s="204">
        <v>11375206</v>
      </c>
      <c r="D54" s="204">
        <v>2042559.98</v>
      </c>
      <c r="E54" s="204">
        <v>3235163.5</v>
      </c>
      <c r="F54" s="132">
        <f t="shared" si="6"/>
        <v>-0.36863778909473971</v>
      </c>
      <c r="G54" s="215">
        <f t="shared" si="7"/>
        <v>0.17956246067104192</v>
      </c>
      <c r="H54" s="123"/>
    </row>
    <row r="55" spans="1:8" ht="15.75" x14ac:dyDescent="0.25">
      <c r="A55" s="177"/>
      <c r="B55" s="131">
        <f>DATE(2020,11,1)</f>
        <v>44136</v>
      </c>
      <c r="C55" s="204">
        <v>10584433</v>
      </c>
      <c r="D55" s="204">
        <v>2060677.45</v>
      </c>
      <c r="E55" s="204">
        <v>3242482.5</v>
      </c>
      <c r="F55" s="132">
        <f t="shared" si="6"/>
        <v>-0.36447538267361507</v>
      </c>
      <c r="G55" s="215">
        <f t="shared" si="7"/>
        <v>0.19468945100790944</v>
      </c>
      <c r="H55" s="123"/>
    </row>
    <row r="56" spans="1:8" ht="15.75" x14ac:dyDescent="0.25">
      <c r="A56" s="177"/>
      <c r="B56" s="131">
        <f>DATE(2020,12,1)</f>
        <v>44166</v>
      </c>
      <c r="C56" s="204">
        <v>10535486</v>
      </c>
      <c r="D56" s="204">
        <v>2612129.91</v>
      </c>
      <c r="E56" s="204">
        <v>2919239.74</v>
      </c>
      <c r="F56" s="132">
        <f t="shared" si="6"/>
        <v>-0.10520199002223779</v>
      </c>
      <c r="G56" s="215">
        <f t="shared" si="7"/>
        <v>0.24793634674280809</v>
      </c>
      <c r="H56" s="123"/>
    </row>
    <row r="57" spans="1:8" ht="15.75" x14ac:dyDescent="0.25">
      <c r="A57" s="177"/>
      <c r="B57" s="131">
        <f>DATE(2021,1,1)</f>
        <v>44197</v>
      </c>
      <c r="C57" s="204">
        <v>11133992</v>
      </c>
      <c r="D57" s="204">
        <v>2320369.71</v>
      </c>
      <c r="E57" s="204">
        <v>2925995.5</v>
      </c>
      <c r="F57" s="132">
        <f t="shared" si="6"/>
        <v>-0.20698110779732917</v>
      </c>
      <c r="G57" s="215">
        <f t="shared" si="7"/>
        <v>0.20840411148130877</v>
      </c>
      <c r="H57" s="123"/>
    </row>
    <row r="58" spans="1:8" ht="15.75" x14ac:dyDescent="0.25">
      <c r="A58" s="177"/>
      <c r="B58" s="131">
        <f>DATE(2021,2,1)</f>
        <v>44228</v>
      </c>
      <c r="C58" s="204">
        <v>8703157</v>
      </c>
      <c r="D58" s="204">
        <v>1688741</v>
      </c>
      <c r="E58" s="204">
        <v>3337882.2</v>
      </c>
      <c r="F58" s="132">
        <f t="shared" si="6"/>
        <v>-0.49406812499254771</v>
      </c>
      <c r="G58" s="215">
        <f t="shared" si="7"/>
        <v>0.1940377497498896</v>
      </c>
      <c r="H58" s="123"/>
    </row>
    <row r="59" spans="1:8" ht="15.75" x14ac:dyDescent="0.25">
      <c r="A59" s="177"/>
      <c r="B59" s="131">
        <f>DATE(2021,3,1)</f>
        <v>44256</v>
      </c>
      <c r="C59" s="204">
        <v>11418118</v>
      </c>
      <c r="D59" s="204">
        <v>2903594.09</v>
      </c>
      <c r="E59" s="204">
        <v>1497956.95</v>
      </c>
      <c r="F59" s="132">
        <f t="shared" si="6"/>
        <v>0.93836951722811524</v>
      </c>
      <c r="G59" s="215">
        <f t="shared" si="7"/>
        <v>0.25429708205853185</v>
      </c>
      <c r="H59" s="123"/>
    </row>
    <row r="60" spans="1:8" ht="15.75" x14ac:dyDescent="0.25">
      <c r="A60" s="177"/>
      <c r="B60" s="131">
        <f>DATE(2021,4,1)</f>
        <v>44287</v>
      </c>
      <c r="C60" s="204">
        <v>11840263</v>
      </c>
      <c r="D60" s="204">
        <v>2541995.48</v>
      </c>
      <c r="E60" s="204">
        <v>0</v>
      </c>
      <c r="F60" s="132">
        <v>1</v>
      </c>
      <c r="G60" s="215">
        <f t="shared" si="7"/>
        <v>0.21469079529736798</v>
      </c>
      <c r="H60" s="123"/>
    </row>
    <row r="61" spans="1:8" ht="15.75" x14ac:dyDescent="0.25">
      <c r="A61" s="177"/>
      <c r="B61" s="131">
        <f>DATE(2021,5,1)</f>
        <v>44317</v>
      </c>
      <c r="C61" s="204">
        <v>13041272</v>
      </c>
      <c r="D61" s="204">
        <v>2552125.4</v>
      </c>
      <c r="E61" s="204">
        <v>0</v>
      </c>
      <c r="F61" s="132">
        <v>1</v>
      </c>
      <c r="G61" s="215">
        <f t="shared" si="7"/>
        <v>0.19569604866764528</v>
      </c>
      <c r="H61" s="123"/>
    </row>
    <row r="62" spans="1:8" ht="15.75" customHeight="1" thickBot="1" x14ac:dyDescent="0.25">
      <c r="A62" s="133"/>
      <c r="B62" s="134"/>
      <c r="C62" s="204"/>
      <c r="D62" s="204"/>
      <c r="E62" s="204"/>
      <c r="F62" s="132"/>
      <c r="G62" s="215"/>
      <c r="H62" s="123"/>
    </row>
    <row r="63" spans="1:8" ht="17.25" customHeight="1" thickTop="1" thickBot="1" x14ac:dyDescent="0.3">
      <c r="A63" s="141" t="s">
        <v>14</v>
      </c>
      <c r="B63" s="142"/>
      <c r="C63" s="206">
        <f>SUM(C51:C62)</f>
        <v>121051269</v>
      </c>
      <c r="D63" s="206">
        <f>SUM(D51:D62)</f>
        <v>24608357.579999998</v>
      </c>
      <c r="E63" s="206">
        <f>SUM(E51:E62)</f>
        <v>26972172.369999997</v>
      </c>
      <c r="F63" s="143">
        <f>(+D63-E63)/E63</f>
        <v>-8.7639021342944184E-2</v>
      </c>
      <c r="G63" s="217">
        <f>D63/C63</f>
        <v>0.20328872041812299</v>
      </c>
      <c r="H63" s="123"/>
    </row>
    <row r="64" spans="1:8" ht="15.75" customHeight="1" thickTop="1" x14ac:dyDescent="0.2">
      <c r="A64" s="133"/>
      <c r="B64" s="134"/>
      <c r="C64" s="204"/>
      <c r="D64" s="204"/>
      <c r="E64" s="204"/>
      <c r="F64" s="132"/>
      <c r="G64" s="218"/>
      <c r="H64" s="123"/>
    </row>
    <row r="65" spans="1:8" ht="15" customHeight="1" x14ac:dyDescent="0.25">
      <c r="A65" s="130" t="s">
        <v>63</v>
      </c>
      <c r="B65" s="131">
        <f>DATE(2020,7,1)</f>
        <v>44013</v>
      </c>
      <c r="C65" s="204">
        <v>12794651</v>
      </c>
      <c r="D65" s="204">
        <v>2410424.5</v>
      </c>
      <c r="E65" s="204">
        <v>2665528.5</v>
      </c>
      <c r="F65" s="132">
        <f t="shared" ref="F65:F73" si="8">(+D65-E65)/E65</f>
        <v>-9.5704848025447861E-2</v>
      </c>
      <c r="G65" s="215">
        <f t="shared" ref="G65:G75" si="9">D65/C65</f>
        <v>0.18839314179026845</v>
      </c>
      <c r="H65" s="123"/>
    </row>
    <row r="66" spans="1:8" ht="15" customHeight="1" x14ac:dyDescent="0.25">
      <c r="A66" s="130"/>
      <c r="B66" s="131">
        <f>DATE(2020,8,1)</f>
        <v>44044</v>
      </c>
      <c r="C66" s="204">
        <v>14515756</v>
      </c>
      <c r="D66" s="204">
        <v>3089213</v>
      </c>
      <c r="E66" s="204">
        <v>3359489.5</v>
      </c>
      <c r="F66" s="132">
        <f t="shared" si="8"/>
        <v>-8.0451657908143487E-2</v>
      </c>
      <c r="G66" s="215">
        <f t="shared" si="9"/>
        <v>0.21281792005872791</v>
      </c>
      <c r="H66" s="123"/>
    </row>
    <row r="67" spans="1:8" ht="15" customHeight="1" x14ac:dyDescent="0.25">
      <c r="A67" s="130"/>
      <c r="B67" s="131">
        <f>DATE(2020,9,1)</f>
        <v>44075</v>
      </c>
      <c r="C67" s="204">
        <v>14427547.390000001</v>
      </c>
      <c r="D67" s="204">
        <v>3482637.89</v>
      </c>
      <c r="E67" s="204">
        <v>3201600.5</v>
      </c>
      <c r="F67" s="132">
        <f t="shared" si="8"/>
        <v>8.7780280519071677E-2</v>
      </c>
      <c r="G67" s="215">
        <f t="shared" si="9"/>
        <v>0.24138807489995706</v>
      </c>
      <c r="H67" s="123"/>
    </row>
    <row r="68" spans="1:8" ht="15" customHeight="1" x14ac:dyDescent="0.25">
      <c r="A68" s="130"/>
      <c r="B68" s="131">
        <f>DATE(2020,10,1)</f>
        <v>44105</v>
      </c>
      <c r="C68" s="204">
        <v>13869107</v>
      </c>
      <c r="D68" s="204">
        <v>3513244</v>
      </c>
      <c r="E68" s="204">
        <v>3223817</v>
      </c>
      <c r="F68" s="132">
        <f t="shared" si="8"/>
        <v>8.9777738624742032E-2</v>
      </c>
      <c r="G68" s="215">
        <f t="shared" si="9"/>
        <v>0.25331436263344137</v>
      </c>
      <c r="H68" s="123"/>
    </row>
    <row r="69" spans="1:8" ht="15" customHeight="1" x14ac:dyDescent="0.25">
      <c r="A69" s="130"/>
      <c r="B69" s="131">
        <f>DATE(2020,11,1)</f>
        <v>44136</v>
      </c>
      <c r="C69" s="204">
        <v>12007892</v>
      </c>
      <c r="D69" s="204">
        <v>2437183.5</v>
      </c>
      <c r="E69" s="204">
        <v>2721670</v>
      </c>
      <c r="F69" s="132">
        <f t="shared" si="8"/>
        <v>-0.1045264488347228</v>
      </c>
      <c r="G69" s="215">
        <f t="shared" si="9"/>
        <v>0.20296514159187973</v>
      </c>
      <c r="H69" s="123"/>
    </row>
    <row r="70" spans="1:8" ht="15" customHeight="1" x14ac:dyDescent="0.25">
      <c r="A70" s="130"/>
      <c r="B70" s="131">
        <f>DATE(2020,12,1)</f>
        <v>44166</v>
      </c>
      <c r="C70" s="204">
        <v>12703424</v>
      </c>
      <c r="D70" s="204">
        <v>2589172</v>
      </c>
      <c r="E70" s="204">
        <v>2841867</v>
      </c>
      <c r="F70" s="132">
        <f t="shared" si="8"/>
        <v>-8.8918658051203664E-2</v>
      </c>
      <c r="G70" s="215">
        <f t="shared" si="9"/>
        <v>0.20381686071408781</v>
      </c>
      <c r="H70" s="123"/>
    </row>
    <row r="71" spans="1:8" ht="15" customHeight="1" x14ac:dyDescent="0.25">
      <c r="A71" s="130"/>
      <c r="B71" s="131">
        <f>DATE(2021,1,1)</f>
        <v>44197</v>
      </c>
      <c r="C71" s="204">
        <v>14127995</v>
      </c>
      <c r="D71" s="204">
        <v>3152748</v>
      </c>
      <c r="E71" s="204">
        <v>3701292</v>
      </c>
      <c r="F71" s="132">
        <f t="shared" si="8"/>
        <v>-0.14820338411560072</v>
      </c>
      <c r="G71" s="215">
        <f t="shared" si="9"/>
        <v>0.22315608124153499</v>
      </c>
      <c r="H71" s="123"/>
    </row>
    <row r="72" spans="1:8" ht="15" customHeight="1" x14ac:dyDescent="0.25">
      <c r="A72" s="130"/>
      <c r="B72" s="131">
        <f>DATE(2021,2,1)</f>
        <v>44228</v>
      </c>
      <c r="C72" s="204">
        <v>12206917</v>
      </c>
      <c r="D72" s="204">
        <v>2941714</v>
      </c>
      <c r="E72" s="204">
        <v>3050097</v>
      </c>
      <c r="F72" s="132">
        <f t="shared" si="8"/>
        <v>-3.5534279729464345E-2</v>
      </c>
      <c r="G72" s="215">
        <f t="shared" si="9"/>
        <v>0.24098746636845322</v>
      </c>
      <c r="H72" s="123"/>
    </row>
    <row r="73" spans="1:8" ht="15" customHeight="1" x14ac:dyDescent="0.25">
      <c r="A73" s="130"/>
      <c r="B73" s="131">
        <f>DATE(2021,3,1)</f>
        <v>44256</v>
      </c>
      <c r="C73" s="204">
        <v>14784880.5</v>
      </c>
      <c r="D73" s="204">
        <v>3606590.5</v>
      </c>
      <c r="E73" s="204">
        <v>1085587.5</v>
      </c>
      <c r="F73" s="132">
        <f t="shared" si="8"/>
        <v>2.3222476308911073</v>
      </c>
      <c r="G73" s="215">
        <f t="shared" si="9"/>
        <v>0.24393775113704841</v>
      </c>
      <c r="H73" s="123"/>
    </row>
    <row r="74" spans="1:8" ht="15" customHeight="1" x14ac:dyDescent="0.25">
      <c r="A74" s="130"/>
      <c r="B74" s="131">
        <f>DATE(2021,4,1)</f>
        <v>44287</v>
      </c>
      <c r="C74" s="204">
        <v>14106319</v>
      </c>
      <c r="D74" s="204">
        <v>3364658.5</v>
      </c>
      <c r="E74" s="204">
        <v>0</v>
      </c>
      <c r="F74" s="132">
        <v>1</v>
      </c>
      <c r="G74" s="215">
        <f t="shared" si="9"/>
        <v>0.23852136762255269</v>
      </c>
      <c r="H74" s="123"/>
    </row>
    <row r="75" spans="1:8" ht="15" customHeight="1" x14ac:dyDescent="0.25">
      <c r="A75" s="130"/>
      <c r="B75" s="131">
        <f>DATE(2021,5,1)</f>
        <v>44317</v>
      </c>
      <c r="C75" s="204">
        <v>13835604</v>
      </c>
      <c r="D75" s="204">
        <v>3601046</v>
      </c>
      <c r="E75" s="204">
        <v>0</v>
      </c>
      <c r="F75" s="132">
        <v>1</v>
      </c>
      <c r="G75" s="215">
        <f t="shared" si="9"/>
        <v>0.26027385577095152</v>
      </c>
      <c r="H75" s="123"/>
    </row>
    <row r="76" spans="1:8" ht="15.75" thickBot="1" x14ac:dyDescent="0.25">
      <c r="A76" s="133"/>
      <c r="B76" s="131"/>
      <c r="C76" s="204"/>
      <c r="D76" s="204"/>
      <c r="E76" s="204"/>
      <c r="F76" s="132"/>
      <c r="G76" s="215"/>
      <c r="H76" s="123"/>
    </row>
    <row r="77" spans="1:8" ht="17.25" customHeight="1" thickTop="1" thickBot="1" x14ac:dyDescent="0.3">
      <c r="A77" s="141" t="s">
        <v>14</v>
      </c>
      <c r="B77" s="142"/>
      <c r="C77" s="207">
        <f>SUM(C65:C76)</f>
        <v>149380092.88999999</v>
      </c>
      <c r="D77" s="261">
        <f>SUM(D65:D76)</f>
        <v>34188631.890000001</v>
      </c>
      <c r="E77" s="206">
        <f>SUM(E65:E76)</f>
        <v>25850949</v>
      </c>
      <c r="F77" s="268">
        <f>(+D77-E77)/E77</f>
        <v>0.32252908355511439</v>
      </c>
      <c r="G77" s="267">
        <f>D77/C77</f>
        <v>0.22887006714593297</v>
      </c>
      <c r="H77" s="123"/>
    </row>
    <row r="78" spans="1:8" ht="15.75" customHeight="1" thickTop="1" x14ac:dyDescent="0.25">
      <c r="A78" s="130"/>
      <c r="B78" s="134"/>
      <c r="C78" s="204"/>
      <c r="D78" s="204"/>
      <c r="E78" s="204"/>
      <c r="F78" s="132"/>
      <c r="G78" s="218"/>
      <c r="H78" s="123"/>
    </row>
    <row r="79" spans="1:8" ht="15.75" x14ac:dyDescent="0.25">
      <c r="A79" s="130" t="s">
        <v>68</v>
      </c>
      <c r="B79" s="131">
        <f>DATE(2020,7,1)</f>
        <v>44013</v>
      </c>
      <c r="C79" s="204">
        <v>2263375</v>
      </c>
      <c r="D79" s="204">
        <v>572750</v>
      </c>
      <c r="E79" s="204">
        <v>550912.5</v>
      </c>
      <c r="F79" s="132">
        <f t="shared" ref="F79:F87" si="10">(+D79-E79)/E79</f>
        <v>3.9638781113153179E-2</v>
      </c>
      <c r="G79" s="215">
        <f t="shared" ref="G79:G89" si="11">D79/C79</f>
        <v>0.25305130612470317</v>
      </c>
      <c r="H79" s="123"/>
    </row>
    <row r="80" spans="1:8" ht="15.75" x14ac:dyDescent="0.25">
      <c r="A80" s="130"/>
      <c r="B80" s="131">
        <f>DATE(2020,8,1)</f>
        <v>44044</v>
      </c>
      <c r="C80" s="204">
        <v>2272442</v>
      </c>
      <c r="D80" s="204">
        <v>629353.5</v>
      </c>
      <c r="E80" s="204">
        <v>544892.5</v>
      </c>
      <c r="F80" s="132">
        <f t="shared" si="10"/>
        <v>0.15500488628490941</v>
      </c>
      <c r="G80" s="215">
        <f t="shared" si="11"/>
        <v>0.27695030280200772</v>
      </c>
      <c r="H80" s="123"/>
    </row>
    <row r="81" spans="1:8" ht="15.75" x14ac:dyDescent="0.25">
      <c r="A81" s="130"/>
      <c r="B81" s="131">
        <f>DATE(2020,9,1)</f>
        <v>44075</v>
      </c>
      <c r="C81" s="204">
        <v>1993931</v>
      </c>
      <c r="D81" s="204">
        <v>564621.5</v>
      </c>
      <c r="E81" s="204">
        <v>648210.4</v>
      </c>
      <c r="F81" s="132">
        <f t="shared" si="10"/>
        <v>-0.12895334601234418</v>
      </c>
      <c r="G81" s="215">
        <f t="shared" si="11"/>
        <v>0.2831700294543793</v>
      </c>
      <c r="H81" s="123"/>
    </row>
    <row r="82" spans="1:8" ht="15.75" x14ac:dyDescent="0.25">
      <c r="A82" s="130"/>
      <c r="B82" s="131">
        <f>DATE(2020,10,1)</f>
        <v>44105</v>
      </c>
      <c r="C82" s="204">
        <v>1898010</v>
      </c>
      <c r="D82" s="204">
        <v>553335.5</v>
      </c>
      <c r="E82" s="204">
        <v>633881.5</v>
      </c>
      <c r="F82" s="132">
        <f t="shared" si="10"/>
        <v>-0.12706791411328458</v>
      </c>
      <c r="G82" s="215">
        <f t="shared" si="11"/>
        <v>0.29153455461246253</v>
      </c>
      <c r="H82" s="123"/>
    </row>
    <row r="83" spans="1:8" ht="15.75" x14ac:dyDescent="0.25">
      <c r="A83" s="130"/>
      <c r="B83" s="131">
        <f>DATE(2020,11,1)</f>
        <v>44136</v>
      </c>
      <c r="C83" s="204">
        <v>2213531</v>
      </c>
      <c r="D83" s="204">
        <v>402553.5</v>
      </c>
      <c r="E83" s="204">
        <v>745956</v>
      </c>
      <c r="F83" s="132">
        <f t="shared" si="10"/>
        <v>-0.46035221916574171</v>
      </c>
      <c r="G83" s="215">
        <f t="shared" si="11"/>
        <v>0.18186033988229666</v>
      </c>
      <c r="H83" s="123"/>
    </row>
    <row r="84" spans="1:8" ht="15.75" x14ac:dyDescent="0.25">
      <c r="A84" s="130"/>
      <c r="B84" s="131">
        <f>DATE(2020,12,1)</f>
        <v>44166</v>
      </c>
      <c r="C84" s="204">
        <v>2627071</v>
      </c>
      <c r="D84" s="204">
        <v>614666.5</v>
      </c>
      <c r="E84" s="204">
        <v>825802.5</v>
      </c>
      <c r="F84" s="132">
        <f t="shared" si="10"/>
        <v>-0.25567372343871569</v>
      </c>
      <c r="G84" s="215">
        <f t="shared" si="11"/>
        <v>0.23397407226527187</v>
      </c>
      <c r="H84" s="123"/>
    </row>
    <row r="85" spans="1:8" ht="15.75" x14ac:dyDescent="0.25">
      <c r="A85" s="130"/>
      <c r="B85" s="131">
        <f>DATE(2021,1,1)</f>
        <v>44197</v>
      </c>
      <c r="C85" s="204">
        <v>2512116</v>
      </c>
      <c r="D85" s="204">
        <v>697063</v>
      </c>
      <c r="E85" s="204">
        <v>839366</v>
      </c>
      <c r="F85" s="132">
        <f t="shared" si="10"/>
        <v>-0.16953629286866517</v>
      </c>
      <c r="G85" s="215">
        <f t="shared" si="11"/>
        <v>0.27748041889785346</v>
      </c>
      <c r="H85" s="123"/>
    </row>
    <row r="86" spans="1:8" ht="15.75" x14ac:dyDescent="0.25">
      <c r="A86" s="130"/>
      <c r="B86" s="131">
        <f>DATE(2021,2,1)</f>
        <v>44228</v>
      </c>
      <c r="C86" s="204">
        <v>2097105</v>
      </c>
      <c r="D86" s="204">
        <v>596898</v>
      </c>
      <c r="E86" s="204">
        <v>859354</v>
      </c>
      <c r="F86" s="132">
        <f t="shared" si="10"/>
        <v>-0.30541080858412251</v>
      </c>
      <c r="G86" s="215">
        <f t="shared" si="11"/>
        <v>0.28462952498801919</v>
      </c>
      <c r="H86" s="123"/>
    </row>
    <row r="87" spans="1:8" ht="15.75" x14ac:dyDescent="0.25">
      <c r="A87" s="130"/>
      <c r="B87" s="131">
        <f>DATE(2021,3,1)</f>
        <v>44256</v>
      </c>
      <c r="C87" s="204">
        <v>2672167</v>
      </c>
      <c r="D87" s="204">
        <v>649953.5</v>
      </c>
      <c r="E87" s="204">
        <v>352677.5</v>
      </c>
      <c r="F87" s="132">
        <f t="shared" si="10"/>
        <v>0.84291172530144398</v>
      </c>
      <c r="G87" s="215">
        <f t="shared" si="11"/>
        <v>0.24323086843000455</v>
      </c>
      <c r="H87" s="123"/>
    </row>
    <row r="88" spans="1:8" ht="15.75" x14ac:dyDescent="0.25">
      <c r="A88" s="130"/>
      <c r="B88" s="131">
        <f>DATE(2021,4,1)</f>
        <v>44287</v>
      </c>
      <c r="C88" s="204">
        <v>2940598</v>
      </c>
      <c r="D88" s="204">
        <v>759812.5</v>
      </c>
      <c r="E88" s="204">
        <v>0</v>
      </c>
      <c r="F88" s="132">
        <v>1</v>
      </c>
      <c r="G88" s="215">
        <f t="shared" si="11"/>
        <v>0.25838706956884278</v>
      </c>
      <c r="H88" s="123"/>
    </row>
    <row r="89" spans="1:8" ht="15.75" x14ac:dyDescent="0.25">
      <c r="A89" s="130"/>
      <c r="B89" s="131">
        <f>DATE(2021,5,1)</f>
        <v>44317</v>
      </c>
      <c r="C89" s="204">
        <v>3091761</v>
      </c>
      <c r="D89" s="204">
        <v>695314</v>
      </c>
      <c r="E89" s="204">
        <v>0</v>
      </c>
      <c r="F89" s="132">
        <v>1</v>
      </c>
      <c r="G89" s="215">
        <f t="shared" si="11"/>
        <v>0.22489254505765485</v>
      </c>
      <c r="H89" s="123"/>
    </row>
    <row r="90" spans="1:8" ht="15.75" customHeight="1" thickBot="1" x14ac:dyDescent="0.3">
      <c r="A90" s="130"/>
      <c r="B90" s="131"/>
      <c r="C90" s="204"/>
      <c r="D90" s="204"/>
      <c r="E90" s="204"/>
      <c r="F90" s="132"/>
      <c r="G90" s="215"/>
      <c r="H90" s="123"/>
    </row>
    <row r="91" spans="1:8" ht="17.25" thickTop="1" thickBot="1" x14ac:dyDescent="0.3">
      <c r="A91" s="141" t="s">
        <v>14</v>
      </c>
      <c r="B91" s="142"/>
      <c r="C91" s="207">
        <f>SUM(C79:C90)</f>
        <v>26582107</v>
      </c>
      <c r="D91" s="261">
        <f>SUM(D79:D90)</f>
        <v>6736321.5</v>
      </c>
      <c r="E91" s="207">
        <f>SUM(E79:E90)</f>
        <v>6001052.9000000004</v>
      </c>
      <c r="F91" s="268">
        <f>(+D91-E91)/E91</f>
        <v>0.12252326587555987</v>
      </c>
      <c r="G91" s="267">
        <f>D91/C91</f>
        <v>0.25341563405790218</v>
      </c>
      <c r="H91" s="123"/>
    </row>
    <row r="92" spans="1:8" ht="15.75" customHeight="1" thickTop="1" x14ac:dyDescent="0.25">
      <c r="A92" s="130"/>
      <c r="B92" s="134"/>
      <c r="C92" s="204"/>
      <c r="D92" s="204"/>
      <c r="E92" s="204"/>
      <c r="F92" s="132"/>
      <c r="G92" s="218"/>
      <c r="H92" s="123"/>
    </row>
    <row r="93" spans="1:8" ht="15.75" x14ac:dyDescent="0.25">
      <c r="A93" s="130" t="s">
        <v>66</v>
      </c>
      <c r="B93" s="131">
        <f>DATE(2020,7,1)</f>
        <v>44013</v>
      </c>
      <c r="C93" s="204">
        <v>1014737</v>
      </c>
      <c r="D93" s="204">
        <v>248731.5</v>
      </c>
      <c r="E93" s="204">
        <v>255421</v>
      </c>
      <c r="F93" s="132">
        <f t="shared" ref="F93:F101" si="12">(+D93-E93)/E93</f>
        <v>-2.6190094001667833E-2</v>
      </c>
      <c r="G93" s="215">
        <f t="shared" ref="G93:G103" si="13">D93/C93</f>
        <v>0.24511917866402821</v>
      </c>
      <c r="H93" s="123"/>
    </row>
    <row r="94" spans="1:8" ht="15.75" x14ac:dyDescent="0.25">
      <c r="A94" s="130"/>
      <c r="B94" s="131">
        <f>DATE(2020,8,1)</f>
        <v>44044</v>
      </c>
      <c r="C94" s="204">
        <v>1314485</v>
      </c>
      <c r="D94" s="204">
        <v>268487</v>
      </c>
      <c r="E94" s="204">
        <v>366605.5</v>
      </c>
      <c r="F94" s="132">
        <f t="shared" si="12"/>
        <v>-0.26764055640190887</v>
      </c>
      <c r="G94" s="215">
        <f t="shared" si="13"/>
        <v>0.20425261604354558</v>
      </c>
      <c r="H94" s="123"/>
    </row>
    <row r="95" spans="1:8" ht="15.75" x14ac:dyDescent="0.25">
      <c r="A95" s="130"/>
      <c r="B95" s="131">
        <f>DATE(2020,9,1)</f>
        <v>44075</v>
      </c>
      <c r="C95" s="204">
        <v>1245407</v>
      </c>
      <c r="D95" s="204">
        <v>277957.5</v>
      </c>
      <c r="E95" s="204">
        <v>323382</v>
      </c>
      <c r="F95" s="132">
        <f t="shared" si="12"/>
        <v>-0.14046700187394476</v>
      </c>
      <c r="G95" s="215">
        <f t="shared" si="13"/>
        <v>0.22318607491366277</v>
      </c>
      <c r="H95" s="123"/>
    </row>
    <row r="96" spans="1:8" ht="15.75" x14ac:dyDescent="0.25">
      <c r="A96" s="130"/>
      <c r="B96" s="131">
        <f>DATE(2020,10,1)</f>
        <v>44105</v>
      </c>
      <c r="C96" s="204">
        <v>1388391</v>
      </c>
      <c r="D96" s="204">
        <v>306011.5</v>
      </c>
      <c r="E96" s="204">
        <v>301934</v>
      </c>
      <c r="F96" s="132">
        <f t="shared" si="12"/>
        <v>1.3504606967085522E-2</v>
      </c>
      <c r="G96" s="215">
        <f t="shared" si="13"/>
        <v>0.22040729160589489</v>
      </c>
      <c r="H96" s="123"/>
    </row>
    <row r="97" spans="1:8" ht="15.75" x14ac:dyDescent="0.25">
      <c r="A97" s="130"/>
      <c r="B97" s="131">
        <f>DATE(2020,11,1)</f>
        <v>44136</v>
      </c>
      <c r="C97" s="204">
        <v>1080444</v>
      </c>
      <c r="D97" s="204">
        <v>264033.5</v>
      </c>
      <c r="E97" s="204">
        <v>378106</v>
      </c>
      <c r="F97" s="132">
        <f t="shared" si="12"/>
        <v>-0.30169449836818246</v>
      </c>
      <c r="G97" s="215">
        <f t="shared" si="13"/>
        <v>0.24437499768613644</v>
      </c>
      <c r="H97" s="123"/>
    </row>
    <row r="98" spans="1:8" ht="15.75" x14ac:dyDescent="0.25">
      <c r="A98" s="130"/>
      <c r="B98" s="131">
        <f>DATE(2020,12,1)</f>
        <v>44166</v>
      </c>
      <c r="C98" s="204">
        <v>1251103</v>
      </c>
      <c r="D98" s="204">
        <v>310571</v>
      </c>
      <c r="E98" s="204">
        <v>350445.5</v>
      </c>
      <c r="F98" s="132">
        <f t="shared" si="12"/>
        <v>-0.11378231422574979</v>
      </c>
      <c r="G98" s="215">
        <f t="shared" si="13"/>
        <v>0.2482377550049836</v>
      </c>
      <c r="H98" s="123"/>
    </row>
    <row r="99" spans="1:8" ht="15.75" x14ac:dyDescent="0.25">
      <c r="A99" s="130"/>
      <c r="B99" s="131">
        <f>DATE(2021,1,1)</f>
        <v>44197</v>
      </c>
      <c r="C99" s="204">
        <v>3199214</v>
      </c>
      <c r="D99" s="204">
        <v>371981</v>
      </c>
      <c r="E99" s="204">
        <v>284016.5</v>
      </c>
      <c r="F99" s="132">
        <f t="shared" si="12"/>
        <v>0.30971616085685161</v>
      </c>
      <c r="G99" s="215">
        <f t="shared" si="13"/>
        <v>0.11627262196276961</v>
      </c>
      <c r="H99" s="123"/>
    </row>
    <row r="100" spans="1:8" ht="15.75" x14ac:dyDescent="0.25">
      <c r="A100" s="130"/>
      <c r="B100" s="131">
        <f>DATE(2021,2,1)</f>
        <v>44228</v>
      </c>
      <c r="C100" s="204">
        <v>4050366</v>
      </c>
      <c r="D100" s="204">
        <v>412016.5</v>
      </c>
      <c r="E100" s="204">
        <v>306224.5</v>
      </c>
      <c r="F100" s="132">
        <f t="shared" si="12"/>
        <v>0.34547203114055214</v>
      </c>
      <c r="G100" s="215">
        <f t="shared" si="13"/>
        <v>0.10172327636564202</v>
      </c>
      <c r="H100" s="123"/>
    </row>
    <row r="101" spans="1:8" ht="15.75" x14ac:dyDescent="0.25">
      <c r="A101" s="130"/>
      <c r="B101" s="131">
        <f>DATE(2021,3,1)</f>
        <v>44256</v>
      </c>
      <c r="C101" s="204">
        <v>4644484</v>
      </c>
      <c r="D101" s="204">
        <v>636027.5</v>
      </c>
      <c r="E101" s="204">
        <v>205020.5</v>
      </c>
      <c r="F101" s="132">
        <f t="shared" si="12"/>
        <v>2.1022629444372636</v>
      </c>
      <c r="G101" s="215">
        <f t="shared" si="13"/>
        <v>0.1369425537906902</v>
      </c>
      <c r="H101" s="123"/>
    </row>
    <row r="102" spans="1:8" ht="15.75" x14ac:dyDescent="0.25">
      <c r="A102" s="130"/>
      <c r="B102" s="131">
        <f>DATE(2021,4,1)</f>
        <v>44287</v>
      </c>
      <c r="C102" s="204">
        <v>5020756</v>
      </c>
      <c r="D102" s="204">
        <v>862567</v>
      </c>
      <c r="E102" s="204">
        <v>0</v>
      </c>
      <c r="F102" s="132">
        <v>1</v>
      </c>
      <c r="G102" s="215">
        <f t="shared" si="13"/>
        <v>0.17180022291463676</v>
      </c>
      <c r="H102" s="123"/>
    </row>
    <row r="103" spans="1:8" ht="15.75" x14ac:dyDescent="0.25">
      <c r="A103" s="130"/>
      <c r="B103" s="131">
        <f>DATE(2021,5,1)</f>
        <v>44317</v>
      </c>
      <c r="C103" s="204">
        <v>4594716</v>
      </c>
      <c r="D103" s="204">
        <v>804422</v>
      </c>
      <c r="E103" s="204">
        <v>0</v>
      </c>
      <c r="F103" s="132">
        <v>1</v>
      </c>
      <c r="G103" s="215">
        <f t="shared" si="13"/>
        <v>0.17507545624147391</v>
      </c>
      <c r="H103" s="123"/>
    </row>
    <row r="104" spans="1:8" ht="15.75" customHeight="1" thickBot="1" x14ac:dyDescent="0.3">
      <c r="A104" s="130"/>
      <c r="B104" s="131"/>
      <c r="C104" s="204"/>
      <c r="D104" s="204"/>
      <c r="E104" s="204"/>
      <c r="F104" s="132"/>
      <c r="G104" s="215"/>
      <c r="H104" s="123"/>
    </row>
    <row r="105" spans="1:8" ht="17.25" thickTop="1" thickBot="1" x14ac:dyDescent="0.3">
      <c r="A105" s="141" t="s">
        <v>14</v>
      </c>
      <c r="B105" s="142"/>
      <c r="C105" s="207">
        <f>SUM(C93:C104)</f>
        <v>28804103</v>
      </c>
      <c r="D105" s="261">
        <f>SUM(D93:D104)</f>
        <v>4762806</v>
      </c>
      <c r="E105" s="207">
        <f>SUM(E93:E104)</f>
        <v>2771155.5</v>
      </c>
      <c r="F105" s="269">
        <f>(+D105-E105)/E105</f>
        <v>0.71870759327652312</v>
      </c>
      <c r="G105" s="267">
        <f>D105/C105</f>
        <v>0.16535165146437644</v>
      </c>
      <c r="H105" s="123"/>
    </row>
    <row r="106" spans="1:8" ht="15.75" customHeight="1" thickTop="1" x14ac:dyDescent="0.25">
      <c r="A106" s="130"/>
      <c r="B106" s="139"/>
      <c r="C106" s="205"/>
      <c r="D106" s="205"/>
      <c r="E106" s="205"/>
      <c r="F106" s="140"/>
      <c r="G106" s="216"/>
      <c r="H106" s="123"/>
    </row>
    <row r="107" spans="1:8" ht="15.75" x14ac:dyDescent="0.25">
      <c r="A107" s="130" t="s">
        <v>52</v>
      </c>
      <c r="B107" s="131">
        <f>DATE(2020,7,1)</f>
        <v>44013</v>
      </c>
      <c r="C107" s="204">
        <v>3151915</v>
      </c>
      <c r="D107" s="204">
        <v>671384</v>
      </c>
      <c r="E107" s="204">
        <v>1702644.86</v>
      </c>
      <c r="F107" s="132">
        <f t="shared" ref="F107:F115" si="14">(+D107-E107)/E107</f>
        <v>-0.60568171568086138</v>
      </c>
      <c r="G107" s="215">
        <f t="shared" ref="G107:G117" si="15">D107/C107</f>
        <v>0.21300828226649512</v>
      </c>
      <c r="H107" s="123"/>
    </row>
    <row r="108" spans="1:8" ht="15.75" x14ac:dyDescent="0.25">
      <c r="A108" s="130"/>
      <c r="B108" s="131">
        <f>DATE(2020,8,1)</f>
        <v>44044</v>
      </c>
      <c r="C108" s="204">
        <v>3093947</v>
      </c>
      <c r="D108" s="204">
        <v>647438.06000000006</v>
      </c>
      <c r="E108" s="204">
        <v>2308275.88</v>
      </c>
      <c r="F108" s="132">
        <f t="shared" si="14"/>
        <v>-0.71951443689651162</v>
      </c>
      <c r="G108" s="215">
        <f t="shared" si="15"/>
        <v>0.2092595833089578</v>
      </c>
      <c r="H108" s="123"/>
    </row>
    <row r="109" spans="1:8" ht="15.75" x14ac:dyDescent="0.25">
      <c r="A109" s="130"/>
      <c r="B109" s="131">
        <f>DATE(2020,9,1)</f>
        <v>44075</v>
      </c>
      <c r="C109" s="204">
        <v>3761958</v>
      </c>
      <c r="D109" s="204">
        <v>476389</v>
      </c>
      <c r="E109" s="204">
        <v>1996051.56</v>
      </c>
      <c r="F109" s="132">
        <f t="shared" si="14"/>
        <v>-0.76133432144408131</v>
      </c>
      <c r="G109" s="215">
        <f t="shared" si="15"/>
        <v>0.12663325853186028</v>
      </c>
      <c r="H109" s="123"/>
    </row>
    <row r="110" spans="1:8" ht="15.75" x14ac:dyDescent="0.25">
      <c r="A110" s="130"/>
      <c r="B110" s="131">
        <f>DATE(2020,10,1)</f>
        <v>44105</v>
      </c>
      <c r="C110" s="204">
        <v>3789812</v>
      </c>
      <c r="D110" s="204">
        <v>822284.63</v>
      </c>
      <c r="E110" s="204">
        <v>2026195.69</v>
      </c>
      <c r="F110" s="132">
        <f t="shared" si="14"/>
        <v>-0.59417314227926332</v>
      </c>
      <c r="G110" s="215">
        <f t="shared" si="15"/>
        <v>0.21697240654681552</v>
      </c>
      <c r="H110" s="123"/>
    </row>
    <row r="111" spans="1:8" ht="15.75" x14ac:dyDescent="0.25">
      <c r="A111" s="130"/>
      <c r="B111" s="131">
        <f>DATE(2020,11,1)</f>
        <v>44136</v>
      </c>
      <c r="C111" s="204">
        <v>3550127</v>
      </c>
      <c r="D111" s="204">
        <v>587592.5</v>
      </c>
      <c r="E111" s="204">
        <v>1903112.96</v>
      </c>
      <c r="F111" s="132">
        <f t="shared" si="14"/>
        <v>-0.69124665096075011</v>
      </c>
      <c r="G111" s="215">
        <f t="shared" si="15"/>
        <v>0.16551309291188737</v>
      </c>
      <c r="H111" s="123"/>
    </row>
    <row r="112" spans="1:8" ht="15.75" x14ac:dyDescent="0.25">
      <c r="A112" s="130"/>
      <c r="B112" s="131">
        <f>DATE(2020,12,1)</f>
        <v>44166</v>
      </c>
      <c r="C112" s="204">
        <v>4018731</v>
      </c>
      <c r="D112" s="204">
        <v>844069.86</v>
      </c>
      <c r="E112" s="204">
        <v>1980424.65</v>
      </c>
      <c r="F112" s="132">
        <f t="shared" si="14"/>
        <v>-0.57379349928814516</v>
      </c>
      <c r="G112" s="215">
        <f t="shared" si="15"/>
        <v>0.21003392862075118</v>
      </c>
      <c r="H112" s="123"/>
    </row>
    <row r="113" spans="1:8" ht="15.75" x14ac:dyDescent="0.25">
      <c r="A113" s="130"/>
      <c r="B113" s="131">
        <f>DATE(2021,1,1)</f>
        <v>44197</v>
      </c>
      <c r="C113" s="204">
        <v>5130615</v>
      </c>
      <c r="D113" s="204">
        <v>1044151.5</v>
      </c>
      <c r="E113" s="204">
        <v>2178926.1</v>
      </c>
      <c r="F113" s="132">
        <f t="shared" si="14"/>
        <v>-0.52079535877788607</v>
      </c>
      <c r="G113" s="215">
        <f t="shared" si="15"/>
        <v>0.20351390622761598</v>
      </c>
      <c r="H113" s="123"/>
    </row>
    <row r="114" spans="1:8" ht="15.75" x14ac:dyDescent="0.25">
      <c r="A114" s="130"/>
      <c r="B114" s="131">
        <f>DATE(2021,2,1)</f>
        <v>44228</v>
      </c>
      <c r="C114" s="204">
        <v>4856229</v>
      </c>
      <c r="D114" s="204">
        <v>1000996.5</v>
      </c>
      <c r="E114" s="204">
        <v>2379520.27</v>
      </c>
      <c r="F114" s="132">
        <f t="shared" si="14"/>
        <v>-0.57932844169467823</v>
      </c>
      <c r="G114" s="215">
        <f t="shared" si="15"/>
        <v>0.20612629676236438</v>
      </c>
      <c r="H114" s="123"/>
    </row>
    <row r="115" spans="1:8" ht="15.75" x14ac:dyDescent="0.25">
      <c r="A115" s="130"/>
      <c r="B115" s="131">
        <f>DATE(2021,3,1)</f>
        <v>44256</v>
      </c>
      <c r="C115" s="204">
        <v>6023562</v>
      </c>
      <c r="D115" s="204">
        <v>1370156.18</v>
      </c>
      <c r="E115" s="204">
        <v>1002834.07</v>
      </c>
      <c r="F115" s="132">
        <f t="shared" si="14"/>
        <v>0.36628403540378318</v>
      </c>
      <c r="G115" s="215">
        <f t="shared" si="15"/>
        <v>0.22746610394314859</v>
      </c>
      <c r="H115" s="123"/>
    </row>
    <row r="116" spans="1:8" ht="15.75" x14ac:dyDescent="0.25">
      <c r="A116" s="130"/>
      <c r="B116" s="131">
        <f>DATE(2021,4,1)</f>
        <v>44287</v>
      </c>
      <c r="C116" s="204">
        <v>6088755</v>
      </c>
      <c r="D116" s="204">
        <v>1355487.38</v>
      </c>
      <c r="E116" s="204">
        <v>0</v>
      </c>
      <c r="F116" s="132">
        <v>1</v>
      </c>
      <c r="G116" s="215">
        <f t="shared" si="15"/>
        <v>0.22262143574507431</v>
      </c>
      <c r="H116" s="123"/>
    </row>
    <row r="117" spans="1:8" ht="15.75" x14ac:dyDescent="0.25">
      <c r="A117" s="130"/>
      <c r="B117" s="131">
        <f>DATE(2021,5,1)</f>
        <v>44317</v>
      </c>
      <c r="C117" s="204">
        <v>6140644</v>
      </c>
      <c r="D117" s="204">
        <v>1203533.5</v>
      </c>
      <c r="E117" s="204">
        <v>0</v>
      </c>
      <c r="F117" s="132">
        <v>1</v>
      </c>
      <c r="G117" s="215">
        <f t="shared" si="15"/>
        <v>0.19599467091725234</v>
      </c>
      <c r="H117" s="123"/>
    </row>
    <row r="118" spans="1:8" ht="15.75" customHeight="1" thickBot="1" x14ac:dyDescent="0.3">
      <c r="A118" s="130"/>
      <c r="B118" s="131"/>
      <c r="C118" s="204"/>
      <c r="D118" s="204"/>
      <c r="E118" s="204"/>
      <c r="F118" s="132"/>
      <c r="G118" s="215"/>
      <c r="H118" s="123"/>
    </row>
    <row r="119" spans="1:8" ht="17.25" thickTop="1" thickBot="1" x14ac:dyDescent="0.3">
      <c r="A119" s="141" t="s">
        <v>14</v>
      </c>
      <c r="B119" s="142"/>
      <c r="C119" s="206">
        <f>SUM(C107:C118)</f>
        <v>49606295</v>
      </c>
      <c r="D119" s="206">
        <f>SUM(D107:D118)</f>
        <v>10023483.109999999</v>
      </c>
      <c r="E119" s="206">
        <f>SUM(E107:E118)</f>
        <v>17477986.039999999</v>
      </c>
      <c r="F119" s="143">
        <f>(+D119-E119)/E119</f>
        <v>-0.42650811786550669</v>
      </c>
      <c r="G119" s="217">
        <f>D119/C119</f>
        <v>0.20206070842420301</v>
      </c>
      <c r="H119" s="123"/>
    </row>
    <row r="120" spans="1:8" ht="15.75" customHeight="1" thickTop="1" x14ac:dyDescent="0.25">
      <c r="A120" s="138"/>
      <c r="B120" s="139"/>
      <c r="C120" s="205"/>
      <c r="D120" s="205"/>
      <c r="E120" s="205"/>
      <c r="F120" s="140"/>
      <c r="G120" s="216"/>
      <c r="H120" s="123"/>
    </row>
    <row r="121" spans="1:8" ht="15.75" x14ac:dyDescent="0.25">
      <c r="A121" s="130" t="s">
        <v>16</v>
      </c>
      <c r="B121" s="131">
        <f>DATE(2020,7,1)</f>
        <v>44013</v>
      </c>
      <c r="C121" s="204">
        <v>8611169</v>
      </c>
      <c r="D121" s="204">
        <v>1702806.5</v>
      </c>
      <c r="E121" s="204">
        <v>2126431.5</v>
      </c>
      <c r="F121" s="132">
        <f t="shared" ref="F121:F129" si="16">(+D121-E121)/E121</f>
        <v>-0.19921873805951426</v>
      </c>
      <c r="G121" s="215">
        <f t="shared" ref="G121:G131" si="17">D121/C121</f>
        <v>0.19774394161814732</v>
      </c>
      <c r="H121" s="123"/>
    </row>
    <row r="122" spans="1:8" ht="15.75" x14ac:dyDescent="0.25">
      <c r="A122" s="130"/>
      <c r="B122" s="131">
        <f>DATE(2020,8,1)</f>
        <v>44044</v>
      </c>
      <c r="C122" s="204">
        <v>7982010</v>
      </c>
      <c r="D122" s="204">
        <v>1570570.5</v>
      </c>
      <c r="E122" s="204">
        <v>2726871</v>
      </c>
      <c r="F122" s="132">
        <f t="shared" si="16"/>
        <v>-0.4240393109905089</v>
      </c>
      <c r="G122" s="215">
        <f t="shared" si="17"/>
        <v>0.1967637850616574</v>
      </c>
      <c r="H122" s="123"/>
    </row>
    <row r="123" spans="1:8" ht="15.75" x14ac:dyDescent="0.25">
      <c r="A123" s="130"/>
      <c r="B123" s="131">
        <f>DATE(2020,9,1)</f>
        <v>44075</v>
      </c>
      <c r="C123" s="204">
        <v>8162396</v>
      </c>
      <c r="D123" s="204">
        <v>1447626.5</v>
      </c>
      <c r="E123" s="204">
        <v>2679876</v>
      </c>
      <c r="F123" s="132">
        <f t="shared" si="16"/>
        <v>-0.45981586461463142</v>
      </c>
      <c r="G123" s="215">
        <f t="shared" si="17"/>
        <v>0.17735313258508897</v>
      </c>
      <c r="H123" s="123"/>
    </row>
    <row r="124" spans="1:8" ht="15.75" x14ac:dyDescent="0.25">
      <c r="A124" s="130"/>
      <c r="B124" s="131">
        <f>DATE(2020,10,1)</f>
        <v>44105</v>
      </c>
      <c r="C124" s="204">
        <v>8619144</v>
      </c>
      <c r="D124" s="204">
        <v>1659455</v>
      </c>
      <c r="E124" s="204">
        <v>3088329</v>
      </c>
      <c r="F124" s="132">
        <f t="shared" si="16"/>
        <v>-0.46266897082532332</v>
      </c>
      <c r="G124" s="215">
        <f t="shared" si="17"/>
        <v>0.1925313000919813</v>
      </c>
      <c r="H124" s="123"/>
    </row>
    <row r="125" spans="1:8" ht="15.75" x14ac:dyDescent="0.25">
      <c r="A125" s="130"/>
      <c r="B125" s="131">
        <f>DATE(2020,11,1)</f>
        <v>44136</v>
      </c>
      <c r="C125" s="204">
        <v>8144246</v>
      </c>
      <c r="D125" s="204">
        <v>1564224</v>
      </c>
      <c r="E125" s="204">
        <v>2810591.5</v>
      </c>
      <c r="F125" s="132">
        <f t="shared" si="16"/>
        <v>-0.44345380678764595</v>
      </c>
      <c r="G125" s="215">
        <f t="shared" si="17"/>
        <v>0.19206492534729427</v>
      </c>
      <c r="H125" s="123"/>
    </row>
    <row r="126" spans="1:8" ht="15.75" x14ac:dyDescent="0.25">
      <c r="A126" s="130"/>
      <c r="B126" s="131">
        <f>DATE(2020,12,1)</f>
        <v>44166</v>
      </c>
      <c r="C126" s="204">
        <v>8593856</v>
      </c>
      <c r="D126" s="204">
        <v>1930831.5</v>
      </c>
      <c r="E126" s="204">
        <v>1704640.5</v>
      </c>
      <c r="F126" s="132">
        <f t="shared" si="16"/>
        <v>0.13269132113193369</v>
      </c>
      <c r="G126" s="215">
        <f t="shared" si="17"/>
        <v>0.22467580327154654</v>
      </c>
      <c r="H126" s="123"/>
    </row>
    <row r="127" spans="1:8" ht="15.75" x14ac:dyDescent="0.25">
      <c r="A127" s="130"/>
      <c r="B127" s="131">
        <f>DATE(2021,1,1)</f>
        <v>44197</v>
      </c>
      <c r="C127" s="204">
        <v>9211199</v>
      </c>
      <c r="D127" s="204">
        <v>2028934.5</v>
      </c>
      <c r="E127" s="204">
        <v>2631202</v>
      </c>
      <c r="F127" s="132">
        <f t="shared" si="16"/>
        <v>-0.22889443683913283</v>
      </c>
      <c r="G127" s="215">
        <f t="shared" si="17"/>
        <v>0.22026823001001281</v>
      </c>
      <c r="H127" s="123"/>
    </row>
    <row r="128" spans="1:8" ht="15.75" x14ac:dyDescent="0.25">
      <c r="A128" s="130"/>
      <c r="B128" s="131">
        <f>DATE(2021,2,1)</f>
        <v>44228</v>
      </c>
      <c r="C128" s="204">
        <v>7248677</v>
      </c>
      <c r="D128" s="204">
        <v>1539079.5</v>
      </c>
      <c r="E128" s="204">
        <v>2680732</v>
      </c>
      <c r="F128" s="132">
        <f t="shared" si="16"/>
        <v>-0.42587341815593649</v>
      </c>
      <c r="G128" s="215">
        <f t="shared" si="17"/>
        <v>0.21232557334255617</v>
      </c>
      <c r="H128" s="123"/>
    </row>
    <row r="129" spans="1:8" ht="15.75" x14ac:dyDescent="0.25">
      <c r="A129" s="130"/>
      <c r="B129" s="131">
        <f>DATE(2021,3,1)</f>
        <v>44256</v>
      </c>
      <c r="C129" s="204">
        <v>9278927</v>
      </c>
      <c r="D129" s="204">
        <v>1934782.5</v>
      </c>
      <c r="E129" s="204">
        <v>1364411.5</v>
      </c>
      <c r="F129" s="132">
        <f t="shared" si="16"/>
        <v>0.41803444195537781</v>
      </c>
      <c r="G129" s="215">
        <f t="shared" si="17"/>
        <v>0.20851360291982035</v>
      </c>
      <c r="H129" s="123"/>
    </row>
    <row r="130" spans="1:8" ht="15.75" x14ac:dyDescent="0.25">
      <c r="A130" s="130"/>
      <c r="B130" s="131">
        <f>DATE(2021,4,1)</f>
        <v>44287</v>
      </c>
      <c r="C130" s="204">
        <v>10391250</v>
      </c>
      <c r="D130" s="204">
        <v>2261091</v>
      </c>
      <c r="E130" s="204">
        <v>0</v>
      </c>
      <c r="F130" s="132">
        <v>1</v>
      </c>
      <c r="G130" s="215">
        <f t="shared" si="17"/>
        <v>0.21759566943341754</v>
      </c>
      <c r="H130" s="123"/>
    </row>
    <row r="131" spans="1:8" ht="15.75" x14ac:dyDescent="0.25">
      <c r="A131" s="130"/>
      <c r="B131" s="131">
        <f>DATE(2021,5,1)</f>
        <v>44317</v>
      </c>
      <c r="C131" s="204">
        <v>9767438</v>
      </c>
      <c r="D131" s="204">
        <v>2167747</v>
      </c>
      <c r="E131" s="204">
        <v>0</v>
      </c>
      <c r="F131" s="132">
        <v>1</v>
      </c>
      <c r="G131" s="215">
        <f t="shared" si="17"/>
        <v>0.22193609009854989</v>
      </c>
      <c r="H131" s="123"/>
    </row>
    <row r="132" spans="1:8" ht="15.75" customHeight="1" thickBot="1" x14ac:dyDescent="0.3">
      <c r="A132" s="130"/>
      <c r="B132" s="131"/>
      <c r="C132" s="204"/>
      <c r="D132" s="204"/>
      <c r="E132" s="204"/>
      <c r="F132" s="132"/>
      <c r="G132" s="215"/>
      <c r="H132" s="123"/>
    </row>
    <row r="133" spans="1:8" ht="17.25" thickTop="1" thickBot="1" x14ac:dyDescent="0.3">
      <c r="A133" s="141" t="s">
        <v>14</v>
      </c>
      <c r="B133" s="142"/>
      <c r="C133" s="206">
        <f>SUM(C121:C132)</f>
        <v>96010312</v>
      </c>
      <c r="D133" s="206">
        <f>SUM(D121:D132)</f>
        <v>19807148.5</v>
      </c>
      <c r="E133" s="206">
        <f>SUM(E121:E132)</f>
        <v>21813085</v>
      </c>
      <c r="F133" s="143">
        <f>(+D133-E133)/E133</f>
        <v>-9.1960238544891743E-2</v>
      </c>
      <c r="G133" s="217">
        <f>D133/C133</f>
        <v>0.20630230323592741</v>
      </c>
      <c r="H133" s="123"/>
    </row>
    <row r="134" spans="1:8" ht="15.75" customHeight="1" thickTop="1" x14ac:dyDescent="0.25">
      <c r="A134" s="138"/>
      <c r="B134" s="139"/>
      <c r="C134" s="205"/>
      <c r="D134" s="205"/>
      <c r="E134" s="205"/>
      <c r="F134" s="140"/>
      <c r="G134" s="216"/>
      <c r="H134" s="123"/>
    </row>
    <row r="135" spans="1:8" ht="15.75" x14ac:dyDescent="0.25">
      <c r="A135" s="130" t="s">
        <v>54</v>
      </c>
      <c r="B135" s="131">
        <f>DATE(2020,7,1)</f>
        <v>44013</v>
      </c>
      <c r="C135" s="204">
        <v>10453635</v>
      </c>
      <c r="D135" s="204">
        <v>1923906.33</v>
      </c>
      <c r="E135" s="204">
        <v>1977732.9</v>
      </c>
      <c r="F135" s="132">
        <f t="shared" ref="F135:F143" si="18">(+D135-E135)/E135</f>
        <v>-2.7216299026021074E-2</v>
      </c>
      <c r="G135" s="215">
        <f t="shared" ref="G135:G145" si="19">D135/C135</f>
        <v>0.18404185051419913</v>
      </c>
      <c r="H135" s="123"/>
    </row>
    <row r="136" spans="1:8" ht="15.75" x14ac:dyDescent="0.25">
      <c r="A136" s="130"/>
      <c r="B136" s="131">
        <f>DATE(2020,8,1)</f>
        <v>44044</v>
      </c>
      <c r="C136" s="204">
        <v>12051254</v>
      </c>
      <c r="D136" s="204">
        <v>2698345.86</v>
      </c>
      <c r="E136" s="204">
        <v>2646777.5</v>
      </c>
      <c r="F136" s="132">
        <f t="shared" si="18"/>
        <v>1.9483451102330993E-2</v>
      </c>
      <c r="G136" s="215">
        <f t="shared" si="19"/>
        <v>0.22390581594247369</v>
      </c>
      <c r="H136" s="123"/>
    </row>
    <row r="137" spans="1:8" ht="15.75" x14ac:dyDescent="0.25">
      <c r="A137" s="130"/>
      <c r="B137" s="131">
        <f>DATE(2020,9,1)</f>
        <v>44075</v>
      </c>
      <c r="C137" s="204">
        <v>11460638</v>
      </c>
      <c r="D137" s="204">
        <v>2773332.44</v>
      </c>
      <c r="E137" s="204">
        <v>2514781.23</v>
      </c>
      <c r="F137" s="132">
        <f t="shared" si="18"/>
        <v>0.10281260529370181</v>
      </c>
      <c r="G137" s="215">
        <f t="shared" si="19"/>
        <v>0.24198761360405938</v>
      </c>
      <c r="H137" s="123"/>
    </row>
    <row r="138" spans="1:8" ht="15.75" x14ac:dyDescent="0.25">
      <c r="A138" s="130"/>
      <c r="B138" s="131">
        <f>DATE(2020,10,1)</f>
        <v>44105</v>
      </c>
      <c r="C138" s="204">
        <v>11609263</v>
      </c>
      <c r="D138" s="204">
        <v>2099358.0099999998</v>
      </c>
      <c r="E138" s="204">
        <v>2541006.48</v>
      </c>
      <c r="F138" s="132">
        <f t="shared" si="18"/>
        <v>-0.17380847844197556</v>
      </c>
      <c r="G138" s="215">
        <f t="shared" si="19"/>
        <v>0.18083473602071035</v>
      </c>
      <c r="H138" s="123"/>
    </row>
    <row r="139" spans="1:8" ht="15.75" x14ac:dyDescent="0.25">
      <c r="A139" s="130"/>
      <c r="B139" s="131">
        <f>DATE(2020,11,1)</f>
        <v>44136</v>
      </c>
      <c r="C139" s="204">
        <v>11563380</v>
      </c>
      <c r="D139" s="204">
        <v>2138602.36</v>
      </c>
      <c r="E139" s="204">
        <v>2692124.24</v>
      </c>
      <c r="F139" s="132">
        <f t="shared" si="18"/>
        <v>-0.20560785114434404</v>
      </c>
      <c r="G139" s="215">
        <f t="shared" si="19"/>
        <v>0.18494612820818826</v>
      </c>
      <c r="H139" s="123"/>
    </row>
    <row r="140" spans="1:8" ht="15.75" x14ac:dyDescent="0.25">
      <c r="A140" s="130"/>
      <c r="B140" s="131">
        <f>DATE(2020,12,1)</f>
        <v>44166</v>
      </c>
      <c r="C140" s="204">
        <v>10891043</v>
      </c>
      <c r="D140" s="204">
        <v>1971253.86</v>
      </c>
      <c r="E140" s="204">
        <v>2968383.02</v>
      </c>
      <c r="F140" s="132">
        <f t="shared" si="18"/>
        <v>-0.3359166095755392</v>
      </c>
      <c r="G140" s="215">
        <f t="shared" si="19"/>
        <v>0.18099771160576633</v>
      </c>
      <c r="H140" s="123"/>
    </row>
    <row r="141" spans="1:8" ht="15.75" x14ac:dyDescent="0.25">
      <c r="A141" s="130"/>
      <c r="B141" s="131">
        <f>DATE(2021,1,1)</f>
        <v>44197</v>
      </c>
      <c r="C141" s="204">
        <v>10786485</v>
      </c>
      <c r="D141" s="204">
        <v>2332941.5</v>
      </c>
      <c r="E141" s="204">
        <v>2911355</v>
      </c>
      <c r="F141" s="132">
        <f t="shared" si="18"/>
        <v>-0.19867501558552633</v>
      </c>
      <c r="G141" s="215">
        <f t="shared" si="19"/>
        <v>0.21628375694213639</v>
      </c>
      <c r="H141" s="123"/>
    </row>
    <row r="142" spans="1:8" ht="15.75" x14ac:dyDescent="0.25">
      <c r="A142" s="130"/>
      <c r="B142" s="131">
        <f>DATE(2021,2,1)</f>
        <v>44228</v>
      </c>
      <c r="C142" s="204">
        <v>8825700</v>
      </c>
      <c r="D142" s="204">
        <v>2002620.27</v>
      </c>
      <c r="E142" s="204">
        <v>2209831.5099999998</v>
      </c>
      <c r="F142" s="132">
        <f t="shared" si="18"/>
        <v>-9.3767890928480688E-2</v>
      </c>
      <c r="G142" s="215">
        <f t="shared" si="19"/>
        <v>0.22690781127842552</v>
      </c>
      <c r="H142" s="123"/>
    </row>
    <row r="143" spans="1:8" ht="15.75" x14ac:dyDescent="0.25">
      <c r="A143" s="130"/>
      <c r="B143" s="131">
        <f>DATE(2021,3,1)</f>
        <v>44256</v>
      </c>
      <c r="C143" s="204">
        <v>11172903.5</v>
      </c>
      <c r="D143" s="204">
        <v>2026634.3</v>
      </c>
      <c r="E143" s="204">
        <v>1369447.43</v>
      </c>
      <c r="F143" s="132">
        <f t="shared" si="18"/>
        <v>0.47989200286425027</v>
      </c>
      <c r="G143" s="215">
        <f t="shared" si="19"/>
        <v>0.18138832936308813</v>
      </c>
      <c r="H143" s="123"/>
    </row>
    <row r="144" spans="1:8" ht="15.75" x14ac:dyDescent="0.25">
      <c r="A144" s="130"/>
      <c r="B144" s="131">
        <f>DATE(2021,4,1)</f>
        <v>44287</v>
      </c>
      <c r="C144" s="204">
        <v>12159987</v>
      </c>
      <c r="D144" s="204">
        <v>2242370.5299999998</v>
      </c>
      <c r="E144" s="204">
        <v>0</v>
      </c>
      <c r="F144" s="132">
        <v>1</v>
      </c>
      <c r="G144" s="215">
        <f t="shared" si="19"/>
        <v>0.18440566836132308</v>
      </c>
      <c r="H144" s="123"/>
    </row>
    <row r="145" spans="1:8" ht="15.75" x14ac:dyDescent="0.25">
      <c r="A145" s="130"/>
      <c r="B145" s="131">
        <f>DATE(2021,5,1)</f>
        <v>44317</v>
      </c>
      <c r="C145" s="204">
        <v>14001688</v>
      </c>
      <c r="D145" s="204">
        <v>2870434.13</v>
      </c>
      <c r="E145" s="204">
        <v>0</v>
      </c>
      <c r="F145" s="132">
        <v>1</v>
      </c>
      <c r="G145" s="215">
        <f t="shared" si="19"/>
        <v>0.20500629138429594</v>
      </c>
      <c r="H145" s="123"/>
    </row>
    <row r="146" spans="1:8" ht="15.75" thickBot="1" x14ac:dyDescent="0.25">
      <c r="A146" s="133"/>
      <c r="B146" s="131"/>
      <c r="C146" s="204"/>
      <c r="D146" s="204"/>
      <c r="E146" s="204"/>
      <c r="F146" s="132"/>
      <c r="G146" s="215"/>
      <c r="H146" s="123"/>
    </row>
    <row r="147" spans="1:8" ht="17.25" thickTop="1" thickBot="1" x14ac:dyDescent="0.3">
      <c r="A147" s="141" t="s">
        <v>14</v>
      </c>
      <c r="B147" s="142"/>
      <c r="C147" s="207">
        <f>SUM(C135:C146)</f>
        <v>124975976.5</v>
      </c>
      <c r="D147" s="207">
        <f>SUM(D135:D146)</f>
        <v>25079799.59</v>
      </c>
      <c r="E147" s="207">
        <f>SUM(E135:E146)</f>
        <v>21831439.310000002</v>
      </c>
      <c r="F147" s="143">
        <f>(+D147-E147)/E147</f>
        <v>0.14879276780033782</v>
      </c>
      <c r="G147" s="267">
        <f>D147/C147</f>
        <v>0.2006769644244388</v>
      </c>
      <c r="H147" s="123"/>
    </row>
    <row r="148" spans="1:8" ht="15.75" customHeight="1" thickTop="1" x14ac:dyDescent="0.25">
      <c r="A148" s="138"/>
      <c r="B148" s="139"/>
      <c r="C148" s="205"/>
      <c r="D148" s="205"/>
      <c r="E148" s="205"/>
      <c r="F148" s="140"/>
      <c r="G148" s="219"/>
      <c r="H148" s="123"/>
    </row>
    <row r="149" spans="1:8" ht="15.75" x14ac:dyDescent="0.25">
      <c r="A149" s="130" t="s">
        <v>55</v>
      </c>
      <c r="B149" s="131">
        <f>DATE(2020,7,1)</f>
        <v>44013</v>
      </c>
      <c r="C149" s="204">
        <v>472126</v>
      </c>
      <c r="D149" s="204">
        <v>188605.5</v>
      </c>
      <c r="E149" s="204">
        <v>135934</v>
      </c>
      <c r="F149" s="132">
        <f t="shared" ref="F149:F157" si="20">(+D149-E149)/E149</f>
        <v>0.38747848220459929</v>
      </c>
      <c r="G149" s="215">
        <f t="shared" ref="G149:G159" si="21">D149/C149</f>
        <v>0.39948128253898324</v>
      </c>
      <c r="H149" s="123"/>
    </row>
    <row r="150" spans="1:8" ht="15.75" x14ac:dyDescent="0.25">
      <c r="A150" s="130"/>
      <c r="B150" s="131">
        <f>DATE(2020,8,1)</f>
        <v>44044</v>
      </c>
      <c r="C150" s="204">
        <v>370157</v>
      </c>
      <c r="D150" s="204">
        <v>111546</v>
      </c>
      <c r="E150" s="204">
        <v>134255.5</v>
      </c>
      <c r="F150" s="132">
        <f t="shared" si="20"/>
        <v>-0.16915135692764915</v>
      </c>
      <c r="G150" s="215">
        <f t="shared" si="21"/>
        <v>0.3013478064713081</v>
      </c>
      <c r="H150" s="123"/>
    </row>
    <row r="151" spans="1:8" ht="15.75" x14ac:dyDescent="0.25">
      <c r="A151" s="130"/>
      <c r="B151" s="131">
        <f>DATE(2020,9,1)</f>
        <v>44075</v>
      </c>
      <c r="C151" s="204">
        <v>425232</v>
      </c>
      <c r="D151" s="204">
        <v>108554</v>
      </c>
      <c r="E151" s="204">
        <v>147952</v>
      </c>
      <c r="F151" s="132">
        <f t="shared" si="20"/>
        <v>-0.26628906672434305</v>
      </c>
      <c r="G151" s="215">
        <f t="shared" si="21"/>
        <v>0.25528182262858862</v>
      </c>
      <c r="H151" s="123"/>
    </row>
    <row r="152" spans="1:8" ht="15.75" x14ac:dyDescent="0.25">
      <c r="A152" s="130"/>
      <c r="B152" s="131">
        <f>DATE(2020,10,1)</f>
        <v>44105</v>
      </c>
      <c r="C152" s="204">
        <v>382275</v>
      </c>
      <c r="D152" s="204">
        <v>95084.5</v>
      </c>
      <c r="E152" s="204">
        <v>160874.5</v>
      </c>
      <c r="F152" s="132">
        <f t="shared" si="20"/>
        <v>-0.40895231997613046</v>
      </c>
      <c r="G152" s="215">
        <f t="shared" si="21"/>
        <v>0.24873324177620823</v>
      </c>
      <c r="H152" s="123"/>
    </row>
    <row r="153" spans="1:8" ht="15.75" x14ac:dyDescent="0.25">
      <c r="A153" s="130"/>
      <c r="B153" s="131">
        <f>DATE(2020,11,1)</f>
        <v>44136</v>
      </c>
      <c r="C153" s="204">
        <v>348011</v>
      </c>
      <c r="D153" s="204">
        <v>102680.5</v>
      </c>
      <c r="E153" s="204">
        <v>171123.5</v>
      </c>
      <c r="F153" s="132">
        <f t="shared" si="20"/>
        <v>-0.39996260011044654</v>
      </c>
      <c r="G153" s="215">
        <f t="shared" si="21"/>
        <v>0.29504958176609358</v>
      </c>
      <c r="H153" s="123"/>
    </row>
    <row r="154" spans="1:8" ht="15.75" x14ac:dyDescent="0.25">
      <c r="A154" s="130"/>
      <c r="B154" s="131">
        <f>DATE(2020,12,1)</f>
        <v>44166</v>
      </c>
      <c r="C154" s="204">
        <v>357011</v>
      </c>
      <c r="D154" s="204">
        <v>47733</v>
      </c>
      <c r="E154" s="204">
        <v>110728</v>
      </c>
      <c r="F154" s="132">
        <f t="shared" si="20"/>
        <v>-0.56891662452134961</v>
      </c>
      <c r="G154" s="215">
        <f t="shared" si="21"/>
        <v>0.13370176269078543</v>
      </c>
      <c r="H154" s="123"/>
    </row>
    <row r="155" spans="1:8" ht="15.75" x14ac:dyDescent="0.25">
      <c r="A155" s="130"/>
      <c r="B155" s="131">
        <f>DATE(2021,1,1)</f>
        <v>44197</v>
      </c>
      <c r="C155" s="204">
        <v>348584</v>
      </c>
      <c r="D155" s="204">
        <v>134105.5</v>
      </c>
      <c r="E155" s="204">
        <v>199122</v>
      </c>
      <c r="F155" s="132">
        <f t="shared" si="20"/>
        <v>-0.3265159048221693</v>
      </c>
      <c r="G155" s="215">
        <f t="shared" si="21"/>
        <v>0.38471501847474354</v>
      </c>
      <c r="H155" s="123"/>
    </row>
    <row r="156" spans="1:8" ht="15.75" x14ac:dyDescent="0.25">
      <c r="A156" s="130"/>
      <c r="B156" s="131">
        <f>DATE(2021,2,1)</f>
        <v>44228</v>
      </c>
      <c r="C156" s="204">
        <v>297062</v>
      </c>
      <c r="D156" s="204">
        <v>30769</v>
      </c>
      <c r="E156" s="204">
        <v>146026</v>
      </c>
      <c r="F156" s="132">
        <f t="shared" si="20"/>
        <v>-0.78929094818730916</v>
      </c>
      <c r="G156" s="215">
        <f t="shared" si="21"/>
        <v>0.1035777043176172</v>
      </c>
      <c r="H156" s="123"/>
    </row>
    <row r="157" spans="1:8" ht="15.75" x14ac:dyDescent="0.25">
      <c r="A157" s="130"/>
      <c r="B157" s="131">
        <f>DATE(2021,3,1)</f>
        <v>44256</v>
      </c>
      <c r="C157" s="204">
        <v>594678</v>
      </c>
      <c r="D157" s="204">
        <v>150714.5</v>
      </c>
      <c r="E157" s="204">
        <v>106726.5</v>
      </c>
      <c r="F157" s="132">
        <f t="shared" si="20"/>
        <v>0.41215630607206272</v>
      </c>
      <c r="G157" s="215">
        <f t="shared" si="21"/>
        <v>0.25343883580694088</v>
      </c>
      <c r="H157" s="123"/>
    </row>
    <row r="158" spans="1:8" ht="15.75" x14ac:dyDescent="0.25">
      <c r="A158" s="130"/>
      <c r="B158" s="131">
        <f>DATE(2021,4,1)</f>
        <v>44287</v>
      </c>
      <c r="C158" s="204">
        <v>526727</v>
      </c>
      <c r="D158" s="204">
        <v>104078.5</v>
      </c>
      <c r="E158" s="204">
        <v>0</v>
      </c>
      <c r="F158" s="132">
        <v>1</v>
      </c>
      <c r="G158" s="215">
        <f t="shared" si="21"/>
        <v>0.1975947692068187</v>
      </c>
      <c r="H158" s="123"/>
    </row>
    <row r="159" spans="1:8" ht="15.75" x14ac:dyDescent="0.25">
      <c r="A159" s="130"/>
      <c r="B159" s="131">
        <f>DATE(2021,5,1)</f>
        <v>44317</v>
      </c>
      <c r="C159" s="204">
        <v>473544</v>
      </c>
      <c r="D159" s="204">
        <v>151178</v>
      </c>
      <c r="E159" s="204">
        <v>0</v>
      </c>
      <c r="F159" s="132">
        <v>1</v>
      </c>
      <c r="G159" s="215">
        <f t="shared" si="21"/>
        <v>0.31924805297923742</v>
      </c>
      <c r="H159" s="123"/>
    </row>
    <row r="160" spans="1:8" ht="15.75" thickBot="1" x14ac:dyDescent="0.25">
      <c r="A160" s="133"/>
      <c r="B160" s="134"/>
      <c r="C160" s="204"/>
      <c r="D160" s="204"/>
      <c r="E160" s="204"/>
      <c r="F160" s="132"/>
      <c r="G160" s="215"/>
      <c r="H160" s="123"/>
    </row>
    <row r="161" spans="1:8" ht="17.25" thickTop="1" thickBot="1" x14ac:dyDescent="0.3">
      <c r="A161" s="144" t="s">
        <v>14</v>
      </c>
      <c r="B161" s="145"/>
      <c r="C161" s="207">
        <f>SUM(C149:C160)</f>
        <v>4595407</v>
      </c>
      <c r="D161" s="207">
        <f>SUM(D149:D160)</f>
        <v>1225049</v>
      </c>
      <c r="E161" s="207">
        <f>SUM(E149:E160)</f>
        <v>1312742</v>
      </c>
      <c r="F161" s="143">
        <f>(+D161-E161)/E161</f>
        <v>-6.6801397380444896E-2</v>
      </c>
      <c r="G161" s="217">
        <f>D161/C161</f>
        <v>0.2665811755085023</v>
      </c>
      <c r="H161" s="123"/>
    </row>
    <row r="162" spans="1:8" ht="15.75" customHeight="1" thickTop="1" x14ac:dyDescent="0.25">
      <c r="A162" s="130"/>
      <c r="B162" s="134"/>
      <c r="C162" s="204"/>
      <c r="D162" s="204"/>
      <c r="E162" s="204"/>
      <c r="F162" s="132"/>
      <c r="G162" s="218"/>
      <c r="H162" s="123"/>
    </row>
    <row r="163" spans="1:8" ht="15.75" x14ac:dyDescent="0.25">
      <c r="A163" s="130" t="s">
        <v>37</v>
      </c>
      <c r="B163" s="131">
        <f>DATE(2020,7,1)</f>
        <v>44013</v>
      </c>
      <c r="C163" s="204">
        <v>18681267</v>
      </c>
      <c r="D163" s="204">
        <v>4944391.55</v>
      </c>
      <c r="E163" s="204">
        <v>3678875.65</v>
      </c>
      <c r="F163" s="132">
        <f t="shared" ref="F163:F171" si="22">(+D163-E163)/E163</f>
        <v>0.34399529106127846</v>
      </c>
      <c r="G163" s="215">
        <f t="shared" ref="G163:G173" si="23">D163/C163</f>
        <v>0.26467110341070549</v>
      </c>
      <c r="H163" s="123"/>
    </row>
    <row r="164" spans="1:8" ht="15.75" x14ac:dyDescent="0.25">
      <c r="A164" s="130"/>
      <c r="B164" s="131">
        <f>DATE(2020,8,1)</f>
        <v>44044</v>
      </c>
      <c r="C164" s="204">
        <v>17505825</v>
      </c>
      <c r="D164" s="204">
        <v>3489579.3</v>
      </c>
      <c r="E164" s="204">
        <v>3806318.41</v>
      </c>
      <c r="F164" s="132">
        <f t="shared" si="22"/>
        <v>-8.3214034109143367E-2</v>
      </c>
      <c r="G164" s="215">
        <f t="shared" si="23"/>
        <v>0.19933818029141728</v>
      </c>
      <c r="H164" s="123"/>
    </row>
    <row r="165" spans="1:8" ht="15.75" x14ac:dyDescent="0.25">
      <c r="A165" s="130"/>
      <c r="B165" s="131">
        <f>DATE(2020,9,1)</f>
        <v>44075</v>
      </c>
      <c r="C165" s="204">
        <v>17711205.5</v>
      </c>
      <c r="D165" s="204">
        <v>3694673.89</v>
      </c>
      <c r="E165" s="204">
        <v>3987675.53</v>
      </c>
      <c r="F165" s="132">
        <f t="shared" si="22"/>
        <v>-7.3476800656346195E-2</v>
      </c>
      <c r="G165" s="215">
        <f t="shared" si="23"/>
        <v>0.20860657339219513</v>
      </c>
      <c r="H165" s="123"/>
    </row>
    <row r="166" spans="1:8" ht="15.75" x14ac:dyDescent="0.25">
      <c r="A166" s="130"/>
      <c r="B166" s="131">
        <f>DATE(2020,10,1)</f>
        <v>44105</v>
      </c>
      <c r="C166" s="204">
        <v>17114468.25</v>
      </c>
      <c r="D166" s="204">
        <v>4159604.05</v>
      </c>
      <c r="E166" s="204">
        <v>3485177.78</v>
      </c>
      <c r="F166" s="132">
        <f t="shared" si="22"/>
        <v>0.19351273093448909</v>
      </c>
      <c r="G166" s="215">
        <f t="shared" si="23"/>
        <v>0.24304605841317914</v>
      </c>
      <c r="H166" s="123"/>
    </row>
    <row r="167" spans="1:8" ht="15.75" x14ac:dyDescent="0.25">
      <c r="A167" s="130"/>
      <c r="B167" s="131">
        <f>DATE(2020,11,1)</f>
        <v>44136</v>
      </c>
      <c r="C167" s="204">
        <v>17014102</v>
      </c>
      <c r="D167" s="204">
        <v>3752761.48</v>
      </c>
      <c r="E167" s="204">
        <v>3099140.29</v>
      </c>
      <c r="F167" s="132">
        <f t="shared" si="22"/>
        <v>0.21090403429268442</v>
      </c>
      <c r="G167" s="215">
        <f t="shared" si="23"/>
        <v>0.22056770789313476</v>
      </c>
      <c r="H167" s="123"/>
    </row>
    <row r="168" spans="1:8" ht="15.75" x14ac:dyDescent="0.25">
      <c r="A168" s="130"/>
      <c r="B168" s="131">
        <f>DATE(2020,12,1)</f>
        <v>44166</v>
      </c>
      <c r="C168" s="204">
        <v>18034169</v>
      </c>
      <c r="D168" s="204">
        <v>4490962</v>
      </c>
      <c r="E168" s="204">
        <v>4022599</v>
      </c>
      <c r="F168" s="132">
        <f t="shared" si="22"/>
        <v>0.11643293303657661</v>
      </c>
      <c r="G168" s="215">
        <f t="shared" si="23"/>
        <v>0.24902516994267937</v>
      </c>
      <c r="H168" s="123"/>
    </row>
    <row r="169" spans="1:8" ht="15.75" x14ac:dyDescent="0.25">
      <c r="A169" s="130"/>
      <c r="B169" s="131">
        <f>DATE(2021,1,1)</f>
        <v>44197</v>
      </c>
      <c r="C169" s="204">
        <v>20239790</v>
      </c>
      <c r="D169" s="204">
        <v>4702074.91</v>
      </c>
      <c r="E169" s="204">
        <v>3993751.63</v>
      </c>
      <c r="F169" s="132">
        <f t="shared" si="22"/>
        <v>0.17735786939760204</v>
      </c>
      <c r="G169" s="215">
        <f t="shared" si="23"/>
        <v>0.23231836446919657</v>
      </c>
      <c r="H169" s="123"/>
    </row>
    <row r="170" spans="1:8" ht="15.75" x14ac:dyDescent="0.25">
      <c r="A170" s="130"/>
      <c r="B170" s="131">
        <f>DATE(2021,2,1)</f>
        <v>44228</v>
      </c>
      <c r="C170" s="204">
        <v>19398778</v>
      </c>
      <c r="D170" s="204">
        <v>4573683.54</v>
      </c>
      <c r="E170" s="204">
        <v>3495544.26</v>
      </c>
      <c r="F170" s="132">
        <f t="shared" si="22"/>
        <v>0.30843244994414698</v>
      </c>
      <c r="G170" s="215">
        <f t="shared" si="23"/>
        <v>0.23577173469380391</v>
      </c>
      <c r="H170" s="123"/>
    </row>
    <row r="171" spans="1:8" ht="15.75" x14ac:dyDescent="0.25">
      <c r="A171" s="130"/>
      <c r="B171" s="131">
        <f>DATE(2021,3,1)</f>
        <v>44256</v>
      </c>
      <c r="C171" s="204">
        <v>22033262</v>
      </c>
      <c r="D171" s="204">
        <v>4732473.0199999996</v>
      </c>
      <c r="E171" s="204">
        <v>2577359.4700000002</v>
      </c>
      <c r="F171" s="132">
        <f t="shared" si="22"/>
        <v>0.83617111818709522</v>
      </c>
      <c r="G171" s="215">
        <f t="shared" si="23"/>
        <v>0.21478767056825265</v>
      </c>
      <c r="H171" s="123"/>
    </row>
    <row r="172" spans="1:8" ht="15.75" x14ac:dyDescent="0.25">
      <c r="A172" s="130"/>
      <c r="B172" s="131">
        <f>DATE(2021,4,1)</f>
        <v>44287</v>
      </c>
      <c r="C172" s="204">
        <v>21031148</v>
      </c>
      <c r="D172" s="204">
        <v>4209870.96</v>
      </c>
      <c r="E172" s="204">
        <v>0</v>
      </c>
      <c r="F172" s="132">
        <v>1</v>
      </c>
      <c r="G172" s="215">
        <f t="shared" si="23"/>
        <v>0.2001731412854876</v>
      </c>
      <c r="H172" s="123"/>
    </row>
    <row r="173" spans="1:8" ht="15.75" x14ac:dyDescent="0.25">
      <c r="A173" s="130"/>
      <c r="B173" s="131">
        <f>DATE(2021,5,1)</f>
        <v>44317</v>
      </c>
      <c r="C173" s="204">
        <v>21205860.5</v>
      </c>
      <c r="D173" s="204">
        <v>4534066.83</v>
      </c>
      <c r="E173" s="204">
        <v>0</v>
      </c>
      <c r="F173" s="132">
        <v>1</v>
      </c>
      <c r="G173" s="215">
        <f t="shared" si="23"/>
        <v>0.21381197098792573</v>
      </c>
      <c r="H173" s="123"/>
    </row>
    <row r="174" spans="1:8" ht="15.75" thickBot="1" x14ac:dyDescent="0.25">
      <c r="A174" s="133"/>
      <c r="B174" s="134"/>
      <c r="C174" s="204"/>
      <c r="D174" s="204"/>
      <c r="E174" s="204"/>
      <c r="F174" s="132"/>
      <c r="G174" s="215"/>
      <c r="H174" s="123"/>
    </row>
    <row r="175" spans="1:8" ht="17.25" thickTop="1" thickBot="1" x14ac:dyDescent="0.3">
      <c r="A175" s="141" t="s">
        <v>14</v>
      </c>
      <c r="B175" s="142"/>
      <c r="C175" s="206">
        <f>SUM(C163:C174)</f>
        <v>209969875.25</v>
      </c>
      <c r="D175" s="207">
        <f>SUM(D163:D174)</f>
        <v>47284141.529999994</v>
      </c>
      <c r="E175" s="206">
        <f>SUM(E163:E174)</f>
        <v>32146442.019999996</v>
      </c>
      <c r="F175" s="143">
        <f>(+D175-E175)/E175</f>
        <v>0.47089813238373435</v>
      </c>
      <c r="G175" s="217">
        <f>D175/C175</f>
        <v>0.22519488318836819</v>
      </c>
      <c r="H175" s="123"/>
    </row>
    <row r="176" spans="1:8" ht="15.75" customHeight="1" thickTop="1" x14ac:dyDescent="0.25">
      <c r="A176" s="130"/>
      <c r="B176" s="134"/>
      <c r="C176" s="204"/>
      <c r="D176" s="204"/>
      <c r="E176" s="204"/>
      <c r="F176" s="132"/>
      <c r="G176" s="218"/>
      <c r="H176" s="123"/>
    </row>
    <row r="177" spans="1:8" ht="15.75" x14ac:dyDescent="0.25">
      <c r="A177" s="130" t="s">
        <v>58</v>
      </c>
      <c r="B177" s="131">
        <f>DATE(2020,7,1)</f>
        <v>44013</v>
      </c>
      <c r="C177" s="204">
        <v>674370</v>
      </c>
      <c r="D177" s="204">
        <v>155770.5</v>
      </c>
      <c r="E177" s="204">
        <v>102948</v>
      </c>
      <c r="F177" s="132">
        <f t="shared" ref="F177:F185" si="24">(+D177-E177)/E177</f>
        <v>0.51309884601934952</v>
      </c>
      <c r="G177" s="215">
        <f t="shared" ref="G177:G187" si="25">D177/C177</f>
        <v>0.23098669869656124</v>
      </c>
      <c r="H177" s="123"/>
    </row>
    <row r="178" spans="1:8" ht="15.75" x14ac:dyDescent="0.25">
      <c r="A178" s="130"/>
      <c r="B178" s="131">
        <f>DATE(2020,8,1)</f>
        <v>44044</v>
      </c>
      <c r="C178" s="204">
        <v>698636</v>
      </c>
      <c r="D178" s="204">
        <v>187855</v>
      </c>
      <c r="E178" s="204">
        <v>208443.5</v>
      </c>
      <c r="F178" s="132">
        <f t="shared" si="24"/>
        <v>-9.8772569065478169E-2</v>
      </c>
      <c r="G178" s="215">
        <f t="shared" si="25"/>
        <v>0.26888823364384312</v>
      </c>
      <c r="H178" s="123"/>
    </row>
    <row r="179" spans="1:8" ht="15.75" x14ac:dyDescent="0.25">
      <c r="A179" s="130"/>
      <c r="B179" s="131">
        <f>DATE(2020,9,1)</f>
        <v>44075</v>
      </c>
      <c r="C179" s="204">
        <v>619816</v>
      </c>
      <c r="D179" s="204">
        <v>175772.5</v>
      </c>
      <c r="E179" s="204">
        <v>206651.5</v>
      </c>
      <c r="F179" s="132">
        <f t="shared" si="24"/>
        <v>-0.14942548203134262</v>
      </c>
      <c r="G179" s="215">
        <f t="shared" si="25"/>
        <v>0.28358819391561368</v>
      </c>
      <c r="H179" s="123"/>
    </row>
    <row r="180" spans="1:8" ht="15.75" x14ac:dyDescent="0.25">
      <c r="A180" s="130"/>
      <c r="B180" s="131">
        <f>DATE(2020,10,1)</f>
        <v>44105</v>
      </c>
      <c r="C180" s="204">
        <v>525356</v>
      </c>
      <c r="D180" s="204">
        <v>128393</v>
      </c>
      <c r="E180" s="204">
        <v>159975</v>
      </c>
      <c r="F180" s="132">
        <f t="shared" si="24"/>
        <v>-0.19741834661665886</v>
      </c>
      <c r="G180" s="215">
        <f t="shared" si="25"/>
        <v>0.2443923739331044</v>
      </c>
      <c r="H180" s="123"/>
    </row>
    <row r="181" spans="1:8" ht="15.75" x14ac:dyDescent="0.25">
      <c r="A181" s="130"/>
      <c r="B181" s="131">
        <f>DATE(2020,11,1)</f>
        <v>44136</v>
      </c>
      <c r="C181" s="204">
        <v>526166</v>
      </c>
      <c r="D181" s="204">
        <v>162751.5</v>
      </c>
      <c r="E181" s="204">
        <v>185433.5</v>
      </c>
      <c r="F181" s="132">
        <f t="shared" si="24"/>
        <v>-0.12231878274421827</v>
      </c>
      <c r="G181" s="215">
        <f t="shared" si="25"/>
        <v>0.30931588129981791</v>
      </c>
      <c r="H181" s="123"/>
    </row>
    <row r="182" spans="1:8" ht="15.75" x14ac:dyDescent="0.25">
      <c r="A182" s="130"/>
      <c r="B182" s="131">
        <f>DATE(2020,12,1)</f>
        <v>44166</v>
      </c>
      <c r="C182" s="204">
        <v>502248</v>
      </c>
      <c r="D182" s="204">
        <v>165476</v>
      </c>
      <c r="E182" s="204">
        <v>198005</v>
      </c>
      <c r="F182" s="132">
        <f t="shared" si="24"/>
        <v>-0.16428373020883311</v>
      </c>
      <c r="G182" s="215">
        <f t="shared" si="25"/>
        <v>0.32947069973399595</v>
      </c>
      <c r="H182" s="123"/>
    </row>
    <row r="183" spans="1:8" ht="15.75" x14ac:dyDescent="0.25">
      <c r="A183" s="130"/>
      <c r="B183" s="131">
        <f>DATE(2021,1,1)</f>
        <v>44197</v>
      </c>
      <c r="C183" s="204">
        <v>482408</v>
      </c>
      <c r="D183" s="204">
        <v>104168.5</v>
      </c>
      <c r="E183" s="204">
        <v>233910.5</v>
      </c>
      <c r="F183" s="132">
        <f t="shared" si="24"/>
        <v>-0.55466513901684622</v>
      </c>
      <c r="G183" s="215">
        <f t="shared" si="25"/>
        <v>0.21593443723984676</v>
      </c>
      <c r="H183" s="123"/>
    </row>
    <row r="184" spans="1:8" ht="15.75" x14ac:dyDescent="0.25">
      <c r="A184" s="130"/>
      <c r="B184" s="131">
        <f>DATE(2021,2,1)</f>
        <v>44228</v>
      </c>
      <c r="C184" s="204">
        <v>393631</v>
      </c>
      <c r="D184" s="204">
        <v>114089.5</v>
      </c>
      <c r="E184" s="204">
        <v>194088.5</v>
      </c>
      <c r="F184" s="132">
        <f t="shared" si="24"/>
        <v>-0.41217794974972755</v>
      </c>
      <c r="G184" s="215">
        <f t="shared" si="25"/>
        <v>0.28983870680916901</v>
      </c>
      <c r="H184" s="123"/>
    </row>
    <row r="185" spans="1:8" ht="15.75" x14ac:dyDescent="0.25">
      <c r="A185" s="130"/>
      <c r="B185" s="131">
        <f>DATE(2021,3,1)</f>
        <v>44256</v>
      </c>
      <c r="C185" s="204">
        <v>572053</v>
      </c>
      <c r="D185" s="204">
        <v>155568.5</v>
      </c>
      <c r="E185" s="204">
        <v>137240.5</v>
      </c>
      <c r="F185" s="132">
        <f t="shared" si="24"/>
        <v>0.13354658428087918</v>
      </c>
      <c r="G185" s="215">
        <f t="shared" si="25"/>
        <v>0.27194770414629416</v>
      </c>
      <c r="H185" s="123"/>
    </row>
    <row r="186" spans="1:8" ht="15.75" x14ac:dyDescent="0.25">
      <c r="A186" s="130"/>
      <c r="B186" s="131">
        <f>DATE(2021,4,1)</f>
        <v>44287</v>
      </c>
      <c r="C186" s="204">
        <v>647775</v>
      </c>
      <c r="D186" s="204">
        <v>131890</v>
      </c>
      <c r="E186" s="204">
        <v>0</v>
      </c>
      <c r="F186" s="132">
        <v>1</v>
      </c>
      <c r="G186" s="215">
        <f t="shared" si="25"/>
        <v>0.20360464667515726</v>
      </c>
      <c r="H186" s="123"/>
    </row>
    <row r="187" spans="1:8" ht="15.75" x14ac:dyDescent="0.25">
      <c r="A187" s="130"/>
      <c r="B187" s="131">
        <f>DATE(2021,5,1)</f>
        <v>44317</v>
      </c>
      <c r="C187" s="204">
        <v>701554</v>
      </c>
      <c r="D187" s="204">
        <v>214656</v>
      </c>
      <c r="E187" s="204">
        <v>0</v>
      </c>
      <c r="F187" s="132">
        <v>1</v>
      </c>
      <c r="G187" s="215">
        <f t="shared" si="25"/>
        <v>0.30597217035324437</v>
      </c>
      <c r="H187" s="123"/>
    </row>
    <row r="188" spans="1:8" ht="15.75" thickBot="1" x14ac:dyDescent="0.25">
      <c r="A188" s="133"/>
      <c r="B188" s="134"/>
      <c r="C188" s="204"/>
      <c r="D188" s="204"/>
      <c r="E188" s="204"/>
      <c r="F188" s="132"/>
      <c r="G188" s="215"/>
      <c r="H188" s="123"/>
    </row>
    <row r="189" spans="1:8" ht="17.25" thickTop="1" thickBot="1" x14ac:dyDescent="0.3">
      <c r="A189" s="135" t="s">
        <v>14</v>
      </c>
      <c r="B189" s="136"/>
      <c r="C189" s="201">
        <f>SUM(C177:C188)</f>
        <v>6344013</v>
      </c>
      <c r="D189" s="207">
        <f>SUM(D177:D188)</f>
        <v>1696391</v>
      </c>
      <c r="E189" s="207">
        <f>SUM(E177:E188)</f>
        <v>1626696</v>
      </c>
      <c r="F189" s="143">
        <f>(+D189-E189)/E189</f>
        <v>4.2844514279250699E-2</v>
      </c>
      <c r="G189" s="217">
        <f>D189/C189</f>
        <v>0.26740030324654129</v>
      </c>
      <c r="H189" s="123"/>
    </row>
    <row r="190" spans="1:8" ht="16.5" thickTop="1" thickBot="1" x14ac:dyDescent="0.25">
      <c r="A190" s="146"/>
      <c r="B190" s="139"/>
      <c r="C190" s="205"/>
      <c r="D190" s="205"/>
      <c r="E190" s="205"/>
      <c r="F190" s="140"/>
      <c r="G190" s="216"/>
      <c r="H190" s="123"/>
    </row>
    <row r="191" spans="1:8" ht="17.25" thickTop="1" thickBot="1" x14ac:dyDescent="0.3">
      <c r="A191" s="147" t="s">
        <v>38</v>
      </c>
      <c r="B191" s="121"/>
      <c r="C191" s="201">
        <f>C189+C175+C133+C105+C77+C49+C21+C63+C161+C35+C119+C147+C91</f>
        <v>962556610.04999995</v>
      </c>
      <c r="D191" s="201">
        <f>D189+D175+D133+D105+D77+D49+D21+D63+D161+D35+D119+D147+D91</f>
        <v>204164771.10999998</v>
      </c>
      <c r="E191" s="201">
        <f>E189+E175+E133+E105+E77+E49+E21+E63+E161+E35+E119+E147+E91</f>
        <v>182315759.38999999</v>
      </c>
      <c r="F191" s="137">
        <f>(+D191-E191)/E191</f>
        <v>0.11984159676104454</v>
      </c>
      <c r="G191" s="212">
        <f>D191/C191</f>
        <v>0.21210676751717975</v>
      </c>
      <c r="H191" s="123"/>
    </row>
    <row r="192" spans="1:8" ht="17.25" thickTop="1" thickBot="1" x14ac:dyDescent="0.3">
      <c r="A192" s="147"/>
      <c r="B192" s="121"/>
      <c r="C192" s="201"/>
      <c r="D192" s="201"/>
      <c r="E192" s="201"/>
      <c r="F192" s="137"/>
      <c r="G192" s="212"/>
      <c r="H192" s="123"/>
    </row>
    <row r="193" spans="1:8" ht="17.25" thickTop="1" thickBot="1" x14ac:dyDescent="0.3">
      <c r="A193" s="265" t="s">
        <v>39</v>
      </c>
      <c r="B193" s="266"/>
      <c r="C193" s="206">
        <f>SUM(C19+C33+C47+C61+C75+C89+C103+C117+C131+C145+C159+C173+C187)</f>
        <v>103026260.5</v>
      </c>
      <c r="D193" s="206">
        <f>SUM(D19+D33+D47+D61+D75+D89+D103+D117+D131+D145+D159+D173+D187)</f>
        <v>21707248.359999999</v>
      </c>
      <c r="E193" s="206">
        <f>SUM(E19+E33+E47+E61+E75+E89+E103+E117+E131+E145+E159+E173+E187)</f>
        <v>0</v>
      </c>
      <c r="F193" s="143">
        <v>1</v>
      </c>
      <c r="G193" s="217">
        <f>D193/C193</f>
        <v>0.2106962657350841</v>
      </c>
      <c r="H193" s="123"/>
    </row>
    <row r="194" spans="1:8" ht="16.5" thickTop="1" x14ac:dyDescent="0.25">
      <c r="A194" s="256"/>
      <c r="B194" s="258"/>
      <c r="C194" s="259"/>
      <c r="D194" s="259"/>
      <c r="E194" s="259"/>
      <c r="F194" s="260"/>
      <c r="G194" s="257"/>
      <c r="H194" s="257"/>
    </row>
    <row r="195" spans="1:8" ht="15.75" x14ac:dyDescent="0.25">
      <c r="A195" s="289" t="s">
        <v>73</v>
      </c>
      <c r="B195" s="258"/>
      <c r="C195" s="259"/>
      <c r="D195" s="259"/>
      <c r="E195" s="259"/>
      <c r="F195" s="260"/>
      <c r="G195" s="257"/>
      <c r="H195" s="257"/>
    </row>
    <row r="196" spans="1:8" ht="18.75" x14ac:dyDescent="0.3">
      <c r="A196" s="263" t="s">
        <v>40</v>
      </c>
      <c r="B196" s="117"/>
      <c r="C196" s="208"/>
      <c r="D196" s="208"/>
      <c r="E196" s="208"/>
      <c r="F196" s="148"/>
      <c r="G196" s="220"/>
    </row>
    <row r="197" spans="1:8" ht="15.75" x14ac:dyDescent="0.25">
      <c r="A197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4" manualBreakCount="4">
    <brk id="49" max="7" man="1"/>
    <brk id="91" max="7" man="1"/>
    <brk id="133" max="7" man="1"/>
    <brk id="1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72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69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70</v>
      </c>
      <c r="E8" s="224" t="s">
        <v>70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DATE(20,7,1)</f>
        <v>7488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DATE(20,8,1)</f>
        <v>7519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x14ac:dyDescent="0.25">
      <c r="A12" s="164"/>
      <c r="B12" s="165">
        <f>DATE(20,9,1)</f>
        <v>7550</v>
      </c>
      <c r="C12" s="226">
        <v>0</v>
      </c>
      <c r="D12" s="226">
        <v>0</v>
      </c>
      <c r="E12" s="226">
        <v>0</v>
      </c>
      <c r="F12" s="166">
        <v>0</v>
      </c>
      <c r="G12" s="241">
        <v>0</v>
      </c>
      <c r="H12" s="242">
        <v>0</v>
      </c>
    </row>
    <row r="13" spans="1:8" ht="15.75" x14ac:dyDescent="0.25">
      <c r="A13" s="164"/>
      <c r="B13" s="165">
        <f>DATE(20,10,1)</f>
        <v>7580</v>
      </c>
      <c r="C13" s="226">
        <v>0</v>
      </c>
      <c r="D13" s="226">
        <v>0</v>
      </c>
      <c r="E13" s="226">
        <v>0</v>
      </c>
      <c r="F13" s="166">
        <v>0</v>
      </c>
      <c r="G13" s="241">
        <v>0</v>
      </c>
      <c r="H13" s="242">
        <v>0</v>
      </c>
    </row>
    <row r="14" spans="1:8" ht="15.75" x14ac:dyDescent="0.25">
      <c r="A14" s="164"/>
      <c r="B14" s="165">
        <f>DATE(20,11,1)</f>
        <v>7611</v>
      </c>
      <c r="C14" s="226">
        <v>0</v>
      </c>
      <c r="D14" s="226">
        <v>0</v>
      </c>
      <c r="E14" s="226">
        <v>0</v>
      </c>
      <c r="F14" s="166">
        <v>0</v>
      </c>
      <c r="G14" s="241">
        <v>0</v>
      </c>
      <c r="H14" s="242">
        <v>0</v>
      </c>
    </row>
    <row r="15" spans="1:8" ht="15.75" x14ac:dyDescent="0.25">
      <c r="A15" s="164"/>
      <c r="B15" s="165">
        <f>DATE(20,12,1)</f>
        <v>7641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x14ac:dyDescent="0.25">
      <c r="A16" s="164"/>
      <c r="B16" s="165">
        <f>DATE(21,1,1)</f>
        <v>7672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x14ac:dyDescent="0.25">
      <c r="A17" s="164"/>
      <c r="B17" s="165">
        <f>DATE(21,2,1)</f>
        <v>7703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 x14ac:dyDescent="0.25">
      <c r="A18" s="164"/>
      <c r="B18" s="165">
        <f>DATE(21,3,1)</f>
        <v>7731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x14ac:dyDescent="0.25">
      <c r="A19" s="164"/>
      <c r="B19" s="165">
        <f>DATE(21,4,1)</f>
        <v>7762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 x14ac:dyDescent="0.25">
      <c r="A20" s="164"/>
      <c r="B20" s="165">
        <f>DATE(21,5,1)</f>
        <v>7792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thickBot="1" x14ac:dyDescent="0.25">
      <c r="A21" s="167"/>
      <c r="B21" s="168"/>
      <c r="C21" s="226"/>
      <c r="D21" s="226"/>
      <c r="E21" s="226"/>
      <c r="F21" s="166"/>
      <c r="G21" s="241"/>
      <c r="H21" s="242"/>
    </row>
    <row r="22" spans="1:8" ht="17.25" thickTop="1" thickBot="1" x14ac:dyDescent="0.3">
      <c r="A22" s="169" t="s">
        <v>14</v>
      </c>
      <c r="B22" s="155"/>
      <c r="C22" s="223">
        <f>SUM(C10:C21)</f>
        <v>0</v>
      </c>
      <c r="D22" s="223">
        <f>SUM(D10:D21)</f>
        <v>0</v>
      </c>
      <c r="E22" s="223">
        <f>SUM(E10:E21)</f>
        <v>0</v>
      </c>
      <c r="F22" s="170">
        <v>0</v>
      </c>
      <c r="G22" s="236">
        <v>0</v>
      </c>
      <c r="H22" s="237">
        <v>0</v>
      </c>
    </row>
    <row r="23" spans="1:8" ht="15.75" thickTop="1" x14ac:dyDescent="0.2">
      <c r="A23" s="171"/>
      <c r="B23" s="172"/>
      <c r="C23" s="227"/>
      <c r="D23" s="227"/>
      <c r="E23" s="227"/>
      <c r="F23" s="173"/>
      <c r="G23" s="243"/>
      <c r="H23" s="244"/>
    </row>
    <row r="24" spans="1:8" ht="15.75" x14ac:dyDescent="0.25">
      <c r="A24" s="19" t="s">
        <v>48</v>
      </c>
      <c r="B24" s="165">
        <f>DATE(20,7,1)</f>
        <v>7488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 x14ac:dyDescent="0.25">
      <c r="A25" s="19"/>
      <c r="B25" s="165">
        <f>DATE(20,8,1)</f>
        <v>7519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9"/>
      <c r="B26" s="165">
        <f>DATE(20,9,1)</f>
        <v>7550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x14ac:dyDescent="0.25">
      <c r="A27" s="19"/>
      <c r="B27" s="165">
        <f>DATE(20,10,1)</f>
        <v>7580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x14ac:dyDescent="0.25">
      <c r="A28" s="19"/>
      <c r="B28" s="165">
        <f>DATE(20,11,1)</f>
        <v>7611</v>
      </c>
      <c r="C28" s="226">
        <v>0</v>
      </c>
      <c r="D28" s="226">
        <v>0</v>
      </c>
      <c r="E28" s="226">
        <v>0</v>
      </c>
      <c r="F28" s="166">
        <v>0</v>
      </c>
      <c r="G28" s="241">
        <v>0</v>
      </c>
      <c r="H28" s="242">
        <v>0</v>
      </c>
    </row>
    <row r="29" spans="1:8" ht="15.75" x14ac:dyDescent="0.25">
      <c r="A29" s="19"/>
      <c r="B29" s="165">
        <f>DATE(20,12,1)</f>
        <v>7641</v>
      </c>
      <c r="C29" s="226">
        <v>0</v>
      </c>
      <c r="D29" s="226">
        <v>0</v>
      </c>
      <c r="E29" s="226">
        <v>0</v>
      </c>
      <c r="F29" s="166">
        <v>0</v>
      </c>
      <c r="G29" s="241">
        <v>0</v>
      </c>
      <c r="H29" s="242">
        <v>0</v>
      </c>
    </row>
    <row r="30" spans="1:8" ht="15.75" x14ac:dyDescent="0.25">
      <c r="A30" s="19"/>
      <c r="B30" s="165">
        <f>DATE(21,1,1)</f>
        <v>7672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9"/>
      <c r="B31" s="165">
        <f>DATE(21,2,1)</f>
        <v>7703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x14ac:dyDescent="0.25">
      <c r="A32" s="19"/>
      <c r="B32" s="165">
        <f>DATE(21,3,1)</f>
        <v>7731</v>
      </c>
      <c r="C32" s="226">
        <v>0</v>
      </c>
      <c r="D32" s="226">
        <v>0</v>
      </c>
      <c r="E32" s="226">
        <v>0</v>
      </c>
      <c r="F32" s="166">
        <v>0</v>
      </c>
      <c r="G32" s="241">
        <v>0</v>
      </c>
      <c r="H32" s="242">
        <v>0</v>
      </c>
    </row>
    <row r="33" spans="1:8" ht="15.75" x14ac:dyDescent="0.25">
      <c r="A33" s="19"/>
      <c r="B33" s="165">
        <f>DATE(21,4,1)</f>
        <v>7762</v>
      </c>
      <c r="C33" s="226">
        <v>0</v>
      </c>
      <c r="D33" s="226">
        <v>0</v>
      </c>
      <c r="E33" s="226">
        <v>0</v>
      </c>
      <c r="F33" s="166">
        <v>0</v>
      </c>
      <c r="G33" s="241">
        <v>0</v>
      </c>
      <c r="H33" s="242">
        <v>0</v>
      </c>
    </row>
    <row r="34" spans="1:8" ht="15.75" x14ac:dyDescent="0.25">
      <c r="A34" s="19"/>
      <c r="B34" s="165">
        <f>DATE(21,5,1)</f>
        <v>7792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thickBot="1" x14ac:dyDescent="0.25">
      <c r="A35" s="167"/>
      <c r="B35" s="165"/>
      <c r="C35" s="226"/>
      <c r="D35" s="226"/>
      <c r="E35" s="226"/>
      <c r="F35" s="166"/>
      <c r="G35" s="241"/>
      <c r="H35" s="242"/>
    </row>
    <row r="36" spans="1:8" ht="17.25" thickTop="1" thickBot="1" x14ac:dyDescent="0.3">
      <c r="A36" s="169" t="s">
        <v>14</v>
      </c>
      <c r="B36" s="155"/>
      <c r="C36" s="223">
        <f>SUM(C24:C35)</f>
        <v>0</v>
      </c>
      <c r="D36" s="223">
        <f>SUM(D24:D35)</f>
        <v>0</v>
      </c>
      <c r="E36" s="223">
        <f>SUM(E24:E35)</f>
        <v>0</v>
      </c>
      <c r="F36" s="170">
        <v>0</v>
      </c>
      <c r="G36" s="236">
        <v>0</v>
      </c>
      <c r="H36" s="237">
        <v>0</v>
      </c>
    </row>
    <row r="37" spans="1:8" ht="15.75" thickTop="1" x14ac:dyDescent="0.2">
      <c r="A37" s="171"/>
      <c r="B37" s="172"/>
      <c r="C37" s="227"/>
      <c r="D37" s="227"/>
      <c r="E37" s="227"/>
      <c r="F37" s="173"/>
      <c r="G37" s="243"/>
      <c r="H37" s="244"/>
    </row>
    <row r="38" spans="1:8" ht="15.75" x14ac:dyDescent="0.25">
      <c r="A38" s="19" t="s">
        <v>65</v>
      </c>
      <c r="B38" s="165">
        <f>DATE(20,7,1)</f>
        <v>7488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x14ac:dyDescent="0.25">
      <c r="A39" s="19"/>
      <c r="B39" s="165">
        <f>DATE(20,8,1)</f>
        <v>7519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 x14ac:dyDescent="0.25">
      <c r="A40" s="19"/>
      <c r="B40" s="165">
        <f>DATE(20,9,1)</f>
        <v>7550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9"/>
      <c r="B41" s="165">
        <f>DATE(20,10,1)</f>
        <v>7580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x14ac:dyDescent="0.25">
      <c r="A42" s="19"/>
      <c r="B42" s="165">
        <f>DATE(20,11,1)</f>
        <v>7611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.75" x14ac:dyDescent="0.25">
      <c r="A43" s="19"/>
      <c r="B43" s="165">
        <f>DATE(20,12,1)</f>
        <v>7641</v>
      </c>
      <c r="C43" s="226">
        <v>0</v>
      </c>
      <c r="D43" s="226">
        <v>0</v>
      </c>
      <c r="E43" s="226">
        <v>0</v>
      </c>
      <c r="F43" s="166">
        <v>0</v>
      </c>
      <c r="G43" s="241">
        <v>0</v>
      </c>
      <c r="H43" s="242">
        <v>0</v>
      </c>
    </row>
    <row r="44" spans="1:8" ht="15.75" x14ac:dyDescent="0.25">
      <c r="A44" s="19"/>
      <c r="B44" s="165">
        <f>DATE(21,1,1)</f>
        <v>7672</v>
      </c>
      <c r="C44" s="226">
        <v>0</v>
      </c>
      <c r="D44" s="226">
        <v>0</v>
      </c>
      <c r="E44" s="226">
        <v>0</v>
      </c>
      <c r="F44" s="166">
        <v>0</v>
      </c>
      <c r="G44" s="241">
        <v>0</v>
      </c>
      <c r="H44" s="242">
        <v>0</v>
      </c>
    </row>
    <row r="45" spans="1:8" ht="15.75" x14ac:dyDescent="0.25">
      <c r="A45" s="19"/>
      <c r="B45" s="165">
        <f>DATE(21,2,1)</f>
        <v>7703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9"/>
      <c r="B46" s="165">
        <f>DATE(21,3,1)</f>
        <v>7731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x14ac:dyDescent="0.25">
      <c r="A47" s="19"/>
      <c r="B47" s="165">
        <f>DATE(21,4,1)</f>
        <v>7762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 x14ac:dyDescent="0.25">
      <c r="A48" s="19"/>
      <c r="B48" s="165">
        <f>DATE(21,5,1)</f>
        <v>7792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thickBot="1" x14ac:dyDescent="0.25">
      <c r="A49" s="167"/>
      <c r="B49" s="165"/>
      <c r="C49" s="226"/>
      <c r="D49" s="226"/>
      <c r="E49" s="226"/>
      <c r="F49" s="166"/>
      <c r="G49" s="241"/>
      <c r="H49" s="242"/>
    </row>
    <row r="50" spans="1:8" ht="17.25" thickTop="1" thickBot="1" x14ac:dyDescent="0.3">
      <c r="A50" s="174" t="s">
        <v>14</v>
      </c>
      <c r="B50" s="175"/>
      <c r="C50" s="228">
        <f>SUM(C38:C49)</f>
        <v>0</v>
      </c>
      <c r="D50" s="228">
        <f>SUM(D38:D49)</f>
        <v>0</v>
      </c>
      <c r="E50" s="228">
        <f>SUM(E38:E49)</f>
        <v>0</v>
      </c>
      <c r="F50" s="176">
        <v>0</v>
      </c>
      <c r="G50" s="245">
        <v>0</v>
      </c>
      <c r="H50" s="246">
        <v>0</v>
      </c>
    </row>
    <row r="51" spans="1:8" ht="15.75" thickTop="1" x14ac:dyDescent="0.2">
      <c r="A51" s="167"/>
      <c r="B51" s="168"/>
      <c r="C51" s="226"/>
      <c r="D51" s="226"/>
      <c r="E51" s="226"/>
      <c r="F51" s="166"/>
      <c r="G51" s="241"/>
      <c r="H51" s="242"/>
    </row>
    <row r="52" spans="1:8" ht="15.75" x14ac:dyDescent="0.25">
      <c r="A52" s="177" t="s">
        <v>59</v>
      </c>
      <c r="B52" s="165">
        <f>DATE(20,7,1)</f>
        <v>7488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 x14ac:dyDescent="0.25">
      <c r="A53" s="177"/>
      <c r="B53" s="165">
        <f>DATE(20,8,1)</f>
        <v>7519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 x14ac:dyDescent="0.25">
      <c r="A54" s="177"/>
      <c r="B54" s="165">
        <f>DATE(20,9,1)</f>
        <v>7550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 x14ac:dyDescent="0.25">
      <c r="A55" s="177"/>
      <c r="B55" s="165">
        <f>DATE(20,10,1)</f>
        <v>7580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77"/>
      <c r="B56" s="165">
        <f>DATE(20,11,1)</f>
        <v>7611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x14ac:dyDescent="0.25">
      <c r="A57" s="177"/>
      <c r="B57" s="165">
        <f>DATE(20,12,1)</f>
        <v>7641</v>
      </c>
      <c r="C57" s="226">
        <v>0</v>
      </c>
      <c r="D57" s="226">
        <v>0</v>
      </c>
      <c r="E57" s="226">
        <v>0</v>
      </c>
      <c r="F57" s="166">
        <v>0</v>
      </c>
      <c r="G57" s="241">
        <v>0</v>
      </c>
      <c r="H57" s="242">
        <v>0</v>
      </c>
    </row>
    <row r="58" spans="1:8" ht="15.75" x14ac:dyDescent="0.25">
      <c r="A58" s="177"/>
      <c r="B58" s="165">
        <f>DATE(21,1,1)</f>
        <v>7672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x14ac:dyDescent="0.25">
      <c r="A59" s="177"/>
      <c r="B59" s="165">
        <f>DATE(21,2,1)</f>
        <v>7703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 x14ac:dyDescent="0.25">
      <c r="A60" s="177"/>
      <c r="B60" s="165">
        <f>DATE(21,3,1)</f>
        <v>7731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77"/>
      <c r="B61" s="165">
        <f>DATE(21,4,1)</f>
        <v>7762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x14ac:dyDescent="0.25">
      <c r="A62" s="177"/>
      <c r="B62" s="165">
        <f>DATE(21,5,1)</f>
        <v>7792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thickBot="1" x14ac:dyDescent="0.25">
      <c r="A63" s="167"/>
      <c r="B63" s="168"/>
      <c r="C63" s="226"/>
      <c r="D63" s="226"/>
      <c r="E63" s="226"/>
      <c r="F63" s="166"/>
      <c r="G63" s="241"/>
      <c r="H63" s="242"/>
    </row>
    <row r="64" spans="1:8" ht="17.25" thickTop="1" thickBot="1" x14ac:dyDescent="0.3">
      <c r="A64" s="174" t="s">
        <v>14</v>
      </c>
      <c r="B64" s="178"/>
      <c r="C64" s="228">
        <f>SUM(C52:C63)</f>
        <v>0</v>
      </c>
      <c r="D64" s="228">
        <f>SUM(D52:D63)</f>
        <v>0</v>
      </c>
      <c r="E64" s="228">
        <f>SUM(E52:E63)</f>
        <v>0</v>
      </c>
      <c r="F64" s="176">
        <v>0</v>
      </c>
      <c r="G64" s="245">
        <v>0</v>
      </c>
      <c r="H64" s="246">
        <v>0</v>
      </c>
    </row>
    <row r="65" spans="1:8" ht="15.75" thickTop="1" x14ac:dyDescent="0.2">
      <c r="A65" s="167"/>
      <c r="B65" s="168"/>
      <c r="C65" s="226"/>
      <c r="D65" s="226"/>
      <c r="E65" s="226"/>
      <c r="F65" s="166"/>
      <c r="G65" s="241"/>
      <c r="H65" s="242"/>
    </row>
    <row r="66" spans="1:8" ht="15.75" x14ac:dyDescent="0.25">
      <c r="A66" s="164" t="s">
        <v>63</v>
      </c>
      <c r="B66" s="165">
        <f>DATE(20,7,1)</f>
        <v>7488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 x14ac:dyDescent="0.25">
      <c r="A67" s="164"/>
      <c r="B67" s="165">
        <f>DATE(20,8,1)</f>
        <v>7519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 x14ac:dyDescent="0.25">
      <c r="A68" s="164"/>
      <c r="B68" s="165">
        <f>DATE(20,9,1)</f>
        <v>7550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 x14ac:dyDescent="0.25">
      <c r="A69" s="164"/>
      <c r="B69" s="165">
        <f>DATE(20,10,1)</f>
        <v>7580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5.75" x14ac:dyDescent="0.25">
      <c r="A70" s="164"/>
      <c r="B70" s="165">
        <f>DATE(20,11,1)</f>
        <v>7611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DATE(20,12,1)</f>
        <v>7641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x14ac:dyDescent="0.25">
      <c r="A72" s="164"/>
      <c r="B72" s="165">
        <f>DATE(21,1,1)</f>
        <v>7672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.75" x14ac:dyDescent="0.25">
      <c r="A73" s="164"/>
      <c r="B73" s="165">
        <f>DATE(21,2,1)</f>
        <v>7703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 x14ac:dyDescent="0.25">
      <c r="A74" s="164"/>
      <c r="B74" s="165">
        <f>DATE(21,3,1)</f>
        <v>7731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 x14ac:dyDescent="0.25">
      <c r="A75" s="164"/>
      <c r="B75" s="165">
        <f>DATE(21,4,1)</f>
        <v>7762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 x14ac:dyDescent="0.25">
      <c r="A76" s="164"/>
      <c r="B76" s="165">
        <f>DATE(21,5,1)</f>
        <v>7792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thickBot="1" x14ac:dyDescent="0.25">
      <c r="A77" s="167"/>
      <c r="B77" s="165"/>
      <c r="C77" s="226"/>
      <c r="D77" s="226"/>
      <c r="E77" s="226"/>
      <c r="F77" s="166"/>
      <c r="G77" s="241"/>
      <c r="H77" s="242"/>
    </row>
    <row r="78" spans="1:8" ht="17.25" thickTop="1" thickBot="1" x14ac:dyDescent="0.3">
      <c r="A78" s="174" t="s">
        <v>14</v>
      </c>
      <c r="B78" s="175"/>
      <c r="C78" s="228">
        <f>SUM(C66:C77)</f>
        <v>0</v>
      </c>
      <c r="D78" s="230">
        <f>SUM(D66:D77)</f>
        <v>0</v>
      </c>
      <c r="E78" s="271">
        <f>SUM(E66:E77)</f>
        <v>0</v>
      </c>
      <c r="F78" s="176">
        <v>0</v>
      </c>
      <c r="G78" s="245">
        <v>0</v>
      </c>
      <c r="H78" s="246">
        <v>0</v>
      </c>
    </row>
    <row r="79" spans="1:8" ht="15.75" thickTop="1" x14ac:dyDescent="0.2">
      <c r="A79" s="167"/>
      <c r="B79" s="168"/>
      <c r="C79" s="226"/>
      <c r="D79" s="226"/>
      <c r="E79" s="226"/>
      <c r="F79" s="166"/>
      <c r="G79" s="241"/>
      <c r="H79" s="242"/>
    </row>
    <row r="80" spans="1:8" ht="15.75" x14ac:dyDescent="0.25">
      <c r="A80" s="164" t="s">
        <v>68</v>
      </c>
      <c r="B80" s="165">
        <f>DATE(20,7,1)</f>
        <v>7488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 x14ac:dyDescent="0.25">
      <c r="A81" s="164"/>
      <c r="B81" s="165">
        <f>DATE(20,8,1)</f>
        <v>7519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 x14ac:dyDescent="0.25">
      <c r="A82" s="164"/>
      <c r="B82" s="165">
        <f>DATE(20,9,1)</f>
        <v>7550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 x14ac:dyDescent="0.25">
      <c r="A83" s="164"/>
      <c r="B83" s="165">
        <f>DATE(20,10,1)</f>
        <v>7580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x14ac:dyDescent="0.25">
      <c r="A84" s="164"/>
      <c r="B84" s="165">
        <f>DATE(20,11,1)</f>
        <v>7611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.75" x14ac:dyDescent="0.25">
      <c r="A85" s="164"/>
      <c r="B85" s="165">
        <f>DATE(20,12,1)</f>
        <v>7641</v>
      </c>
      <c r="C85" s="226">
        <v>0</v>
      </c>
      <c r="D85" s="226">
        <v>0</v>
      </c>
      <c r="E85" s="226">
        <v>0</v>
      </c>
      <c r="F85" s="166">
        <v>0</v>
      </c>
      <c r="G85" s="241">
        <v>0</v>
      </c>
      <c r="H85" s="242">
        <v>0</v>
      </c>
    </row>
    <row r="86" spans="1:8" ht="15.75" x14ac:dyDescent="0.25">
      <c r="A86" s="164"/>
      <c r="B86" s="165">
        <f>DATE(21,1,1)</f>
        <v>7672</v>
      </c>
      <c r="C86" s="226">
        <v>0</v>
      </c>
      <c r="D86" s="226">
        <v>0</v>
      </c>
      <c r="E86" s="226">
        <v>0</v>
      </c>
      <c r="F86" s="166">
        <v>0</v>
      </c>
      <c r="G86" s="241">
        <v>0</v>
      </c>
      <c r="H86" s="242">
        <v>0</v>
      </c>
    </row>
    <row r="87" spans="1:8" ht="15.75" x14ac:dyDescent="0.25">
      <c r="A87" s="164"/>
      <c r="B87" s="165">
        <f>DATE(21,2,1)</f>
        <v>7703</v>
      </c>
      <c r="C87" s="226">
        <v>0</v>
      </c>
      <c r="D87" s="226">
        <v>0</v>
      </c>
      <c r="E87" s="226">
        <v>0</v>
      </c>
      <c r="F87" s="166">
        <v>0</v>
      </c>
      <c r="G87" s="241">
        <v>0</v>
      </c>
      <c r="H87" s="242">
        <v>0</v>
      </c>
    </row>
    <row r="88" spans="1:8" ht="15.75" x14ac:dyDescent="0.25">
      <c r="A88" s="164"/>
      <c r="B88" s="165">
        <f>DATE(21,3,1)</f>
        <v>7731</v>
      </c>
      <c r="C88" s="226">
        <v>0</v>
      </c>
      <c r="D88" s="226">
        <v>0</v>
      </c>
      <c r="E88" s="226">
        <v>0</v>
      </c>
      <c r="F88" s="166">
        <v>0</v>
      </c>
      <c r="G88" s="241">
        <v>0</v>
      </c>
      <c r="H88" s="242">
        <v>0</v>
      </c>
    </row>
    <row r="89" spans="1:8" ht="15.75" x14ac:dyDescent="0.25">
      <c r="A89" s="164"/>
      <c r="B89" s="165">
        <f>DATE(21,4,1)</f>
        <v>7762</v>
      </c>
      <c r="C89" s="226">
        <v>0</v>
      </c>
      <c r="D89" s="226">
        <v>0</v>
      </c>
      <c r="E89" s="226">
        <v>0</v>
      </c>
      <c r="F89" s="166">
        <v>0</v>
      </c>
      <c r="G89" s="241">
        <v>0</v>
      </c>
      <c r="H89" s="242">
        <v>0</v>
      </c>
    </row>
    <row r="90" spans="1:8" ht="15.75" x14ac:dyDescent="0.25">
      <c r="A90" s="164"/>
      <c r="B90" s="165">
        <f>DATE(21,5,1)</f>
        <v>7792</v>
      </c>
      <c r="C90" s="226">
        <v>0</v>
      </c>
      <c r="D90" s="226">
        <v>0</v>
      </c>
      <c r="E90" s="226">
        <v>0</v>
      </c>
      <c r="F90" s="166">
        <v>0</v>
      </c>
      <c r="G90" s="241">
        <v>0</v>
      </c>
      <c r="H90" s="242">
        <v>0</v>
      </c>
    </row>
    <row r="91" spans="1:8" ht="15.75" thickBot="1" x14ac:dyDescent="0.25">
      <c r="A91" s="167"/>
      <c r="B91" s="165"/>
      <c r="C91" s="226"/>
      <c r="D91" s="226"/>
      <c r="E91" s="226"/>
      <c r="F91" s="166"/>
      <c r="G91" s="241"/>
      <c r="H91" s="242"/>
    </row>
    <row r="92" spans="1:8" ht="17.25" thickTop="1" thickBot="1" x14ac:dyDescent="0.3">
      <c r="A92" s="174" t="s">
        <v>14</v>
      </c>
      <c r="B92" s="175"/>
      <c r="C92" s="228">
        <f>SUM(C80:C91)</f>
        <v>0</v>
      </c>
      <c r="D92" s="230">
        <f>SUM(D80:D91)</f>
        <v>0</v>
      </c>
      <c r="E92" s="271">
        <f>SUM(E80:E91)</f>
        <v>0</v>
      </c>
      <c r="F92" s="176">
        <v>0</v>
      </c>
      <c r="G92" s="245">
        <v>0</v>
      </c>
      <c r="H92" s="246">
        <v>0</v>
      </c>
    </row>
    <row r="93" spans="1:8" ht="15.75" thickTop="1" x14ac:dyDescent="0.2">
      <c r="A93" s="167"/>
      <c r="B93" s="168"/>
      <c r="C93" s="226"/>
      <c r="D93" s="226"/>
      <c r="E93" s="226"/>
      <c r="F93" s="166"/>
      <c r="G93" s="241"/>
      <c r="H93" s="242"/>
    </row>
    <row r="94" spans="1:8" ht="15.75" x14ac:dyDescent="0.25">
      <c r="A94" s="164" t="s">
        <v>66</v>
      </c>
      <c r="B94" s="165">
        <f>DATE(20,7,1)</f>
        <v>7488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 x14ac:dyDescent="0.25">
      <c r="A95" s="164"/>
      <c r="B95" s="165">
        <f>DATE(20,8,1)</f>
        <v>7519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 x14ac:dyDescent="0.25">
      <c r="A96" s="164"/>
      <c r="B96" s="165">
        <f>DATE(20,9,1)</f>
        <v>7550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 x14ac:dyDescent="0.25">
      <c r="A97" s="164"/>
      <c r="B97" s="165">
        <f>DATE(20,10,1)</f>
        <v>7580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.75" x14ac:dyDescent="0.25">
      <c r="A98" s="164"/>
      <c r="B98" s="165">
        <f>DATE(20,11,1)</f>
        <v>7611</v>
      </c>
      <c r="C98" s="226">
        <v>0</v>
      </c>
      <c r="D98" s="226">
        <v>0</v>
      </c>
      <c r="E98" s="226">
        <v>0</v>
      </c>
      <c r="F98" s="166">
        <v>0</v>
      </c>
      <c r="G98" s="241">
        <v>0</v>
      </c>
      <c r="H98" s="242">
        <v>0</v>
      </c>
    </row>
    <row r="99" spans="1:8" ht="15.75" x14ac:dyDescent="0.25">
      <c r="A99" s="164"/>
      <c r="B99" s="165">
        <f>DATE(20,12,1)</f>
        <v>7641</v>
      </c>
      <c r="C99" s="226">
        <v>0</v>
      </c>
      <c r="D99" s="226">
        <v>0</v>
      </c>
      <c r="E99" s="226">
        <v>0</v>
      </c>
      <c r="F99" s="166">
        <v>0</v>
      </c>
      <c r="G99" s="241">
        <v>0</v>
      </c>
      <c r="H99" s="242">
        <v>0</v>
      </c>
    </row>
    <row r="100" spans="1:8" ht="15.75" x14ac:dyDescent="0.25">
      <c r="A100" s="164"/>
      <c r="B100" s="165">
        <f>DATE(21,1,1)</f>
        <v>7672</v>
      </c>
      <c r="C100" s="226">
        <v>0</v>
      </c>
      <c r="D100" s="226">
        <v>0</v>
      </c>
      <c r="E100" s="226">
        <v>0</v>
      </c>
      <c r="F100" s="166">
        <v>0</v>
      </c>
      <c r="G100" s="241">
        <v>0</v>
      </c>
      <c r="H100" s="242">
        <v>0</v>
      </c>
    </row>
    <row r="101" spans="1:8" ht="15.75" x14ac:dyDescent="0.25">
      <c r="A101" s="164"/>
      <c r="B101" s="165">
        <f>DATE(21,2,1)</f>
        <v>7703</v>
      </c>
      <c r="C101" s="226">
        <v>0</v>
      </c>
      <c r="D101" s="226">
        <v>0</v>
      </c>
      <c r="E101" s="226">
        <v>0</v>
      </c>
      <c r="F101" s="166">
        <v>0</v>
      </c>
      <c r="G101" s="241">
        <v>0</v>
      </c>
      <c r="H101" s="242">
        <v>0</v>
      </c>
    </row>
    <row r="102" spans="1:8" ht="15.75" x14ac:dyDescent="0.25">
      <c r="A102" s="164"/>
      <c r="B102" s="165">
        <f>DATE(21,3,1)</f>
        <v>7731</v>
      </c>
      <c r="C102" s="226">
        <v>0</v>
      </c>
      <c r="D102" s="226">
        <v>0</v>
      </c>
      <c r="E102" s="226">
        <v>0</v>
      </c>
      <c r="F102" s="166">
        <v>0</v>
      </c>
      <c r="G102" s="241">
        <v>0</v>
      </c>
      <c r="H102" s="242">
        <v>0</v>
      </c>
    </row>
    <row r="103" spans="1:8" ht="15.75" x14ac:dyDescent="0.25">
      <c r="A103" s="164"/>
      <c r="B103" s="165">
        <f>DATE(21,4,1)</f>
        <v>7762</v>
      </c>
      <c r="C103" s="226">
        <v>0</v>
      </c>
      <c r="D103" s="226">
        <v>0</v>
      </c>
      <c r="E103" s="226">
        <v>0</v>
      </c>
      <c r="F103" s="166">
        <v>0</v>
      </c>
      <c r="G103" s="241">
        <v>0</v>
      </c>
      <c r="H103" s="242">
        <v>0</v>
      </c>
    </row>
    <row r="104" spans="1:8" ht="15.75" x14ac:dyDescent="0.25">
      <c r="A104" s="164"/>
      <c r="B104" s="165">
        <f>DATE(21,5,1)</f>
        <v>7792</v>
      </c>
      <c r="C104" s="226">
        <v>0</v>
      </c>
      <c r="D104" s="226">
        <v>0</v>
      </c>
      <c r="E104" s="226">
        <v>0</v>
      </c>
      <c r="F104" s="166">
        <v>0</v>
      </c>
      <c r="G104" s="241">
        <v>0</v>
      </c>
      <c r="H104" s="242">
        <v>0</v>
      </c>
    </row>
    <row r="105" spans="1:8" ht="15.75" thickBot="1" x14ac:dyDescent="0.25">
      <c r="A105" s="167"/>
      <c r="B105" s="165"/>
      <c r="C105" s="226"/>
      <c r="D105" s="226"/>
      <c r="E105" s="226"/>
      <c r="F105" s="166"/>
      <c r="G105" s="241"/>
      <c r="H105" s="242"/>
    </row>
    <row r="106" spans="1:8" ht="17.25" thickTop="1" thickBot="1" x14ac:dyDescent="0.3">
      <c r="A106" s="174" t="s">
        <v>14</v>
      </c>
      <c r="B106" s="175"/>
      <c r="C106" s="228">
        <f>SUM(C94:C105)</f>
        <v>0</v>
      </c>
      <c r="D106" s="230">
        <f>SUM(D94:D105)</f>
        <v>0</v>
      </c>
      <c r="E106" s="271">
        <f>SUM(E94:E105)</f>
        <v>0</v>
      </c>
      <c r="F106" s="176">
        <v>0</v>
      </c>
      <c r="G106" s="245">
        <v>0</v>
      </c>
      <c r="H106" s="246">
        <v>0</v>
      </c>
    </row>
    <row r="107" spans="1:8" ht="15.75" thickTop="1" x14ac:dyDescent="0.2">
      <c r="A107" s="167"/>
      <c r="B107" s="168"/>
      <c r="C107" s="226"/>
      <c r="D107" s="226"/>
      <c r="E107" s="226"/>
      <c r="F107" s="166"/>
      <c r="G107" s="241"/>
      <c r="H107" s="242"/>
    </row>
    <row r="108" spans="1:8" ht="15.75" x14ac:dyDescent="0.25">
      <c r="A108" s="164" t="s">
        <v>60</v>
      </c>
      <c r="B108" s="165">
        <f>DATE(20,7,1)</f>
        <v>7488</v>
      </c>
      <c r="C108" s="226">
        <v>0</v>
      </c>
      <c r="D108" s="226">
        <v>0</v>
      </c>
      <c r="E108" s="226">
        <v>0</v>
      </c>
      <c r="F108" s="166">
        <v>0</v>
      </c>
      <c r="G108" s="241">
        <v>0</v>
      </c>
      <c r="H108" s="242">
        <v>0</v>
      </c>
    </row>
    <row r="109" spans="1:8" ht="15.75" x14ac:dyDescent="0.25">
      <c r="A109" s="164"/>
      <c r="B109" s="165">
        <f>DATE(20,8,1)</f>
        <v>7519</v>
      </c>
      <c r="C109" s="226">
        <v>2426243.5</v>
      </c>
      <c r="D109" s="226">
        <v>118455</v>
      </c>
      <c r="E109" s="226">
        <v>0</v>
      </c>
      <c r="F109" s="166">
        <v>1</v>
      </c>
      <c r="G109" s="241">
        <f t="shared" ref="G109:G114" si="0">D109/C109</f>
        <v>4.8822387365489078E-2</v>
      </c>
      <c r="H109" s="242">
        <f t="shared" ref="H109:H116" si="1">1-G109</f>
        <v>0.95117761263451095</v>
      </c>
    </row>
    <row r="110" spans="1:8" ht="15.75" x14ac:dyDescent="0.25">
      <c r="A110" s="164"/>
      <c r="B110" s="165">
        <f>DATE(20,9,1)</f>
        <v>7550</v>
      </c>
      <c r="C110" s="226">
        <v>1791988</v>
      </c>
      <c r="D110" s="226">
        <v>106241</v>
      </c>
      <c r="E110" s="226">
        <v>0</v>
      </c>
      <c r="F110" s="166">
        <v>1</v>
      </c>
      <c r="G110" s="241">
        <f t="shared" si="0"/>
        <v>5.9286669330374978E-2</v>
      </c>
      <c r="H110" s="242">
        <f t="shared" si="1"/>
        <v>0.94071333066962504</v>
      </c>
    </row>
    <row r="111" spans="1:8" ht="15.75" x14ac:dyDescent="0.25">
      <c r="A111" s="164"/>
      <c r="B111" s="165">
        <f>DATE(20,10,1)</f>
        <v>7580</v>
      </c>
      <c r="C111" s="226">
        <v>1843163.5</v>
      </c>
      <c r="D111" s="226">
        <v>82618</v>
      </c>
      <c r="E111" s="226">
        <v>0</v>
      </c>
      <c r="F111" s="166">
        <v>1</v>
      </c>
      <c r="G111" s="241">
        <f t="shared" si="0"/>
        <v>4.4824021309015721E-2</v>
      </c>
      <c r="H111" s="242">
        <f t="shared" si="1"/>
        <v>0.95517597869098425</v>
      </c>
    </row>
    <row r="112" spans="1:8" ht="15.75" x14ac:dyDescent="0.25">
      <c r="A112" s="164"/>
      <c r="B112" s="165">
        <f>DATE(20,11,1)</f>
        <v>7611</v>
      </c>
      <c r="C112" s="226">
        <v>1486394.5</v>
      </c>
      <c r="D112" s="226">
        <v>81702.080000000002</v>
      </c>
      <c r="E112" s="226">
        <v>0</v>
      </c>
      <c r="F112" s="166">
        <v>1</v>
      </c>
      <c r="G112" s="241">
        <f t="shared" si="0"/>
        <v>5.4966618888861604E-2</v>
      </c>
      <c r="H112" s="242">
        <f t="shared" si="1"/>
        <v>0.94503338111113844</v>
      </c>
    </row>
    <row r="113" spans="1:8" ht="15.75" x14ac:dyDescent="0.25">
      <c r="A113" s="164"/>
      <c r="B113" s="165">
        <f>DATE(20,12,1)</f>
        <v>7641</v>
      </c>
      <c r="C113" s="226">
        <v>2678467</v>
      </c>
      <c r="D113" s="226">
        <v>84775</v>
      </c>
      <c r="E113" s="226">
        <v>0</v>
      </c>
      <c r="F113" s="166">
        <v>1</v>
      </c>
      <c r="G113" s="241">
        <f t="shared" si="0"/>
        <v>3.1650567283449824E-2</v>
      </c>
      <c r="H113" s="242">
        <f t="shared" si="1"/>
        <v>0.96834943271655016</v>
      </c>
    </row>
    <row r="114" spans="1:8" ht="15.75" x14ac:dyDescent="0.25">
      <c r="A114" s="164"/>
      <c r="B114" s="165">
        <f>DATE(21,1,1)</f>
        <v>7672</v>
      </c>
      <c r="C114" s="226">
        <v>3363779.5</v>
      </c>
      <c r="D114" s="226">
        <v>127657</v>
      </c>
      <c r="E114" s="226">
        <v>0</v>
      </c>
      <c r="F114" s="166">
        <v>1</v>
      </c>
      <c r="G114" s="241">
        <f t="shared" si="0"/>
        <v>3.79504661348938E-2</v>
      </c>
      <c r="H114" s="242">
        <f t="shared" si="1"/>
        <v>0.96204953386510617</v>
      </c>
    </row>
    <row r="115" spans="1:8" ht="15.75" x14ac:dyDescent="0.25">
      <c r="A115" s="164"/>
      <c r="B115" s="165">
        <f>DATE(21,2,1)</f>
        <v>7703</v>
      </c>
      <c r="C115" s="226">
        <v>1638650.5</v>
      </c>
      <c r="D115" s="226">
        <v>94650</v>
      </c>
      <c r="E115" s="226">
        <v>0</v>
      </c>
      <c r="F115" s="166">
        <v>1</v>
      </c>
      <c r="G115" s="241">
        <f>D115/C115</f>
        <v>5.7760944142756496E-2</v>
      </c>
      <c r="H115" s="242">
        <f t="shared" si="1"/>
        <v>0.94223905585724355</v>
      </c>
    </row>
    <row r="116" spans="1:8" ht="15.75" x14ac:dyDescent="0.25">
      <c r="A116" s="164"/>
      <c r="B116" s="165">
        <f>DATE(21,3,1)</f>
        <v>7731</v>
      </c>
      <c r="C116" s="226">
        <v>184054</v>
      </c>
      <c r="D116" s="226">
        <v>5436.5</v>
      </c>
      <c r="E116" s="226">
        <v>0</v>
      </c>
      <c r="F116" s="166">
        <v>1</v>
      </c>
      <c r="G116" s="241">
        <f>D116/C116</f>
        <v>2.9537527030110727E-2</v>
      </c>
      <c r="H116" s="242">
        <f t="shared" si="1"/>
        <v>0.9704624729698893</v>
      </c>
    </row>
    <row r="117" spans="1:8" ht="15.75" x14ac:dyDescent="0.25">
      <c r="A117" s="164"/>
      <c r="B117" s="165">
        <f>DATE(21,4,1)</f>
        <v>7762</v>
      </c>
      <c r="C117" s="226">
        <v>0</v>
      </c>
      <c r="D117" s="226">
        <v>0</v>
      </c>
      <c r="E117" s="226">
        <v>0</v>
      </c>
      <c r="F117" s="166">
        <v>0</v>
      </c>
      <c r="G117" s="241">
        <v>0</v>
      </c>
      <c r="H117" s="242">
        <v>0</v>
      </c>
    </row>
    <row r="118" spans="1:8" ht="15.75" x14ac:dyDescent="0.25">
      <c r="A118" s="164"/>
      <c r="B118" s="165">
        <f>DATE(21,5,1)</f>
        <v>7792</v>
      </c>
      <c r="C118" s="226">
        <v>0</v>
      </c>
      <c r="D118" s="226">
        <v>0</v>
      </c>
      <c r="E118" s="226">
        <v>0</v>
      </c>
      <c r="F118" s="166">
        <v>0</v>
      </c>
      <c r="G118" s="241">
        <v>0</v>
      </c>
      <c r="H118" s="242">
        <v>0</v>
      </c>
    </row>
    <row r="119" spans="1:8" ht="15.75" thickBot="1" x14ac:dyDescent="0.25">
      <c r="A119" s="167"/>
      <c r="B119" s="165"/>
      <c r="C119" s="226"/>
      <c r="D119" s="226"/>
      <c r="E119" s="226"/>
      <c r="F119" s="166"/>
      <c r="G119" s="241"/>
      <c r="H119" s="242"/>
    </row>
    <row r="120" spans="1:8" ht="17.25" thickTop="1" thickBot="1" x14ac:dyDescent="0.3">
      <c r="A120" s="174" t="s">
        <v>14</v>
      </c>
      <c r="B120" s="175"/>
      <c r="C120" s="228">
        <f>SUM(C108:C119)</f>
        <v>15412740.5</v>
      </c>
      <c r="D120" s="230">
        <f>SUM(D108:D119)</f>
        <v>701534.58000000007</v>
      </c>
      <c r="E120" s="271">
        <f>SUM(E108:E119)</f>
        <v>0</v>
      </c>
      <c r="F120" s="176">
        <v>1</v>
      </c>
      <c r="G120" s="249">
        <f>D120/C120</f>
        <v>4.5516537438620996E-2</v>
      </c>
      <c r="H120" s="270">
        <f>1-G120</f>
        <v>0.95448346256137895</v>
      </c>
    </row>
    <row r="121" spans="1:8" ht="15.75" thickTop="1" x14ac:dyDescent="0.2">
      <c r="A121" s="167"/>
      <c r="B121" s="179"/>
      <c r="C121" s="229"/>
      <c r="D121" s="229"/>
      <c r="E121" s="229"/>
      <c r="F121" s="180"/>
      <c r="G121" s="247"/>
      <c r="H121" s="248"/>
    </row>
    <row r="122" spans="1:8" ht="15.75" x14ac:dyDescent="0.25">
      <c r="A122" s="164" t="s">
        <v>16</v>
      </c>
      <c r="B122" s="165">
        <f>DATE(20,7,1)</f>
        <v>7488</v>
      </c>
      <c r="C122" s="226">
        <v>0</v>
      </c>
      <c r="D122" s="226">
        <v>0</v>
      </c>
      <c r="E122" s="226">
        <v>0</v>
      </c>
      <c r="F122" s="166">
        <v>0</v>
      </c>
      <c r="G122" s="241">
        <v>0</v>
      </c>
      <c r="H122" s="242">
        <v>0</v>
      </c>
    </row>
    <row r="123" spans="1:8" ht="15.75" x14ac:dyDescent="0.25">
      <c r="A123" s="164"/>
      <c r="B123" s="165">
        <f>DATE(20,8,1)</f>
        <v>7519</v>
      </c>
      <c r="C123" s="226">
        <v>0</v>
      </c>
      <c r="D123" s="226">
        <v>0</v>
      </c>
      <c r="E123" s="226">
        <v>0</v>
      </c>
      <c r="F123" s="166">
        <v>0</v>
      </c>
      <c r="G123" s="241">
        <v>0</v>
      </c>
      <c r="H123" s="242">
        <v>0</v>
      </c>
    </row>
    <row r="124" spans="1:8" ht="15.75" x14ac:dyDescent="0.25">
      <c r="A124" s="164"/>
      <c r="B124" s="165">
        <f>DATE(20,9,1)</f>
        <v>7550</v>
      </c>
      <c r="C124" s="226">
        <v>0</v>
      </c>
      <c r="D124" s="226">
        <v>0</v>
      </c>
      <c r="E124" s="226">
        <v>0</v>
      </c>
      <c r="F124" s="166">
        <v>0</v>
      </c>
      <c r="G124" s="241">
        <v>0</v>
      </c>
      <c r="H124" s="242">
        <v>0</v>
      </c>
    </row>
    <row r="125" spans="1:8" ht="15.75" x14ac:dyDescent="0.25">
      <c r="A125" s="164"/>
      <c r="B125" s="165">
        <f>DATE(20,10,1)</f>
        <v>7580</v>
      </c>
      <c r="C125" s="226">
        <v>0</v>
      </c>
      <c r="D125" s="226">
        <v>0</v>
      </c>
      <c r="E125" s="226">
        <v>0</v>
      </c>
      <c r="F125" s="166">
        <v>0</v>
      </c>
      <c r="G125" s="241">
        <v>0</v>
      </c>
      <c r="H125" s="242">
        <v>0</v>
      </c>
    </row>
    <row r="126" spans="1:8" ht="15.75" x14ac:dyDescent="0.25">
      <c r="A126" s="164"/>
      <c r="B126" s="165">
        <f>DATE(20,11,1)</f>
        <v>7611</v>
      </c>
      <c r="C126" s="226">
        <v>0</v>
      </c>
      <c r="D126" s="226">
        <v>0</v>
      </c>
      <c r="E126" s="226">
        <v>0</v>
      </c>
      <c r="F126" s="166">
        <v>0</v>
      </c>
      <c r="G126" s="241">
        <v>0</v>
      </c>
      <c r="H126" s="242">
        <v>0</v>
      </c>
    </row>
    <row r="127" spans="1:8" ht="15.75" x14ac:dyDescent="0.25">
      <c r="A127" s="164"/>
      <c r="B127" s="165">
        <f>DATE(20,12,1)</f>
        <v>7641</v>
      </c>
      <c r="C127" s="226">
        <v>0</v>
      </c>
      <c r="D127" s="226">
        <v>0</v>
      </c>
      <c r="E127" s="226">
        <v>0</v>
      </c>
      <c r="F127" s="166">
        <v>0</v>
      </c>
      <c r="G127" s="241">
        <v>0</v>
      </c>
      <c r="H127" s="242">
        <v>0</v>
      </c>
    </row>
    <row r="128" spans="1:8" ht="15.75" x14ac:dyDescent="0.25">
      <c r="A128" s="164"/>
      <c r="B128" s="165">
        <f>DATE(21,1,1)</f>
        <v>7672</v>
      </c>
      <c r="C128" s="226">
        <v>0</v>
      </c>
      <c r="D128" s="226">
        <v>0</v>
      </c>
      <c r="E128" s="226">
        <v>0</v>
      </c>
      <c r="F128" s="166">
        <v>0</v>
      </c>
      <c r="G128" s="241">
        <v>0</v>
      </c>
      <c r="H128" s="242">
        <v>0</v>
      </c>
    </row>
    <row r="129" spans="1:8" ht="15.75" x14ac:dyDescent="0.25">
      <c r="A129" s="164"/>
      <c r="B129" s="165">
        <f>DATE(21,2,1)</f>
        <v>7703</v>
      </c>
      <c r="C129" s="226">
        <v>0</v>
      </c>
      <c r="D129" s="226">
        <v>0</v>
      </c>
      <c r="E129" s="226">
        <v>0</v>
      </c>
      <c r="F129" s="166">
        <v>0</v>
      </c>
      <c r="G129" s="241">
        <v>0</v>
      </c>
      <c r="H129" s="242">
        <v>0</v>
      </c>
    </row>
    <row r="130" spans="1:8" ht="15.75" x14ac:dyDescent="0.25">
      <c r="A130" s="164"/>
      <c r="B130" s="165">
        <f>DATE(21,3,1)</f>
        <v>7731</v>
      </c>
      <c r="C130" s="226">
        <v>0</v>
      </c>
      <c r="D130" s="226">
        <v>0</v>
      </c>
      <c r="E130" s="226">
        <v>0</v>
      </c>
      <c r="F130" s="166">
        <v>0</v>
      </c>
      <c r="G130" s="241">
        <v>0</v>
      </c>
      <c r="H130" s="242">
        <v>0</v>
      </c>
    </row>
    <row r="131" spans="1:8" ht="15.75" x14ac:dyDescent="0.25">
      <c r="A131" s="164"/>
      <c r="B131" s="165">
        <f>DATE(21,4,1)</f>
        <v>7762</v>
      </c>
      <c r="C131" s="226">
        <v>0</v>
      </c>
      <c r="D131" s="226">
        <v>0</v>
      </c>
      <c r="E131" s="226">
        <v>0</v>
      </c>
      <c r="F131" s="166">
        <v>0</v>
      </c>
      <c r="G131" s="241">
        <v>0</v>
      </c>
      <c r="H131" s="242">
        <v>0</v>
      </c>
    </row>
    <row r="132" spans="1:8" ht="15.75" x14ac:dyDescent="0.25">
      <c r="A132" s="164"/>
      <c r="B132" s="165">
        <f>DATE(21,5,1)</f>
        <v>7792</v>
      </c>
      <c r="C132" s="226">
        <v>0</v>
      </c>
      <c r="D132" s="226">
        <v>0</v>
      </c>
      <c r="E132" s="226">
        <v>0</v>
      </c>
      <c r="F132" s="166">
        <v>0</v>
      </c>
      <c r="G132" s="241">
        <v>0</v>
      </c>
      <c r="H132" s="242">
        <v>0</v>
      </c>
    </row>
    <row r="133" spans="1:8" ht="16.5" thickBot="1" x14ac:dyDescent="0.3">
      <c r="A133" s="164"/>
      <c r="B133" s="165"/>
      <c r="C133" s="226"/>
      <c r="D133" s="226"/>
      <c r="E133" s="226"/>
      <c r="F133" s="166"/>
      <c r="G133" s="241"/>
      <c r="H133" s="242"/>
    </row>
    <row r="134" spans="1:8" ht="17.25" thickTop="1" thickBot="1" x14ac:dyDescent="0.3">
      <c r="A134" s="174" t="s">
        <v>14</v>
      </c>
      <c r="B134" s="181"/>
      <c r="C134" s="228">
        <f>SUM(C122:C133)</f>
        <v>0</v>
      </c>
      <c r="D134" s="228">
        <f>SUM(D122:D133)</f>
        <v>0</v>
      </c>
      <c r="E134" s="228">
        <f>SUM(E122:E133)</f>
        <v>0</v>
      </c>
      <c r="F134" s="176">
        <v>0</v>
      </c>
      <c r="G134" s="245">
        <v>0</v>
      </c>
      <c r="H134" s="246">
        <v>0</v>
      </c>
    </row>
    <row r="135" spans="1:8" ht="15.75" thickTop="1" x14ac:dyDescent="0.2">
      <c r="A135" s="171"/>
      <c r="B135" s="172"/>
      <c r="C135" s="227"/>
      <c r="D135" s="227"/>
      <c r="E135" s="227"/>
      <c r="F135" s="173"/>
      <c r="G135" s="243"/>
      <c r="H135" s="244"/>
    </row>
    <row r="136" spans="1:8" ht="15.75" x14ac:dyDescent="0.25">
      <c r="A136" s="164" t="s">
        <v>54</v>
      </c>
      <c r="B136" s="165">
        <f>DATE(20,7,1)</f>
        <v>7488</v>
      </c>
      <c r="C136" s="226">
        <v>0</v>
      </c>
      <c r="D136" s="226">
        <v>0</v>
      </c>
      <c r="E136" s="226">
        <v>0</v>
      </c>
      <c r="F136" s="166">
        <v>0</v>
      </c>
      <c r="G136" s="241">
        <v>0</v>
      </c>
      <c r="H136" s="242">
        <v>0</v>
      </c>
    </row>
    <row r="137" spans="1:8" ht="15.75" x14ac:dyDescent="0.25">
      <c r="A137" s="164"/>
      <c r="B137" s="165">
        <f>DATE(20,8,1)</f>
        <v>7519</v>
      </c>
      <c r="C137" s="226">
        <v>0</v>
      </c>
      <c r="D137" s="226">
        <v>0</v>
      </c>
      <c r="E137" s="226">
        <v>0</v>
      </c>
      <c r="F137" s="166">
        <v>0</v>
      </c>
      <c r="G137" s="241">
        <v>0</v>
      </c>
      <c r="H137" s="242">
        <v>0</v>
      </c>
    </row>
    <row r="138" spans="1:8" ht="15.75" x14ac:dyDescent="0.25">
      <c r="A138" s="164"/>
      <c r="B138" s="165">
        <f>DATE(20,9,1)</f>
        <v>7550</v>
      </c>
      <c r="C138" s="226">
        <v>0</v>
      </c>
      <c r="D138" s="226">
        <v>0</v>
      </c>
      <c r="E138" s="226">
        <v>0</v>
      </c>
      <c r="F138" s="166">
        <v>0</v>
      </c>
      <c r="G138" s="241">
        <v>0</v>
      </c>
      <c r="H138" s="242">
        <v>0</v>
      </c>
    </row>
    <row r="139" spans="1:8" ht="15.75" x14ac:dyDescent="0.25">
      <c r="A139" s="164"/>
      <c r="B139" s="165">
        <f>DATE(20,10,1)</f>
        <v>7580</v>
      </c>
      <c r="C139" s="226">
        <v>0</v>
      </c>
      <c r="D139" s="226">
        <v>0</v>
      </c>
      <c r="E139" s="226">
        <v>0</v>
      </c>
      <c r="F139" s="166">
        <v>0</v>
      </c>
      <c r="G139" s="241">
        <v>0</v>
      </c>
      <c r="H139" s="242">
        <v>0</v>
      </c>
    </row>
    <row r="140" spans="1:8" ht="15.75" x14ac:dyDescent="0.25">
      <c r="A140" s="164"/>
      <c r="B140" s="165">
        <f>DATE(20,11,1)</f>
        <v>7611</v>
      </c>
      <c r="C140" s="226">
        <v>0</v>
      </c>
      <c r="D140" s="226">
        <v>0</v>
      </c>
      <c r="E140" s="226">
        <v>0</v>
      </c>
      <c r="F140" s="166">
        <v>0</v>
      </c>
      <c r="G140" s="241">
        <v>0</v>
      </c>
      <c r="H140" s="242">
        <v>0</v>
      </c>
    </row>
    <row r="141" spans="1:8" ht="15.75" x14ac:dyDescent="0.25">
      <c r="A141" s="164"/>
      <c r="B141" s="165">
        <f>DATE(20,12,1)</f>
        <v>7641</v>
      </c>
      <c r="C141" s="226">
        <v>0</v>
      </c>
      <c r="D141" s="226">
        <v>0</v>
      </c>
      <c r="E141" s="226">
        <v>0</v>
      </c>
      <c r="F141" s="166">
        <v>0</v>
      </c>
      <c r="G141" s="241">
        <v>0</v>
      </c>
      <c r="H141" s="242">
        <v>0</v>
      </c>
    </row>
    <row r="142" spans="1:8" ht="15.75" x14ac:dyDescent="0.25">
      <c r="A142" s="164"/>
      <c r="B142" s="165">
        <f>DATE(21,1,1)</f>
        <v>7672</v>
      </c>
      <c r="C142" s="226">
        <v>0</v>
      </c>
      <c r="D142" s="226">
        <v>0</v>
      </c>
      <c r="E142" s="226">
        <v>0</v>
      </c>
      <c r="F142" s="166">
        <v>0</v>
      </c>
      <c r="G142" s="241">
        <v>0</v>
      </c>
      <c r="H142" s="242">
        <v>0</v>
      </c>
    </row>
    <row r="143" spans="1:8" ht="15.75" x14ac:dyDescent="0.25">
      <c r="A143" s="164"/>
      <c r="B143" s="165">
        <f>DATE(21,2,1)</f>
        <v>7703</v>
      </c>
      <c r="C143" s="226">
        <v>0</v>
      </c>
      <c r="D143" s="226">
        <v>0</v>
      </c>
      <c r="E143" s="226">
        <v>0</v>
      </c>
      <c r="F143" s="166">
        <v>0</v>
      </c>
      <c r="G143" s="241">
        <v>0</v>
      </c>
      <c r="H143" s="242">
        <v>0</v>
      </c>
    </row>
    <row r="144" spans="1:8" ht="15.75" x14ac:dyDescent="0.25">
      <c r="A144" s="164"/>
      <c r="B144" s="165">
        <f>DATE(21,3,1)</f>
        <v>7731</v>
      </c>
      <c r="C144" s="226">
        <v>0</v>
      </c>
      <c r="D144" s="226">
        <v>0</v>
      </c>
      <c r="E144" s="226">
        <v>0</v>
      </c>
      <c r="F144" s="166">
        <v>0</v>
      </c>
      <c r="G144" s="241">
        <v>0</v>
      </c>
      <c r="H144" s="242">
        <v>0</v>
      </c>
    </row>
    <row r="145" spans="1:8" ht="15.75" x14ac:dyDescent="0.25">
      <c r="A145" s="164"/>
      <c r="B145" s="165">
        <f>DATE(21,4,1)</f>
        <v>7762</v>
      </c>
      <c r="C145" s="226">
        <v>0</v>
      </c>
      <c r="D145" s="226">
        <v>0</v>
      </c>
      <c r="E145" s="226">
        <v>0</v>
      </c>
      <c r="F145" s="166">
        <v>0</v>
      </c>
      <c r="G145" s="241">
        <v>0</v>
      </c>
      <c r="H145" s="242">
        <v>0</v>
      </c>
    </row>
    <row r="146" spans="1:8" ht="15.75" x14ac:dyDescent="0.25">
      <c r="A146" s="164"/>
      <c r="B146" s="165">
        <f>DATE(21,5,1)</f>
        <v>7792</v>
      </c>
      <c r="C146" s="226">
        <v>0</v>
      </c>
      <c r="D146" s="226">
        <v>0</v>
      </c>
      <c r="E146" s="226">
        <v>0</v>
      </c>
      <c r="F146" s="166">
        <v>0</v>
      </c>
      <c r="G146" s="241">
        <v>0</v>
      </c>
      <c r="H146" s="242">
        <v>0</v>
      </c>
    </row>
    <row r="147" spans="1:8" ht="15.75" thickBot="1" x14ac:dyDescent="0.25">
      <c r="A147" s="167"/>
      <c r="B147" s="168"/>
      <c r="C147" s="226"/>
      <c r="D147" s="226"/>
      <c r="E147" s="226"/>
      <c r="F147" s="166"/>
      <c r="G147" s="241"/>
      <c r="H147" s="242"/>
    </row>
    <row r="148" spans="1:8" ht="17.25" thickTop="1" thickBot="1" x14ac:dyDescent="0.3">
      <c r="A148" s="174" t="s">
        <v>14</v>
      </c>
      <c r="B148" s="175"/>
      <c r="C148" s="228">
        <f>SUM(C136:C147)</f>
        <v>0</v>
      </c>
      <c r="D148" s="228">
        <f>SUM(D136:D147)</f>
        <v>0</v>
      </c>
      <c r="E148" s="228">
        <f>SUM(E136:E147)</f>
        <v>0</v>
      </c>
      <c r="F148" s="176">
        <v>0</v>
      </c>
      <c r="G148" s="245">
        <v>0</v>
      </c>
      <c r="H148" s="246">
        <v>0</v>
      </c>
    </row>
    <row r="149" spans="1:8" ht="15.75" thickTop="1" x14ac:dyDescent="0.2">
      <c r="A149" s="167"/>
      <c r="B149" s="168"/>
      <c r="C149" s="226"/>
      <c r="D149" s="226"/>
      <c r="E149" s="226"/>
      <c r="F149" s="166"/>
      <c r="G149" s="241"/>
      <c r="H149" s="242"/>
    </row>
    <row r="150" spans="1:8" ht="15.75" x14ac:dyDescent="0.25">
      <c r="A150" s="164" t="s">
        <v>55</v>
      </c>
      <c r="B150" s="165">
        <f>DATE(20,7,1)</f>
        <v>7488</v>
      </c>
      <c r="C150" s="226">
        <v>0</v>
      </c>
      <c r="D150" s="226">
        <v>0</v>
      </c>
      <c r="E150" s="226">
        <v>0</v>
      </c>
      <c r="F150" s="166">
        <v>0</v>
      </c>
      <c r="G150" s="241">
        <v>0</v>
      </c>
      <c r="H150" s="242">
        <v>0</v>
      </c>
    </row>
    <row r="151" spans="1:8" ht="15.75" x14ac:dyDescent="0.25">
      <c r="A151" s="164"/>
      <c r="B151" s="165">
        <f>DATE(20,8,1)</f>
        <v>7519</v>
      </c>
      <c r="C151" s="226">
        <v>0</v>
      </c>
      <c r="D151" s="226">
        <v>0</v>
      </c>
      <c r="E151" s="226">
        <v>0</v>
      </c>
      <c r="F151" s="166">
        <v>0</v>
      </c>
      <c r="G151" s="241">
        <v>0</v>
      </c>
      <c r="H151" s="242">
        <v>0</v>
      </c>
    </row>
    <row r="152" spans="1:8" ht="15.75" x14ac:dyDescent="0.25">
      <c r="A152" s="164"/>
      <c r="B152" s="165">
        <f>DATE(20,9,1)</f>
        <v>7550</v>
      </c>
      <c r="C152" s="226">
        <v>0</v>
      </c>
      <c r="D152" s="226">
        <v>0</v>
      </c>
      <c r="E152" s="226">
        <v>0</v>
      </c>
      <c r="F152" s="166">
        <v>0</v>
      </c>
      <c r="G152" s="241">
        <v>0</v>
      </c>
      <c r="H152" s="242">
        <v>0</v>
      </c>
    </row>
    <row r="153" spans="1:8" ht="15.75" x14ac:dyDescent="0.25">
      <c r="A153" s="164"/>
      <c r="B153" s="165">
        <f>DATE(20,10,1)</f>
        <v>7580</v>
      </c>
      <c r="C153" s="226">
        <v>0</v>
      </c>
      <c r="D153" s="226">
        <v>0</v>
      </c>
      <c r="E153" s="226">
        <v>0</v>
      </c>
      <c r="F153" s="166">
        <v>0</v>
      </c>
      <c r="G153" s="241">
        <v>0</v>
      </c>
      <c r="H153" s="242">
        <v>0</v>
      </c>
    </row>
    <row r="154" spans="1:8" ht="15.75" x14ac:dyDescent="0.25">
      <c r="A154" s="164"/>
      <c r="B154" s="165">
        <f>DATE(20,11,1)</f>
        <v>7611</v>
      </c>
      <c r="C154" s="226">
        <v>0</v>
      </c>
      <c r="D154" s="226">
        <v>0</v>
      </c>
      <c r="E154" s="226">
        <v>0</v>
      </c>
      <c r="F154" s="166">
        <v>0</v>
      </c>
      <c r="G154" s="241">
        <v>0</v>
      </c>
      <c r="H154" s="242">
        <v>0</v>
      </c>
    </row>
    <row r="155" spans="1:8" ht="15.75" x14ac:dyDescent="0.25">
      <c r="A155" s="164"/>
      <c r="B155" s="165">
        <f>DATE(20,12,1)</f>
        <v>7641</v>
      </c>
      <c r="C155" s="226">
        <v>0</v>
      </c>
      <c r="D155" s="226">
        <v>0</v>
      </c>
      <c r="E155" s="226">
        <v>0</v>
      </c>
      <c r="F155" s="166">
        <v>0</v>
      </c>
      <c r="G155" s="241">
        <v>0</v>
      </c>
      <c r="H155" s="242">
        <v>0</v>
      </c>
    </row>
    <row r="156" spans="1:8" ht="15.75" x14ac:dyDescent="0.25">
      <c r="A156" s="164"/>
      <c r="B156" s="165">
        <f>DATE(21,1,1)</f>
        <v>7672</v>
      </c>
      <c r="C156" s="226">
        <v>0</v>
      </c>
      <c r="D156" s="226">
        <v>0</v>
      </c>
      <c r="E156" s="226">
        <v>0</v>
      </c>
      <c r="F156" s="166">
        <v>0</v>
      </c>
      <c r="G156" s="241">
        <v>0</v>
      </c>
      <c r="H156" s="242">
        <v>0</v>
      </c>
    </row>
    <row r="157" spans="1:8" ht="15.75" x14ac:dyDescent="0.25">
      <c r="A157" s="164"/>
      <c r="B157" s="165">
        <f>DATE(21,2,1)</f>
        <v>7703</v>
      </c>
      <c r="C157" s="226">
        <v>0</v>
      </c>
      <c r="D157" s="226">
        <v>0</v>
      </c>
      <c r="E157" s="226">
        <v>0</v>
      </c>
      <c r="F157" s="166">
        <v>0</v>
      </c>
      <c r="G157" s="241">
        <v>0</v>
      </c>
      <c r="H157" s="242">
        <v>0</v>
      </c>
    </row>
    <row r="158" spans="1:8" ht="15.75" x14ac:dyDescent="0.25">
      <c r="A158" s="164"/>
      <c r="B158" s="165">
        <f>DATE(21,3,1)</f>
        <v>7731</v>
      </c>
      <c r="C158" s="226">
        <v>0</v>
      </c>
      <c r="D158" s="226">
        <v>0</v>
      </c>
      <c r="E158" s="226">
        <v>0</v>
      </c>
      <c r="F158" s="166">
        <v>0</v>
      </c>
      <c r="G158" s="241">
        <v>0</v>
      </c>
      <c r="H158" s="242">
        <v>0</v>
      </c>
    </row>
    <row r="159" spans="1:8" ht="15.75" x14ac:dyDescent="0.25">
      <c r="A159" s="164"/>
      <c r="B159" s="165">
        <f>DATE(21,4,1)</f>
        <v>7762</v>
      </c>
      <c r="C159" s="226">
        <v>0</v>
      </c>
      <c r="D159" s="226">
        <v>0</v>
      </c>
      <c r="E159" s="226">
        <v>0</v>
      </c>
      <c r="F159" s="166">
        <v>0</v>
      </c>
      <c r="G159" s="241">
        <v>0</v>
      </c>
      <c r="H159" s="242">
        <v>0</v>
      </c>
    </row>
    <row r="160" spans="1:8" ht="15.75" x14ac:dyDescent="0.25">
      <c r="A160" s="164"/>
      <c r="B160" s="165">
        <f>DATE(21,5,1)</f>
        <v>7792</v>
      </c>
      <c r="C160" s="226">
        <v>0</v>
      </c>
      <c r="D160" s="226">
        <v>0</v>
      </c>
      <c r="E160" s="226">
        <v>0</v>
      </c>
      <c r="F160" s="166">
        <v>0</v>
      </c>
      <c r="G160" s="241">
        <v>0</v>
      </c>
      <c r="H160" s="242">
        <v>0</v>
      </c>
    </row>
    <row r="161" spans="1:8" ht="15.75" thickBot="1" x14ac:dyDescent="0.25">
      <c r="A161" s="167"/>
      <c r="B161" s="168"/>
      <c r="C161" s="226"/>
      <c r="D161" s="226"/>
      <c r="E161" s="226"/>
      <c r="F161" s="166"/>
      <c r="G161" s="241"/>
      <c r="H161" s="242"/>
    </row>
    <row r="162" spans="1:8" ht="17.25" thickTop="1" thickBot="1" x14ac:dyDescent="0.3">
      <c r="A162" s="182" t="s">
        <v>14</v>
      </c>
      <c r="B162" s="183"/>
      <c r="C162" s="230">
        <f>SUM(C150:C161)</f>
        <v>0</v>
      </c>
      <c r="D162" s="230">
        <f>SUM(D150:D161)</f>
        <v>0</v>
      </c>
      <c r="E162" s="230">
        <f>SUM(E150:E161)</f>
        <v>0</v>
      </c>
      <c r="F162" s="176">
        <v>0</v>
      </c>
      <c r="G162" s="245">
        <v>0</v>
      </c>
      <c r="H162" s="246">
        <v>0</v>
      </c>
    </row>
    <row r="163" spans="1:8" ht="15.75" thickTop="1" x14ac:dyDescent="0.2">
      <c r="A163" s="167"/>
      <c r="B163" s="168"/>
      <c r="C163" s="226"/>
      <c r="D163" s="226"/>
      <c r="E163" s="226"/>
      <c r="F163" s="166"/>
      <c r="G163" s="241"/>
      <c r="H163" s="242"/>
    </row>
    <row r="164" spans="1:8" ht="15.75" x14ac:dyDescent="0.25">
      <c r="A164" s="164" t="s">
        <v>37</v>
      </c>
      <c r="B164" s="165">
        <f>DATE(20,7,1)</f>
        <v>7488</v>
      </c>
      <c r="C164" s="226">
        <v>0</v>
      </c>
      <c r="D164" s="226">
        <v>0</v>
      </c>
      <c r="E164" s="226">
        <v>0</v>
      </c>
      <c r="F164" s="166">
        <v>0</v>
      </c>
      <c r="G164" s="241">
        <v>0</v>
      </c>
      <c r="H164" s="242">
        <v>0</v>
      </c>
    </row>
    <row r="165" spans="1:8" ht="15.75" x14ac:dyDescent="0.25">
      <c r="A165" s="164"/>
      <c r="B165" s="165">
        <f>DATE(20,8,1)</f>
        <v>7519</v>
      </c>
      <c r="C165" s="226">
        <v>0</v>
      </c>
      <c r="D165" s="226">
        <v>0</v>
      </c>
      <c r="E165" s="226">
        <v>0</v>
      </c>
      <c r="F165" s="166">
        <v>0</v>
      </c>
      <c r="G165" s="241">
        <v>0</v>
      </c>
      <c r="H165" s="242">
        <v>0</v>
      </c>
    </row>
    <row r="166" spans="1:8" ht="15.75" x14ac:dyDescent="0.25">
      <c r="A166" s="164"/>
      <c r="B166" s="165">
        <f>DATE(20,9,1)</f>
        <v>7550</v>
      </c>
      <c r="C166" s="226">
        <v>0</v>
      </c>
      <c r="D166" s="226">
        <v>0</v>
      </c>
      <c r="E166" s="226">
        <v>0</v>
      </c>
      <c r="F166" s="166">
        <v>0</v>
      </c>
      <c r="G166" s="241">
        <v>0</v>
      </c>
      <c r="H166" s="242">
        <v>0</v>
      </c>
    </row>
    <row r="167" spans="1:8" ht="15.75" x14ac:dyDescent="0.25">
      <c r="A167" s="164"/>
      <c r="B167" s="165">
        <f>DATE(20,10,1)</f>
        <v>7580</v>
      </c>
      <c r="C167" s="226">
        <v>0</v>
      </c>
      <c r="D167" s="226">
        <v>0</v>
      </c>
      <c r="E167" s="226">
        <v>0</v>
      </c>
      <c r="F167" s="166">
        <v>0</v>
      </c>
      <c r="G167" s="241">
        <v>0</v>
      </c>
      <c r="H167" s="242">
        <v>0</v>
      </c>
    </row>
    <row r="168" spans="1:8" ht="15.75" x14ac:dyDescent="0.25">
      <c r="A168" s="164"/>
      <c r="B168" s="165">
        <f>DATE(20,11,1)</f>
        <v>7611</v>
      </c>
      <c r="C168" s="226">
        <v>0</v>
      </c>
      <c r="D168" s="226">
        <v>0</v>
      </c>
      <c r="E168" s="226">
        <v>0</v>
      </c>
      <c r="F168" s="166">
        <v>0</v>
      </c>
      <c r="G168" s="241">
        <v>0</v>
      </c>
      <c r="H168" s="242">
        <v>0</v>
      </c>
    </row>
    <row r="169" spans="1:8" ht="15.75" x14ac:dyDescent="0.25">
      <c r="A169" s="164"/>
      <c r="B169" s="165">
        <f>DATE(20,12,1)</f>
        <v>7641</v>
      </c>
      <c r="C169" s="226">
        <v>0</v>
      </c>
      <c r="D169" s="226">
        <v>0</v>
      </c>
      <c r="E169" s="226">
        <v>0</v>
      </c>
      <c r="F169" s="166">
        <v>0</v>
      </c>
      <c r="G169" s="241">
        <v>0</v>
      </c>
      <c r="H169" s="242">
        <v>0</v>
      </c>
    </row>
    <row r="170" spans="1:8" ht="15.75" x14ac:dyDescent="0.25">
      <c r="A170" s="164"/>
      <c r="B170" s="165">
        <f>DATE(21,1,1)</f>
        <v>7672</v>
      </c>
      <c r="C170" s="226">
        <v>277409.65999999997</v>
      </c>
      <c r="D170" s="226">
        <v>13801.5</v>
      </c>
      <c r="E170" s="226">
        <v>0</v>
      </c>
      <c r="F170" s="166">
        <v>1</v>
      </c>
      <c r="G170" s="241">
        <f>D170/C170</f>
        <v>4.9751331658746137E-2</v>
      </c>
      <c r="H170" s="242">
        <f>1-G170</f>
        <v>0.95024866834125388</v>
      </c>
    </row>
    <row r="171" spans="1:8" ht="15.75" x14ac:dyDescent="0.25">
      <c r="A171" s="164"/>
      <c r="B171" s="165">
        <f>DATE(21,2,1)</f>
        <v>7703</v>
      </c>
      <c r="C171" s="226">
        <v>578383.82999999996</v>
      </c>
      <c r="D171" s="226">
        <v>31538.07</v>
      </c>
      <c r="E171" s="226">
        <v>0</v>
      </c>
      <c r="F171" s="166">
        <v>1</v>
      </c>
      <c r="G171" s="241">
        <f>D171/C171</f>
        <v>5.4527924821134784E-2</v>
      </c>
      <c r="H171" s="242">
        <f>1-G171</f>
        <v>0.94547207517886522</v>
      </c>
    </row>
    <row r="172" spans="1:8" ht="15.75" x14ac:dyDescent="0.25">
      <c r="A172" s="164"/>
      <c r="B172" s="165">
        <f>DATE(21,3,1)</f>
        <v>7731</v>
      </c>
      <c r="C172" s="226">
        <v>771651.05</v>
      </c>
      <c r="D172" s="226">
        <v>34334.9</v>
      </c>
      <c r="E172" s="226">
        <v>0</v>
      </c>
      <c r="F172" s="166">
        <v>1</v>
      </c>
      <c r="G172" s="241">
        <f>D172/C172</f>
        <v>4.4495371321013562E-2</v>
      </c>
      <c r="H172" s="242">
        <f>1-G172</f>
        <v>0.95550462867898645</v>
      </c>
    </row>
    <row r="173" spans="1:8" ht="15.75" x14ac:dyDescent="0.25">
      <c r="A173" s="164"/>
      <c r="B173" s="165">
        <f>DATE(21,4,1)</f>
        <v>7762</v>
      </c>
      <c r="C173" s="226">
        <v>789969.52</v>
      </c>
      <c r="D173" s="226">
        <v>43135.11</v>
      </c>
      <c r="E173" s="226">
        <v>0</v>
      </c>
      <c r="F173" s="166">
        <v>1</v>
      </c>
      <c r="G173" s="241">
        <f>D173/C173</f>
        <v>5.4603511791189108E-2</v>
      </c>
      <c r="H173" s="242">
        <f>1-G173</f>
        <v>0.94539648820881084</v>
      </c>
    </row>
    <row r="174" spans="1:8" ht="15.75" x14ac:dyDescent="0.25">
      <c r="A174" s="164"/>
      <c r="B174" s="165">
        <f>DATE(21,5,1)</f>
        <v>7792</v>
      </c>
      <c r="C174" s="226">
        <v>1327100.25</v>
      </c>
      <c r="D174" s="226">
        <v>69986.59</v>
      </c>
      <c r="E174" s="226">
        <v>0</v>
      </c>
      <c r="F174" s="166">
        <v>1</v>
      </c>
      <c r="G174" s="241">
        <f>D174/C174</f>
        <v>5.2736475635506812E-2</v>
      </c>
      <c r="H174" s="242">
        <f>1-G174</f>
        <v>0.94726352436449324</v>
      </c>
    </row>
    <row r="175" spans="1:8" ht="15.75" thickBot="1" x14ac:dyDescent="0.25">
      <c r="A175" s="167"/>
      <c r="B175" s="168"/>
      <c r="C175" s="226"/>
      <c r="D175" s="226"/>
      <c r="E175" s="226"/>
      <c r="F175" s="166"/>
      <c r="G175" s="241"/>
      <c r="H175" s="242"/>
    </row>
    <row r="176" spans="1:8" ht="17.25" thickTop="1" thickBot="1" x14ac:dyDescent="0.3">
      <c r="A176" s="174" t="s">
        <v>14</v>
      </c>
      <c r="B176" s="175"/>
      <c r="C176" s="228">
        <f>SUM(C164:C175)</f>
        <v>3744514.31</v>
      </c>
      <c r="D176" s="228">
        <f>SUM(D164:D175)</f>
        <v>192796.16999999998</v>
      </c>
      <c r="E176" s="228">
        <f>SUM(E164:E175)</f>
        <v>0</v>
      </c>
      <c r="F176" s="176">
        <v>0</v>
      </c>
      <c r="G176" s="245">
        <v>0</v>
      </c>
      <c r="H176" s="246">
        <v>0</v>
      </c>
    </row>
    <row r="177" spans="1:8" ht="15.75" thickTop="1" x14ac:dyDescent="0.2">
      <c r="A177" s="167"/>
      <c r="B177" s="168"/>
      <c r="C177" s="226"/>
      <c r="D177" s="226"/>
      <c r="E177" s="226"/>
      <c r="F177" s="166"/>
      <c r="G177" s="241"/>
      <c r="H177" s="242"/>
    </row>
    <row r="178" spans="1:8" ht="15.75" x14ac:dyDescent="0.25">
      <c r="A178" s="164" t="s">
        <v>58</v>
      </c>
      <c r="B178" s="165">
        <f>DATE(20,7,1)</f>
        <v>7488</v>
      </c>
      <c r="C178" s="226">
        <v>0</v>
      </c>
      <c r="D178" s="226">
        <v>0</v>
      </c>
      <c r="E178" s="226">
        <v>0</v>
      </c>
      <c r="F178" s="166">
        <v>0</v>
      </c>
      <c r="G178" s="241">
        <v>0</v>
      </c>
      <c r="H178" s="242">
        <v>0</v>
      </c>
    </row>
    <row r="179" spans="1:8" ht="15.75" x14ac:dyDescent="0.25">
      <c r="A179" s="164"/>
      <c r="B179" s="165">
        <f>DATE(20,8,1)</f>
        <v>7519</v>
      </c>
      <c r="C179" s="226">
        <v>0</v>
      </c>
      <c r="D179" s="226">
        <v>0</v>
      </c>
      <c r="E179" s="226">
        <v>0</v>
      </c>
      <c r="F179" s="166">
        <v>0</v>
      </c>
      <c r="G179" s="241">
        <v>0</v>
      </c>
      <c r="H179" s="242">
        <v>0</v>
      </c>
    </row>
    <row r="180" spans="1:8" ht="15.75" x14ac:dyDescent="0.25">
      <c r="A180" s="164"/>
      <c r="B180" s="165">
        <f>DATE(20,9,1)</f>
        <v>7550</v>
      </c>
      <c r="C180" s="226">
        <v>0</v>
      </c>
      <c r="D180" s="226">
        <v>0</v>
      </c>
      <c r="E180" s="226">
        <v>0</v>
      </c>
      <c r="F180" s="166">
        <v>0</v>
      </c>
      <c r="G180" s="241">
        <v>0</v>
      </c>
      <c r="H180" s="242">
        <v>0</v>
      </c>
    </row>
    <row r="181" spans="1:8" ht="15.75" x14ac:dyDescent="0.25">
      <c r="A181" s="164"/>
      <c r="B181" s="165">
        <f>DATE(20,10,1)</f>
        <v>7580</v>
      </c>
      <c r="C181" s="226">
        <v>0</v>
      </c>
      <c r="D181" s="226">
        <v>0</v>
      </c>
      <c r="E181" s="226">
        <v>0</v>
      </c>
      <c r="F181" s="166">
        <v>0</v>
      </c>
      <c r="G181" s="241">
        <v>0</v>
      </c>
      <c r="H181" s="242">
        <v>0</v>
      </c>
    </row>
    <row r="182" spans="1:8" ht="15.75" x14ac:dyDescent="0.25">
      <c r="A182" s="164"/>
      <c r="B182" s="165">
        <f>DATE(20,11,1)</f>
        <v>7611</v>
      </c>
      <c r="C182" s="226">
        <v>0</v>
      </c>
      <c r="D182" s="226">
        <v>0</v>
      </c>
      <c r="E182" s="226">
        <v>0</v>
      </c>
      <c r="F182" s="166">
        <v>0</v>
      </c>
      <c r="G182" s="241">
        <v>0</v>
      </c>
      <c r="H182" s="242">
        <v>0</v>
      </c>
    </row>
    <row r="183" spans="1:8" ht="15.75" x14ac:dyDescent="0.25">
      <c r="A183" s="164"/>
      <c r="B183" s="165">
        <f>DATE(20,12,1)</f>
        <v>7641</v>
      </c>
      <c r="C183" s="226">
        <v>0</v>
      </c>
      <c r="D183" s="226">
        <v>0</v>
      </c>
      <c r="E183" s="226">
        <v>0</v>
      </c>
      <c r="F183" s="166">
        <v>0</v>
      </c>
      <c r="G183" s="241">
        <v>0</v>
      </c>
      <c r="H183" s="242">
        <v>0</v>
      </c>
    </row>
    <row r="184" spans="1:8" ht="15.75" x14ac:dyDescent="0.25">
      <c r="A184" s="164"/>
      <c r="B184" s="165">
        <f>DATE(21,1,1)</f>
        <v>7672</v>
      </c>
      <c r="C184" s="226">
        <v>0</v>
      </c>
      <c r="D184" s="226">
        <v>0</v>
      </c>
      <c r="E184" s="226">
        <v>0</v>
      </c>
      <c r="F184" s="166">
        <v>0</v>
      </c>
      <c r="G184" s="241">
        <v>0</v>
      </c>
      <c r="H184" s="242">
        <v>0</v>
      </c>
    </row>
    <row r="185" spans="1:8" ht="15.75" x14ac:dyDescent="0.25">
      <c r="A185" s="164"/>
      <c r="B185" s="165">
        <f>DATE(21,2,1)</f>
        <v>7703</v>
      </c>
      <c r="C185" s="226">
        <v>0</v>
      </c>
      <c r="D185" s="226">
        <v>0</v>
      </c>
      <c r="E185" s="226">
        <v>0</v>
      </c>
      <c r="F185" s="166">
        <v>0</v>
      </c>
      <c r="G185" s="241">
        <v>0</v>
      </c>
      <c r="H185" s="242">
        <v>0</v>
      </c>
    </row>
    <row r="186" spans="1:8" ht="15.75" x14ac:dyDescent="0.25">
      <c r="A186" s="164"/>
      <c r="B186" s="165">
        <f>DATE(21,3,1)</f>
        <v>7731</v>
      </c>
      <c r="C186" s="226">
        <v>0</v>
      </c>
      <c r="D186" s="226">
        <v>0</v>
      </c>
      <c r="E186" s="226">
        <v>0</v>
      </c>
      <c r="F186" s="166">
        <v>0</v>
      </c>
      <c r="G186" s="241">
        <v>0</v>
      </c>
      <c r="H186" s="242">
        <v>0</v>
      </c>
    </row>
    <row r="187" spans="1:8" ht="15.75" x14ac:dyDescent="0.25">
      <c r="A187" s="164"/>
      <c r="B187" s="165">
        <f>DATE(21,4,1)</f>
        <v>7762</v>
      </c>
      <c r="C187" s="226">
        <v>0</v>
      </c>
      <c r="D187" s="226">
        <v>0</v>
      </c>
      <c r="E187" s="226">
        <v>0</v>
      </c>
      <c r="F187" s="166">
        <v>0</v>
      </c>
      <c r="G187" s="241">
        <v>0</v>
      </c>
      <c r="H187" s="242">
        <v>0</v>
      </c>
    </row>
    <row r="188" spans="1:8" ht="15.75" x14ac:dyDescent="0.25">
      <c r="A188" s="164"/>
      <c r="B188" s="165">
        <f>DATE(21,5,1)</f>
        <v>7792</v>
      </c>
      <c r="C188" s="226">
        <v>0</v>
      </c>
      <c r="D188" s="226">
        <v>0</v>
      </c>
      <c r="E188" s="226">
        <v>0</v>
      </c>
      <c r="F188" s="166">
        <v>0</v>
      </c>
      <c r="G188" s="241">
        <v>0</v>
      </c>
      <c r="H188" s="242">
        <v>0</v>
      </c>
    </row>
    <row r="189" spans="1:8" ht="15.75" thickBot="1" x14ac:dyDescent="0.25">
      <c r="A189" s="167"/>
      <c r="B189" s="168"/>
      <c r="C189" s="226"/>
      <c r="D189" s="226"/>
      <c r="E189" s="226"/>
      <c r="F189" s="166"/>
      <c r="G189" s="241"/>
      <c r="H189" s="242"/>
    </row>
    <row r="190" spans="1:8" ht="17.25" thickTop="1" thickBot="1" x14ac:dyDescent="0.3">
      <c r="A190" s="169" t="s">
        <v>14</v>
      </c>
      <c r="B190" s="155"/>
      <c r="C190" s="223">
        <f>SUM(C178:C189)</f>
        <v>0</v>
      </c>
      <c r="D190" s="223">
        <f>SUM(D178:D189)</f>
        <v>0</v>
      </c>
      <c r="E190" s="223">
        <f>SUM(E178:E189)</f>
        <v>0</v>
      </c>
      <c r="F190" s="176">
        <v>0</v>
      </c>
      <c r="G190" s="245">
        <v>0</v>
      </c>
      <c r="H190" s="246">
        <v>0</v>
      </c>
    </row>
    <row r="191" spans="1:8" ht="16.5" thickTop="1" thickBot="1" x14ac:dyDescent="0.25">
      <c r="A191" s="171"/>
      <c r="B191" s="172"/>
      <c r="C191" s="227"/>
      <c r="D191" s="227"/>
      <c r="E191" s="227"/>
      <c r="F191" s="173"/>
      <c r="G191" s="243"/>
      <c r="H191" s="244"/>
    </row>
    <row r="192" spans="1:8" ht="17.25" thickTop="1" thickBot="1" x14ac:dyDescent="0.3">
      <c r="A192" s="184" t="s">
        <v>38</v>
      </c>
      <c r="B192" s="155"/>
      <c r="C192" s="223">
        <f>C190+C176+C134+C106+C78+C50+C22+C64+C162+C36+C120+C148+C92</f>
        <v>19157254.809999999</v>
      </c>
      <c r="D192" s="223">
        <f>D190+D176+D134+D106+D78+D50+D22+D64+D162+D36+D120+D148+D92</f>
        <v>894330.75</v>
      </c>
      <c r="E192" s="223">
        <f>E190+E176+E134+E106+E78+E50+E22+E64+E162+E36+E120+E148+E92</f>
        <v>0</v>
      </c>
      <c r="F192" s="170">
        <v>1</v>
      </c>
      <c r="G192" s="236">
        <f>D192/C192</f>
        <v>4.6683658951655403E-2</v>
      </c>
      <c r="H192" s="237">
        <f>1-G192</f>
        <v>0.95331634104834462</v>
      </c>
    </row>
    <row r="193" spans="1:8" ht="17.25" thickTop="1" thickBot="1" x14ac:dyDescent="0.3">
      <c r="A193" s="184"/>
      <c r="B193" s="155"/>
      <c r="C193" s="223"/>
      <c r="D193" s="223"/>
      <c r="E193" s="223"/>
      <c r="F193" s="170"/>
      <c r="G193" s="236"/>
      <c r="H193" s="237"/>
    </row>
    <row r="194" spans="1:8" ht="17.25" thickTop="1" thickBot="1" x14ac:dyDescent="0.3">
      <c r="A194" s="184" t="s">
        <v>39</v>
      </c>
      <c r="B194" s="155"/>
      <c r="C194" s="223">
        <f>SUM(C20+C34+C48+C62+C76+C90+C104+C118+C132+C146+C160+C174+C188)</f>
        <v>1327100.25</v>
      </c>
      <c r="D194" s="223">
        <f>SUM(D20+D34+D48+D62+D76+D90+D104+D118+D132+D146+D160+D174+D188)</f>
        <v>69986.59</v>
      </c>
      <c r="E194" s="223">
        <f>SUM(E20+E34+E48+E62+E76+E90+E104+E118+E132+E146+E160+E174+E188)</f>
        <v>0</v>
      </c>
      <c r="F194" s="170">
        <v>1</v>
      </c>
      <c r="G194" s="236">
        <f>D194/C194</f>
        <v>5.2736475635506812E-2</v>
      </c>
      <c r="H194" s="246">
        <f>1-G194</f>
        <v>0.94726352436449324</v>
      </c>
    </row>
    <row r="195" spans="1:8" ht="16.5" thickTop="1" x14ac:dyDescent="0.25">
      <c r="A195" s="185"/>
      <c r="B195" s="186"/>
      <c r="C195" s="231"/>
      <c r="D195" s="231"/>
      <c r="E195" s="231"/>
      <c r="F195" s="187"/>
      <c r="G195" s="250"/>
      <c r="H195" s="250"/>
    </row>
    <row r="196" spans="1:8" ht="18.75" x14ac:dyDescent="0.3">
      <c r="A196" s="188" t="s">
        <v>49</v>
      </c>
      <c r="B196" s="189"/>
      <c r="C196" s="232"/>
      <c r="D196" s="232"/>
      <c r="E196" s="232"/>
      <c r="F196" s="190"/>
      <c r="G196" s="251"/>
      <c r="H196" s="251"/>
    </row>
    <row r="197" spans="1:8" ht="15.75" x14ac:dyDescent="0.25">
      <c r="A197" s="191"/>
      <c r="B197" s="189"/>
      <c r="C197" s="232"/>
      <c r="D197" s="232"/>
      <c r="E197" s="232"/>
      <c r="F197" s="190"/>
      <c r="G197" s="257"/>
      <c r="H197" s="257"/>
    </row>
  </sheetData>
  <printOptions horizontalCentered="1"/>
  <pageMargins left="0.7" right="0.45" top="0.25" bottom="0.25" header="0.3" footer="0.3"/>
  <pageSetup scale="65" orientation="landscape" r:id="rId1"/>
  <rowBreaks count="4" manualBreakCount="4">
    <brk id="50" max="16383" man="1"/>
    <brk id="92" max="16383" man="1"/>
    <brk id="134" max="16383" man="1"/>
    <brk id="1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99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DATE(20,7,1)</f>
        <v>7488</v>
      </c>
      <c r="C10" s="226">
        <v>117848324.83</v>
      </c>
      <c r="D10" s="226">
        <v>11655862.98</v>
      </c>
      <c r="E10" s="226">
        <v>12400602.17</v>
      </c>
      <c r="F10" s="166">
        <f t="shared" ref="F10:F18" si="0">(+D10-E10)/E10</f>
        <v>-6.0056695617709627E-2</v>
      </c>
      <c r="G10" s="241">
        <f t="shared" ref="G10:G20" si="1">D10/C10</f>
        <v>9.8905631427633423E-2</v>
      </c>
      <c r="H10" s="242">
        <f t="shared" ref="H10:H20" si="2">1-G10</f>
        <v>0.90109436857236658</v>
      </c>
      <c r="I10" s="157"/>
    </row>
    <row r="11" spans="1:9" ht="15.75" x14ac:dyDescent="0.25">
      <c r="A11" s="164"/>
      <c r="B11" s="165">
        <f>DATE(20,8,1)</f>
        <v>7519</v>
      </c>
      <c r="C11" s="226">
        <v>114424791.59</v>
      </c>
      <c r="D11" s="226">
        <v>11056944.539999999</v>
      </c>
      <c r="E11" s="226">
        <v>12656746.98</v>
      </c>
      <c r="F11" s="166">
        <f t="shared" si="0"/>
        <v>-0.12639918002058387</v>
      </c>
      <c r="G11" s="241">
        <f t="shared" si="1"/>
        <v>9.6630672307611229E-2</v>
      </c>
      <c r="H11" s="242">
        <f t="shared" si="2"/>
        <v>0.90336932769238876</v>
      </c>
      <c r="I11" s="157"/>
    </row>
    <row r="12" spans="1:9" ht="15.75" x14ac:dyDescent="0.25">
      <c r="A12" s="164"/>
      <c r="B12" s="165">
        <f>DATE(20,9,1)</f>
        <v>7550</v>
      </c>
      <c r="C12" s="226">
        <v>114212855.16</v>
      </c>
      <c r="D12" s="226">
        <v>11050997.59</v>
      </c>
      <c r="E12" s="226">
        <v>11070519.380000001</v>
      </c>
      <c r="F12" s="166">
        <f t="shared" si="0"/>
        <v>-1.7634032631991081E-3</v>
      </c>
      <c r="G12" s="241">
        <f t="shared" si="1"/>
        <v>9.6757913761272615E-2</v>
      </c>
      <c r="H12" s="242">
        <f t="shared" si="2"/>
        <v>0.90324208623872737</v>
      </c>
      <c r="I12" s="157"/>
    </row>
    <row r="13" spans="1:9" ht="15.75" x14ac:dyDescent="0.25">
      <c r="A13" s="164"/>
      <c r="B13" s="165">
        <f>DATE(20,10,1)</f>
        <v>7580</v>
      </c>
      <c r="C13" s="226">
        <v>116152341.93000001</v>
      </c>
      <c r="D13" s="226">
        <v>11431719.140000001</v>
      </c>
      <c r="E13" s="226">
        <v>11529928.41</v>
      </c>
      <c r="F13" s="166">
        <f t="shared" si="0"/>
        <v>-8.5177692790201417E-3</v>
      </c>
      <c r="G13" s="241">
        <f t="shared" si="1"/>
        <v>9.8420048619333081E-2</v>
      </c>
      <c r="H13" s="242">
        <f t="shared" si="2"/>
        <v>0.90157995138066693</v>
      </c>
      <c r="I13" s="157"/>
    </row>
    <row r="14" spans="1:9" ht="15.75" x14ac:dyDescent="0.25">
      <c r="A14" s="164"/>
      <c r="B14" s="165">
        <f>DATE(20,11,1)</f>
        <v>7611</v>
      </c>
      <c r="C14" s="226">
        <v>102308816.98999999</v>
      </c>
      <c r="D14" s="226">
        <v>9830852.8200000003</v>
      </c>
      <c r="E14" s="226">
        <v>12272643.01</v>
      </c>
      <c r="F14" s="166">
        <f t="shared" si="0"/>
        <v>-0.19896204819209515</v>
      </c>
      <c r="G14" s="241">
        <f t="shared" si="1"/>
        <v>9.6089986271280028E-2</v>
      </c>
      <c r="H14" s="242">
        <f t="shared" si="2"/>
        <v>0.90391001372871993</v>
      </c>
      <c r="I14" s="157"/>
    </row>
    <row r="15" spans="1:9" ht="15.75" x14ac:dyDescent="0.25">
      <c r="A15" s="164"/>
      <c r="B15" s="165">
        <f>DATE(20,12,1)</f>
        <v>7641</v>
      </c>
      <c r="C15" s="226">
        <v>105823491.84</v>
      </c>
      <c r="D15" s="226">
        <v>10848180.109999999</v>
      </c>
      <c r="E15" s="226">
        <v>12792439.390000001</v>
      </c>
      <c r="F15" s="166">
        <f t="shared" si="0"/>
        <v>-0.15198502965117439</v>
      </c>
      <c r="G15" s="241">
        <f t="shared" si="1"/>
        <v>0.10251202187130549</v>
      </c>
      <c r="H15" s="242">
        <f t="shared" si="2"/>
        <v>0.89748797812869452</v>
      </c>
      <c r="I15" s="157"/>
    </row>
    <row r="16" spans="1:9" ht="15.75" x14ac:dyDescent="0.25">
      <c r="A16" s="164"/>
      <c r="B16" s="165">
        <f>DATE(21,1,1)</f>
        <v>7672</v>
      </c>
      <c r="C16" s="226">
        <v>115733589.67</v>
      </c>
      <c r="D16" s="226">
        <v>11373635.939999999</v>
      </c>
      <c r="E16" s="226">
        <v>10714900.529999999</v>
      </c>
      <c r="F16" s="166">
        <f t="shared" si="0"/>
        <v>6.1478443794755429E-2</v>
      </c>
      <c r="G16" s="241">
        <f t="shared" si="1"/>
        <v>9.8274286423073148E-2</v>
      </c>
      <c r="H16" s="242">
        <f t="shared" si="2"/>
        <v>0.90172571357692688</v>
      </c>
      <c r="I16" s="157"/>
    </row>
    <row r="17" spans="1:9" ht="15.75" x14ac:dyDescent="0.25">
      <c r="A17" s="164"/>
      <c r="B17" s="165">
        <f>DATE(21,2,1)</f>
        <v>7703</v>
      </c>
      <c r="C17" s="226">
        <v>100899847.06999999</v>
      </c>
      <c r="D17" s="226">
        <v>9994364.9199999999</v>
      </c>
      <c r="E17" s="226">
        <v>11908211.5</v>
      </c>
      <c r="F17" s="166">
        <f t="shared" si="0"/>
        <v>-0.16071654253033715</v>
      </c>
      <c r="G17" s="241">
        <f t="shared" si="1"/>
        <v>9.905232971330806E-2</v>
      </c>
      <c r="H17" s="242">
        <f t="shared" si="2"/>
        <v>0.90094767028669198</v>
      </c>
      <c r="I17" s="157"/>
    </row>
    <row r="18" spans="1:9" ht="15.75" x14ac:dyDescent="0.25">
      <c r="A18" s="164"/>
      <c r="B18" s="165">
        <f>DATE(21,3,1)</f>
        <v>7731</v>
      </c>
      <c r="C18" s="226">
        <v>144743304.49000001</v>
      </c>
      <c r="D18" s="226">
        <v>14258928.630000001</v>
      </c>
      <c r="E18" s="226">
        <v>5911698.1600000001</v>
      </c>
      <c r="F18" s="166">
        <f t="shared" si="0"/>
        <v>1.4119852272701285</v>
      </c>
      <c r="G18" s="241">
        <f t="shared" si="1"/>
        <v>9.8511835695896513E-2</v>
      </c>
      <c r="H18" s="242">
        <f t="shared" si="2"/>
        <v>0.9014881643041035</v>
      </c>
      <c r="I18" s="157"/>
    </row>
    <row r="19" spans="1:9" ht="15.75" x14ac:dyDescent="0.25">
      <c r="A19" s="164"/>
      <c r="B19" s="165">
        <f>DATE(21,4,1)</f>
        <v>7762</v>
      </c>
      <c r="C19" s="226">
        <v>137879533.27000001</v>
      </c>
      <c r="D19" s="226">
        <v>13130706.039999999</v>
      </c>
      <c r="E19" s="226">
        <v>0</v>
      </c>
      <c r="F19" s="166">
        <v>1</v>
      </c>
      <c r="G19" s="241">
        <f t="shared" si="1"/>
        <v>9.523317731491765E-2</v>
      </c>
      <c r="H19" s="242">
        <f t="shared" si="2"/>
        <v>0.90476682268508235</v>
      </c>
      <c r="I19" s="157"/>
    </row>
    <row r="20" spans="1:9" ht="15.75" x14ac:dyDescent="0.25">
      <c r="A20" s="164"/>
      <c r="B20" s="165">
        <f>DATE(21,5,1)</f>
        <v>7792</v>
      </c>
      <c r="C20" s="226">
        <v>142020469.27000001</v>
      </c>
      <c r="D20" s="226">
        <v>13791921.35</v>
      </c>
      <c r="E20" s="226">
        <v>0</v>
      </c>
      <c r="F20" s="166">
        <v>1</v>
      </c>
      <c r="G20" s="241">
        <f t="shared" si="1"/>
        <v>9.7112207985876331E-2</v>
      </c>
      <c r="H20" s="242">
        <f t="shared" si="2"/>
        <v>0.90288779201412361</v>
      </c>
      <c r="I20" s="157"/>
    </row>
    <row r="21" spans="1:9" ht="15.75" thickBot="1" x14ac:dyDescent="0.25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7.25" thickTop="1" thickBot="1" x14ac:dyDescent="0.3">
      <c r="A22" s="169" t="s">
        <v>14</v>
      </c>
      <c r="B22" s="155"/>
      <c r="C22" s="223">
        <f>SUM(C10:C21)</f>
        <v>1312047366.1099999</v>
      </c>
      <c r="D22" s="223">
        <f>SUM(D10:D21)</f>
        <v>128424114.06</v>
      </c>
      <c r="E22" s="223">
        <f>SUM(E10:E21)</f>
        <v>101257689.53</v>
      </c>
      <c r="F22" s="170">
        <f>(+D22-E22)/E22</f>
        <v>0.26828999018342503</v>
      </c>
      <c r="G22" s="236">
        <f>D22/C22</f>
        <v>9.7880699567086463E-2</v>
      </c>
      <c r="H22" s="237">
        <f>1-G22</f>
        <v>0.90211930043291355</v>
      </c>
      <c r="I22" s="157"/>
    </row>
    <row r="23" spans="1:9" ht="15.75" thickTop="1" x14ac:dyDescent="0.2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 x14ac:dyDescent="0.25">
      <c r="A24" s="19" t="s">
        <v>48</v>
      </c>
      <c r="B24" s="165">
        <f>DATE(20,7,1)</f>
        <v>7488</v>
      </c>
      <c r="C24" s="226">
        <v>50404182.520000003</v>
      </c>
      <c r="D24" s="226">
        <v>5066109.03</v>
      </c>
      <c r="E24" s="226">
        <v>6237251.8300000001</v>
      </c>
      <c r="F24" s="166">
        <f t="shared" ref="F24:F32" si="3">(+D24-E24)/E24</f>
        <v>-0.1877658353262289</v>
      </c>
      <c r="G24" s="241">
        <f t="shared" ref="G24:G34" si="4">D24/C24</f>
        <v>0.10050969536089205</v>
      </c>
      <c r="H24" s="242">
        <f t="shared" ref="H24:H34" si="5">1-G24</f>
        <v>0.89949030463910795</v>
      </c>
      <c r="I24" s="157"/>
    </row>
    <row r="25" spans="1:9" ht="15.75" x14ac:dyDescent="0.25">
      <c r="A25" s="19"/>
      <c r="B25" s="165">
        <f>DATE(20,8,1)</f>
        <v>7519</v>
      </c>
      <c r="C25" s="226">
        <v>55094697.780000001</v>
      </c>
      <c r="D25" s="226">
        <v>5468550.7300000004</v>
      </c>
      <c r="E25" s="226">
        <v>6248302.3499999996</v>
      </c>
      <c r="F25" s="166">
        <f t="shared" si="3"/>
        <v>-0.12479415628790742</v>
      </c>
      <c r="G25" s="241">
        <f t="shared" si="4"/>
        <v>9.925729608022546E-2</v>
      </c>
      <c r="H25" s="242">
        <f t="shared" si="5"/>
        <v>0.90074270391977451</v>
      </c>
      <c r="I25" s="157"/>
    </row>
    <row r="26" spans="1:9" ht="15.75" x14ac:dyDescent="0.25">
      <c r="A26" s="19"/>
      <c r="B26" s="165">
        <f>DATE(20,9,1)</f>
        <v>7550</v>
      </c>
      <c r="C26" s="226">
        <v>55214801.950000003</v>
      </c>
      <c r="D26" s="226">
        <v>5506925.1600000001</v>
      </c>
      <c r="E26" s="226">
        <v>5841517.5999999996</v>
      </c>
      <c r="F26" s="166">
        <f t="shared" si="3"/>
        <v>-5.727834150495404E-2</v>
      </c>
      <c r="G26" s="241">
        <f t="shared" si="4"/>
        <v>9.9736392516391159E-2</v>
      </c>
      <c r="H26" s="242">
        <f t="shared" si="5"/>
        <v>0.90026360748360879</v>
      </c>
      <c r="I26" s="157"/>
    </row>
    <row r="27" spans="1:9" ht="15.75" x14ac:dyDescent="0.25">
      <c r="A27" s="19"/>
      <c r="B27" s="165">
        <f>DATE(20,10,1)</f>
        <v>7580</v>
      </c>
      <c r="C27" s="226">
        <v>53988473.469999999</v>
      </c>
      <c r="D27" s="226">
        <v>5104255.3899999997</v>
      </c>
      <c r="E27" s="226">
        <v>5457854.2400000002</v>
      </c>
      <c r="F27" s="166">
        <f t="shared" si="3"/>
        <v>-6.4787155253893433E-2</v>
      </c>
      <c r="G27" s="241">
        <f t="shared" si="4"/>
        <v>9.4543428660495518E-2</v>
      </c>
      <c r="H27" s="242">
        <f t="shared" si="5"/>
        <v>0.90545657133950452</v>
      </c>
      <c r="I27" s="157"/>
    </row>
    <row r="28" spans="1:9" ht="15.75" x14ac:dyDescent="0.25">
      <c r="A28" s="19"/>
      <c r="B28" s="165">
        <f>DATE(20,11,1)</f>
        <v>7611</v>
      </c>
      <c r="C28" s="226">
        <v>49119685.869999997</v>
      </c>
      <c r="D28" s="226">
        <v>4814628.37</v>
      </c>
      <c r="E28" s="226">
        <v>5836194.6699999999</v>
      </c>
      <c r="F28" s="166">
        <f t="shared" si="3"/>
        <v>-0.17503979181009735</v>
      </c>
      <c r="G28" s="241">
        <f t="shared" si="4"/>
        <v>9.8018305384573914E-2</v>
      </c>
      <c r="H28" s="242">
        <f t="shared" si="5"/>
        <v>0.9019816946154261</v>
      </c>
      <c r="I28" s="157"/>
    </row>
    <row r="29" spans="1:9" ht="15.75" x14ac:dyDescent="0.25">
      <c r="A29" s="19"/>
      <c r="B29" s="165">
        <f>DATE(20,12,1)</f>
        <v>7641</v>
      </c>
      <c r="C29" s="226">
        <v>52195306.520000003</v>
      </c>
      <c r="D29" s="226">
        <v>5255704.49</v>
      </c>
      <c r="E29" s="226">
        <v>5543658.9900000002</v>
      </c>
      <c r="F29" s="166">
        <f t="shared" si="3"/>
        <v>-5.1943039880236207E-2</v>
      </c>
      <c r="G29" s="241">
        <f t="shared" si="4"/>
        <v>0.10069304771658232</v>
      </c>
      <c r="H29" s="242">
        <f t="shared" si="5"/>
        <v>0.89930695228341773</v>
      </c>
      <c r="I29" s="157"/>
    </row>
    <row r="30" spans="1:9" ht="15.75" x14ac:dyDescent="0.25">
      <c r="A30" s="19"/>
      <c r="B30" s="165">
        <f>DATE(21,1,1)</f>
        <v>7672</v>
      </c>
      <c r="C30" s="226">
        <v>63984289.189999998</v>
      </c>
      <c r="D30" s="226">
        <v>6374309.2999999998</v>
      </c>
      <c r="E30" s="226">
        <v>5017454.9000000004</v>
      </c>
      <c r="F30" s="166">
        <f t="shared" si="3"/>
        <v>0.27042682536120044</v>
      </c>
      <c r="G30" s="241">
        <f t="shared" si="4"/>
        <v>9.9623038416065277E-2</v>
      </c>
      <c r="H30" s="242">
        <f t="shared" si="5"/>
        <v>0.90037696158393477</v>
      </c>
      <c r="I30" s="157"/>
    </row>
    <row r="31" spans="1:9" ht="15.75" x14ac:dyDescent="0.25">
      <c r="A31" s="19"/>
      <c r="B31" s="165">
        <f>DATE(21,2,1)</f>
        <v>7703</v>
      </c>
      <c r="C31" s="226">
        <v>52614630.200000003</v>
      </c>
      <c r="D31" s="226">
        <v>5505403.3499999996</v>
      </c>
      <c r="E31" s="226">
        <v>6113250.5700000003</v>
      </c>
      <c r="F31" s="166">
        <f t="shared" si="3"/>
        <v>-9.9431098568564094E-2</v>
      </c>
      <c r="G31" s="241">
        <f t="shared" si="4"/>
        <v>0.10463635929916693</v>
      </c>
      <c r="H31" s="242">
        <f t="shared" si="5"/>
        <v>0.89536364070083307</v>
      </c>
      <c r="I31" s="157"/>
    </row>
    <row r="32" spans="1:9" ht="15.75" x14ac:dyDescent="0.25">
      <c r="A32" s="19"/>
      <c r="B32" s="165">
        <f>DATE(21,3,1)</f>
        <v>7731</v>
      </c>
      <c r="C32" s="226">
        <v>79747979.609999999</v>
      </c>
      <c r="D32" s="226">
        <v>7970520.96</v>
      </c>
      <c r="E32" s="226">
        <v>3135575.4</v>
      </c>
      <c r="F32" s="166">
        <f t="shared" si="3"/>
        <v>1.5419643743856393</v>
      </c>
      <c r="G32" s="241">
        <f t="shared" si="4"/>
        <v>9.994636853471503E-2</v>
      </c>
      <c r="H32" s="242">
        <f t="shared" si="5"/>
        <v>0.90005363146528494</v>
      </c>
      <c r="I32" s="157"/>
    </row>
    <row r="33" spans="1:9" ht="15.75" x14ac:dyDescent="0.25">
      <c r="A33" s="19"/>
      <c r="B33" s="165">
        <f>DATE(21,4,1)</f>
        <v>7762</v>
      </c>
      <c r="C33" s="226">
        <v>73272554.650000006</v>
      </c>
      <c r="D33" s="226">
        <v>7582503.6200000001</v>
      </c>
      <c r="E33" s="226">
        <v>0</v>
      </c>
      <c r="F33" s="166">
        <v>1</v>
      </c>
      <c r="G33" s="241">
        <f t="shared" si="4"/>
        <v>0.10348354382100146</v>
      </c>
      <c r="H33" s="242">
        <f t="shared" si="5"/>
        <v>0.89651645617899856</v>
      </c>
      <c r="I33" s="157"/>
    </row>
    <row r="34" spans="1:9" ht="15.75" x14ac:dyDescent="0.25">
      <c r="A34" s="19"/>
      <c r="B34" s="165">
        <f>DATE(21,5,1)</f>
        <v>7792</v>
      </c>
      <c r="C34" s="226">
        <v>75434364.439999998</v>
      </c>
      <c r="D34" s="226">
        <v>7714389.5300000003</v>
      </c>
      <c r="E34" s="226">
        <v>0</v>
      </c>
      <c r="F34" s="166">
        <v>1</v>
      </c>
      <c r="G34" s="241">
        <f t="shared" si="4"/>
        <v>0.1022662494377609</v>
      </c>
      <c r="H34" s="242">
        <f t="shared" si="5"/>
        <v>0.89773375056223914</v>
      </c>
      <c r="I34" s="157"/>
    </row>
    <row r="35" spans="1:9" ht="15.75" thickBot="1" x14ac:dyDescent="0.25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Top="1" thickBot="1" x14ac:dyDescent="0.3">
      <c r="A36" s="169" t="s">
        <v>14</v>
      </c>
      <c r="B36" s="155"/>
      <c r="C36" s="223">
        <f>SUM(C24:C35)</f>
        <v>661070966.20000005</v>
      </c>
      <c r="D36" s="223">
        <f>SUM(D24:D35)</f>
        <v>66363299.93</v>
      </c>
      <c r="E36" s="223">
        <f>SUM(E24:E35)</f>
        <v>49431060.550000004</v>
      </c>
      <c r="F36" s="170">
        <f>(+D36-E36)/E36</f>
        <v>0.34254250650505197</v>
      </c>
      <c r="G36" s="236">
        <f>D36/C36</f>
        <v>0.100387557952322</v>
      </c>
      <c r="H36" s="237">
        <f>1-G36</f>
        <v>0.89961244204767798</v>
      </c>
      <c r="I36" s="157"/>
    </row>
    <row r="37" spans="1:9" ht="15.75" thickTop="1" x14ac:dyDescent="0.2">
      <c r="A37" s="171"/>
      <c r="B37" s="172"/>
      <c r="C37" s="227"/>
      <c r="D37" s="227"/>
      <c r="E37" s="227"/>
      <c r="F37" s="173"/>
      <c r="G37" s="243"/>
      <c r="H37" s="244"/>
      <c r="I37" s="157"/>
    </row>
    <row r="38" spans="1:9" ht="15.75" x14ac:dyDescent="0.25">
      <c r="A38" s="19" t="s">
        <v>65</v>
      </c>
      <c r="B38" s="165">
        <f>DATE(20,7,1)</f>
        <v>7488</v>
      </c>
      <c r="C38" s="226">
        <v>28855708.969999999</v>
      </c>
      <c r="D38" s="226">
        <v>3105687.6</v>
      </c>
      <c r="E38" s="226">
        <v>2967073.27</v>
      </c>
      <c r="F38" s="166">
        <f t="shared" ref="F38:F46" si="6">(+D38-E38)/E38</f>
        <v>4.6717528482200267E-2</v>
      </c>
      <c r="G38" s="241">
        <f t="shared" ref="G38:G48" si="7">D38/C38</f>
        <v>0.10762818557772556</v>
      </c>
      <c r="H38" s="242">
        <f t="shared" ref="H38:H48" si="8">1-G38</f>
        <v>0.89237181442227442</v>
      </c>
      <c r="I38" s="157"/>
    </row>
    <row r="39" spans="1:9" ht="15.75" x14ac:dyDescent="0.25">
      <c r="A39" s="19"/>
      <c r="B39" s="165">
        <f>DATE(20,8,1)</f>
        <v>7519</v>
      </c>
      <c r="C39" s="226">
        <v>29064729.829999998</v>
      </c>
      <c r="D39" s="226">
        <v>3031801</v>
      </c>
      <c r="E39" s="226">
        <v>2916117.84</v>
      </c>
      <c r="F39" s="166">
        <f t="shared" si="6"/>
        <v>3.9670262433564807E-2</v>
      </c>
      <c r="G39" s="241">
        <f t="shared" si="7"/>
        <v>0.10431203103325046</v>
      </c>
      <c r="H39" s="242">
        <f t="shared" si="8"/>
        <v>0.89568796896674951</v>
      </c>
      <c r="I39" s="157"/>
    </row>
    <row r="40" spans="1:9" ht="15.75" x14ac:dyDescent="0.25">
      <c r="A40" s="19"/>
      <c r="B40" s="165">
        <f>DATE(20,9,1)</f>
        <v>7550</v>
      </c>
      <c r="C40" s="226">
        <v>27838192.809999999</v>
      </c>
      <c r="D40" s="226">
        <v>2818231.18</v>
      </c>
      <c r="E40" s="226">
        <v>2810959.49</v>
      </c>
      <c r="F40" s="166">
        <f t="shared" si="6"/>
        <v>2.5869067220175212E-3</v>
      </c>
      <c r="G40" s="241">
        <f t="shared" si="7"/>
        <v>0.10123613983259858</v>
      </c>
      <c r="H40" s="242">
        <f t="shared" si="8"/>
        <v>0.8987638601674014</v>
      </c>
      <c r="I40" s="157"/>
    </row>
    <row r="41" spans="1:9" ht="15.75" x14ac:dyDescent="0.25">
      <c r="A41" s="19"/>
      <c r="B41" s="165">
        <f>DATE(20,10,1)</f>
        <v>7580</v>
      </c>
      <c r="C41" s="226">
        <v>28682754.149999999</v>
      </c>
      <c r="D41" s="226">
        <v>2969140.93</v>
      </c>
      <c r="E41" s="226">
        <v>2793135.18</v>
      </c>
      <c r="F41" s="166">
        <f t="shared" si="6"/>
        <v>6.3013688438810181E-2</v>
      </c>
      <c r="G41" s="241">
        <f t="shared" si="7"/>
        <v>0.10351659099654488</v>
      </c>
      <c r="H41" s="242">
        <f t="shared" si="8"/>
        <v>0.89648340900345513</v>
      </c>
      <c r="I41" s="157"/>
    </row>
    <row r="42" spans="1:9" ht="15.75" x14ac:dyDescent="0.25">
      <c r="A42" s="19"/>
      <c r="B42" s="165">
        <f>DATE(20,11,1)</f>
        <v>7611</v>
      </c>
      <c r="C42" s="226">
        <v>25814394.190000001</v>
      </c>
      <c r="D42" s="226">
        <v>2745164.62</v>
      </c>
      <c r="E42" s="226">
        <v>2801393.45</v>
      </c>
      <c r="F42" s="166">
        <f t="shared" si="6"/>
        <v>-2.007173608548277E-2</v>
      </c>
      <c r="G42" s="241">
        <f t="shared" si="7"/>
        <v>0.10634239950761362</v>
      </c>
      <c r="H42" s="242">
        <f t="shared" si="8"/>
        <v>0.89365760049238641</v>
      </c>
      <c r="I42" s="157"/>
    </row>
    <row r="43" spans="1:9" ht="15.75" x14ac:dyDescent="0.25">
      <c r="A43" s="19"/>
      <c r="B43" s="165">
        <f>DATE(20,12,1)</f>
        <v>7641</v>
      </c>
      <c r="C43" s="226">
        <v>28285885.030000001</v>
      </c>
      <c r="D43" s="226">
        <v>2957388.53</v>
      </c>
      <c r="E43" s="226">
        <v>3071223.19</v>
      </c>
      <c r="F43" s="166">
        <f t="shared" si="6"/>
        <v>-3.7064925913118073E-2</v>
      </c>
      <c r="G43" s="241">
        <f t="shared" si="7"/>
        <v>0.10455350882121575</v>
      </c>
      <c r="H43" s="242">
        <f t="shared" si="8"/>
        <v>0.89544649117878428</v>
      </c>
      <c r="I43" s="157"/>
    </row>
    <row r="44" spans="1:9" ht="15.75" x14ac:dyDescent="0.25">
      <c r="A44" s="19"/>
      <c r="B44" s="165">
        <f>DATE(21,1,1)</f>
        <v>7672</v>
      </c>
      <c r="C44" s="226">
        <v>35752441.079999998</v>
      </c>
      <c r="D44" s="226">
        <v>3739186.99</v>
      </c>
      <c r="E44" s="226">
        <v>2879669.48</v>
      </c>
      <c r="F44" s="166">
        <f t="shared" si="6"/>
        <v>0.29847783433812697</v>
      </c>
      <c r="G44" s="241">
        <f t="shared" si="7"/>
        <v>0.10458550177407916</v>
      </c>
      <c r="H44" s="242">
        <f t="shared" si="8"/>
        <v>0.8954144982259209</v>
      </c>
      <c r="I44" s="157"/>
    </row>
    <row r="45" spans="1:9" ht="15.75" x14ac:dyDescent="0.25">
      <c r="A45" s="19"/>
      <c r="B45" s="165">
        <f>DATE(21,2,1)</f>
        <v>7703</v>
      </c>
      <c r="C45" s="226">
        <v>24947536.66</v>
      </c>
      <c r="D45" s="226">
        <v>2745767.52</v>
      </c>
      <c r="E45" s="226">
        <v>3109782.22</v>
      </c>
      <c r="F45" s="166">
        <f t="shared" si="6"/>
        <v>-0.11705472417293587</v>
      </c>
      <c r="G45" s="241">
        <f t="shared" si="7"/>
        <v>0.1100616689102803</v>
      </c>
      <c r="H45" s="242">
        <f t="shared" si="8"/>
        <v>0.88993833108971976</v>
      </c>
      <c r="I45" s="157"/>
    </row>
    <row r="46" spans="1:9" ht="15.75" x14ac:dyDescent="0.25">
      <c r="A46" s="19"/>
      <c r="B46" s="165">
        <f>DATE(21,3,1)</f>
        <v>7731</v>
      </c>
      <c r="C46" s="226">
        <v>46926675.240000002</v>
      </c>
      <c r="D46" s="226">
        <v>4916550.05</v>
      </c>
      <c r="E46" s="226">
        <v>1626583.08</v>
      </c>
      <c r="F46" s="166">
        <f t="shared" si="6"/>
        <v>2.0226246113417088</v>
      </c>
      <c r="G46" s="241">
        <f t="shared" si="7"/>
        <v>0.10477090108887926</v>
      </c>
      <c r="H46" s="242">
        <f t="shared" si="8"/>
        <v>0.89522909891112068</v>
      </c>
      <c r="I46" s="157"/>
    </row>
    <row r="47" spans="1:9" ht="15.75" x14ac:dyDescent="0.25">
      <c r="A47" s="19"/>
      <c r="B47" s="165">
        <f>DATE(21,4,1)</f>
        <v>7762</v>
      </c>
      <c r="C47" s="226">
        <v>45825821.18</v>
      </c>
      <c r="D47" s="226">
        <v>5056717.6399999997</v>
      </c>
      <c r="E47" s="226">
        <v>0</v>
      </c>
      <c r="F47" s="166">
        <v>1</v>
      </c>
      <c r="G47" s="241">
        <f t="shared" si="7"/>
        <v>0.1103464708278251</v>
      </c>
      <c r="H47" s="242">
        <f t="shared" si="8"/>
        <v>0.88965352917217488</v>
      </c>
      <c r="I47" s="157"/>
    </row>
    <row r="48" spans="1:9" ht="15.75" x14ac:dyDescent="0.25">
      <c r="A48" s="19"/>
      <c r="B48" s="165">
        <f>DATE(21,5,1)</f>
        <v>7792</v>
      </c>
      <c r="C48" s="226">
        <v>43246880.600000001</v>
      </c>
      <c r="D48" s="226">
        <v>4511191.21</v>
      </c>
      <c r="E48" s="226">
        <v>0</v>
      </c>
      <c r="F48" s="166">
        <v>1</v>
      </c>
      <c r="G48" s="241">
        <f t="shared" si="7"/>
        <v>0.10431252260076301</v>
      </c>
      <c r="H48" s="242">
        <f t="shared" si="8"/>
        <v>0.89568747739923693</v>
      </c>
      <c r="I48" s="157"/>
    </row>
    <row r="49" spans="1:9" ht="15.75" thickBot="1" x14ac:dyDescent="0.25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Top="1" thickBot="1" x14ac:dyDescent="0.3">
      <c r="A50" s="174" t="s">
        <v>14</v>
      </c>
      <c r="B50" s="175"/>
      <c r="C50" s="228">
        <f>SUM(C38:C49)</f>
        <v>365241019.74000001</v>
      </c>
      <c r="D50" s="228">
        <f>SUM(D38:D49)</f>
        <v>38596827.270000003</v>
      </c>
      <c r="E50" s="228">
        <f>SUM(E38:E49)</f>
        <v>24975937.200000003</v>
      </c>
      <c r="F50" s="176">
        <f>(+D50-E50)/E50</f>
        <v>0.54536051884371328</v>
      </c>
      <c r="G50" s="245">
        <f>D50/C50</f>
        <v>0.10567495211100739</v>
      </c>
      <c r="H50" s="246">
        <f>1-G50</f>
        <v>0.89432504788899259</v>
      </c>
      <c r="I50" s="157"/>
    </row>
    <row r="51" spans="1:9" ht="15.75" thickTop="1" x14ac:dyDescent="0.2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 x14ac:dyDescent="0.25">
      <c r="A52" s="177" t="s">
        <v>59</v>
      </c>
      <c r="B52" s="165">
        <f>DATE(20,7,1)</f>
        <v>7488</v>
      </c>
      <c r="C52" s="226">
        <v>143439230.22</v>
      </c>
      <c r="D52" s="226">
        <v>12870761.890000001</v>
      </c>
      <c r="E52" s="226">
        <v>17279710.350000001</v>
      </c>
      <c r="F52" s="166">
        <f t="shared" ref="F52:F60" si="9">(+D52-E52)/E52</f>
        <v>-0.2551517572168101</v>
      </c>
      <c r="G52" s="241">
        <f t="shared" ref="G52:G62" si="10">D52/C52</f>
        <v>8.9729719479527764E-2</v>
      </c>
      <c r="H52" s="242">
        <f t="shared" ref="H52:H62" si="11">1-G52</f>
        <v>0.91027028052047221</v>
      </c>
      <c r="I52" s="157"/>
    </row>
    <row r="53" spans="1:9" ht="15.75" x14ac:dyDescent="0.25">
      <c r="A53" s="177"/>
      <c r="B53" s="165">
        <f>DATE(20,8,1)</f>
        <v>7519</v>
      </c>
      <c r="C53" s="226">
        <v>144700809.44999999</v>
      </c>
      <c r="D53" s="226">
        <v>13070251.67</v>
      </c>
      <c r="E53" s="226">
        <v>17467037.460000001</v>
      </c>
      <c r="F53" s="166">
        <f t="shared" si="9"/>
        <v>-0.25171903364086567</v>
      </c>
      <c r="G53" s="241">
        <f t="shared" si="10"/>
        <v>9.0326043922486166E-2</v>
      </c>
      <c r="H53" s="242">
        <f t="shared" si="11"/>
        <v>0.90967395607751378</v>
      </c>
      <c r="I53" s="157"/>
    </row>
    <row r="54" spans="1:9" ht="15.75" x14ac:dyDescent="0.25">
      <c r="A54" s="177"/>
      <c r="B54" s="165">
        <f>DATE(20,9,1)</f>
        <v>7550</v>
      </c>
      <c r="C54" s="226">
        <v>139818303.37</v>
      </c>
      <c r="D54" s="226">
        <v>12783360.18</v>
      </c>
      <c r="E54" s="226">
        <v>16156127.949999999</v>
      </c>
      <c r="F54" s="166">
        <f t="shared" si="9"/>
        <v>-0.20876089744015675</v>
      </c>
      <c r="G54" s="241">
        <f t="shared" si="10"/>
        <v>9.1428374339313084E-2</v>
      </c>
      <c r="H54" s="242">
        <f t="shared" si="11"/>
        <v>0.90857162566068694</v>
      </c>
      <c r="I54" s="157"/>
    </row>
    <row r="55" spans="1:9" ht="15.75" x14ac:dyDescent="0.25">
      <c r="A55" s="177"/>
      <c r="B55" s="165">
        <f>DATE(20,10,1)</f>
        <v>7580</v>
      </c>
      <c r="C55" s="226">
        <v>145940508.44</v>
      </c>
      <c r="D55" s="226">
        <v>13822122.460000001</v>
      </c>
      <c r="E55" s="226">
        <v>15798088.050000001</v>
      </c>
      <c r="F55" s="166">
        <f t="shared" si="9"/>
        <v>-0.12507624870466524</v>
      </c>
      <c r="G55" s="241">
        <f t="shared" si="10"/>
        <v>9.4710664007879905E-2</v>
      </c>
      <c r="H55" s="242">
        <f t="shared" si="11"/>
        <v>0.90528933599212014</v>
      </c>
      <c r="I55" s="157"/>
    </row>
    <row r="56" spans="1:9" ht="15.75" x14ac:dyDescent="0.25">
      <c r="A56" s="177"/>
      <c r="B56" s="165">
        <f>DATE(20,11,1)</f>
        <v>7611</v>
      </c>
      <c r="C56" s="226">
        <v>125885717.19</v>
      </c>
      <c r="D56" s="226">
        <v>11508836.74</v>
      </c>
      <c r="E56" s="226">
        <v>16997575.629999999</v>
      </c>
      <c r="F56" s="166">
        <f t="shared" si="9"/>
        <v>-0.3229130441586392</v>
      </c>
      <c r="G56" s="241">
        <f t="shared" si="10"/>
        <v>9.1422895280722352E-2</v>
      </c>
      <c r="H56" s="242">
        <f t="shared" si="11"/>
        <v>0.90857710471927766</v>
      </c>
      <c r="I56" s="157"/>
    </row>
    <row r="57" spans="1:9" ht="15.75" x14ac:dyDescent="0.25">
      <c r="A57" s="177"/>
      <c r="B57" s="165">
        <f>DATE(20,12,1)</f>
        <v>7641</v>
      </c>
      <c r="C57" s="226">
        <v>127434010.31</v>
      </c>
      <c r="D57" s="226">
        <v>12101151.109999999</v>
      </c>
      <c r="E57" s="226">
        <v>16683119.9</v>
      </c>
      <c r="F57" s="166">
        <f t="shared" si="9"/>
        <v>-0.27464699753191851</v>
      </c>
      <c r="G57" s="241">
        <f t="shared" si="10"/>
        <v>9.4960137255057392E-2</v>
      </c>
      <c r="H57" s="242">
        <f t="shared" si="11"/>
        <v>0.90503986274494264</v>
      </c>
      <c r="I57" s="157"/>
    </row>
    <row r="58" spans="1:9" ht="15.75" x14ac:dyDescent="0.25">
      <c r="A58" s="177"/>
      <c r="B58" s="165">
        <f>DATE(21,1,1)</f>
        <v>7672</v>
      </c>
      <c r="C58" s="226">
        <v>130447012.61</v>
      </c>
      <c r="D58" s="226">
        <v>12204646.310000001</v>
      </c>
      <c r="E58" s="226">
        <v>16201519.720000001</v>
      </c>
      <c r="F58" s="166">
        <f t="shared" si="9"/>
        <v>-0.24669743820797571</v>
      </c>
      <c r="G58" s="241">
        <f t="shared" si="10"/>
        <v>9.3560182527816657E-2</v>
      </c>
      <c r="H58" s="242">
        <f t="shared" si="11"/>
        <v>0.90643981747218338</v>
      </c>
      <c r="I58" s="157"/>
    </row>
    <row r="59" spans="1:9" ht="15.75" x14ac:dyDescent="0.25">
      <c r="A59" s="177"/>
      <c r="B59" s="165">
        <f>DATE(21,2,1)</f>
        <v>7703</v>
      </c>
      <c r="C59" s="226">
        <v>107999880.94</v>
      </c>
      <c r="D59" s="226">
        <v>10252818.6</v>
      </c>
      <c r="E59" s="226">
        <v>17277967.890000001</v>
      </c>
      <c r="F59" s="166">
        <f t="shared" si="9"/>
        <v>-0.40659580656275895</v>
      </c>
      <c r="G59" s="241">
        <f t="shared" si="10"/>
        <v>9.4933610211070663E-2</v>
      </c>
      <c r="H59" s="242">
        <f t="shared" si="11"/>
        <v>0.90506638978892928</v>
      </c>
      <c r="I59" s="157"/>
    </row>
    <row r="60" spans="1:9" ht="15.75" x14ac:dyDescent="0.25">
      <c r="A60" s="177"/>
      <c r="B60" s="165">
        <f>DATE(21,3,1)</f>
        <v>7731</v>
      </c>
      <c r="C60" s="226">
        <v>158129137.19999999</v>
      </c>
      <c r="D60" s="226">
        <v>14669876.65</v>
      </c>
      <c r="E60" s="226">
        <v>8020184.3399999999</v>
      </c>
      <c r="F60" s="166">
        <f t="shared" si="9"/>
        <v>0.82911963467413274</v>
      </c>
      <c r="G60" s="241">
        <f t="shared" si="10"/>
        <v>9.2771496194567246E-2</v>
      </c>
      <c r="H60" s="242">
        <f t="shared" si="11"/>
        <v>0.90722850380543274</v>
      </c>
      <c r="I60" s="157"/>
    </row>
    <row r="61" spans="1:9" ht="15.75" x14ac:dyDescent="0.25">
      <c r="A61" s="177"/>
      <c r="B61" s="165">
        <f>DATE(21,4,1)</f>
        <v>7762</v>
      </c>
      <c r="C61" s="226">
        <v>164755479.81</v>
      </c>
      <c r="D61" s="226">
        <v>15179487.01</v>
      </c>
      <c r="E61" s="226">
        <v>0</v>
      </c>
      <c r="F61" s="166">
        <v>1</v>
      </c>
      <c r="G61" s="241">
        <f t="shared" si="10"/>
        <v>9.2133427231102419E-2</v>
      </c>
      <c r="H61" s="242">
        <f t="shared" si="11"/>
        <v>0.9078665727688976</v>
      </c>
      <c r="I61" s="157"/>
    </row>
    <row r="62" spans="1:9" ht="15.75" x14ac:dyDescent="0.25">
      <c r="A62" s="177"/>
      <c r="B62" s="165">
        <f>DATE(21,5,1)</f>
        <v>7792</v>
      </c>
      <c r="C62" s="226">
        <v>187476523.72999999</v>
      </c>
      <c r="D62" s="226">
        <v>17577497.16</v>
      </c>
      <c r="E62" s="226">
        <v>0</v>
      </c>
      <c r="F62" s="166">
        <v>1</v>
      </c>
      <c r="G62" s="241">
        <f t="shared" si="10"/>
        <v>9.375839070557318E-2</v>
      </c>
      <c r="H62" s="242">
        <f t="shared" si="11"/>
        <v>0.90624160929442676</v>
      </c>
      <c r="I62" s="157"/>
    </row>
    <row r="63" spans="1:9" ht="15.75" thickBot="1" x14ac:dyDescent="0.25">
      <c r="A63" s="167"/>
      <c r="B63" s="168"/>
      <c r="C63" s="226"/>
      <c r="D63" s="226"/>
      <c r="E63" s="226"/>
      <c r="F63" s="166"/>
      <c r="G63" s="241"/>
      <c r="H63" s="242"/>
      <c r="I63" s="157"/>
    </row>
    <row r="64" spans="1:9" ht="17.25" thickTop="1" thickBot="1" x14ac:dyDescent="0.3">
      <c r="A64" s="174" t="s">
        <v>14</v>
      </c>
      <c r="B64" s="178"/>
      <c r="C64" s="228">
        <f>SUM(C52:C63)</f>
        <v>1576026613.27</v>
      </c>
      <c r="D64" s="228">
        <f>SUM(D52:D63)</f>
        <v>146040809.78000003</v>
      </c>
      <c r="E64" s="228">
        <f>SUM(E52:E63)</f>
        <v>141881331.28999999</v>
      </c>
      <c r="F64" s="176">
        <f>(+D64-E64)/E64</f>
        <v>2.9316601783910705E-2</v>
      </c>
      <c r="G64" s="245">
        <f>D64/C64</f>
        <v>9.2663923661155057E-2</v>
      </c>
      <c r="H64" s="246">
        <f>1-G64</f>
        <v>0.90733607633884494</v>
      </c>
      <c r="I64" s="157"/>
    </row>
    <row r="65" spans="1:9" ht="15.75" thickTop="1" x14ac:dyDescent="0.2">
      <c r="A65" s="167"/>
      <c r="B65" s="168"/>
      <c r="C65" s="226"/>
      <c r="D65" s="226"/>
      <c r="E65" s="226"/>
      <c r="F65" s="166"/>
      <c r="G65" s="241"/>
      <c r="H65" s="242"/>
      <c r="I65" s="157"/>
    </row>
    <row r="66" spans="1:9" ht="15.75" x14ac:dyDescent="0.25">
      <c r="A66" s="164" t="s">
        <v>63</v>
      </c>
      <c r="B66" s="165">
        <f>DATE(20,7,1)</f>
        <v>7488</v>
      </c>
      <c r="C66" s="226">
        <v>129097611.84999999</v>
      </c>
      <c r="D66" s="226">
        <v>13388447.99</v>
      </c>
      <c r="E66" s="226">
        <v>11411946.24</v>
      </c>
      <c r="F66" s="166">
        <f t="shared" ref="F66:F74" si="12">(+D66-E66)/E66</f>
        <v>0.17319585182343095</v>
      </c>
      <c r="G66" s="241">
        <f t="shared" ref="G66:G76" si="13">D66/C66</f>
        <v>0.10370794469502807</v>
      </c>
      <c r="H66" s="242">
        <f t="shared" ref="H66:H76" si="14">1-G66</f>
        <v>0.89629205530497191</v>
      </c>
      <c r="I66" s="157"/>
    </row>
    <row r="67" spans="1:9" ht="15.75" x14ac:dyDescent="0.25">
      <c r="A67" s="164"/>
      <c r="B67" s="165">
        <f>DATE(20,8,1)</f>
        <v>7519</v>
      </c>
      <c r="C67" s="226">
        <v>126740821.34999999</v>
      </c>
      <c r="D67" s="226">
        <v>12503132.880000001</v>
      </c>
      <c r="E67" s="226">
        <v>12220877.76</v>
      </c>
      <c r="F67" s="166">
        <f t="shared" si="12"/>
        <v>2.3096141336414206E-2</v>
      </c>
      <c r="G67" s="241">
        <f t="shared" si="13"/>
        <v>9.8651190254417598E-2</v>
      </c>
      <c r="H67" s="242">
        <f t="shared" si="14"/>
        <v>0.9013488097455824</v>
      </c>
      <c r="I67" s="157"/>
    </row>
    <row r="68" spans="1:9" ht="15.75" x14ac:dyDescent="0.25">
      <c r="A68" s="164"/>
      <c r="B68" s="165">
        <f>DATE(20,9,1)</f>
        <v>7550</v>
      </c>
      <c r="C68" s="226">
        <v>113747305.23</v>
      </c>
      <c r="D68" s="226">
        <v>11218535.91</v>
      </c>
      <c r="E68" s="226">
        <v>11441376.58</v>
      </c>
      <c r="F68" s="166">
        <f t="shared" si="12"/>
        <v>-1.9476735901651436E-2</v>
      </c>
      <c r="G68" s="241">
        <f t="shared" si="13"/>
        <v>9.8626828014218265E-2</v>
      </c>
      <c r="H68" s="242">
        <f t="shared" si="14"/>
        <v>0.90137317198578171</v>
      </c>
      <c r="I68" s="157"/>
    </row>
    <row r="69" spans="1:9" ht="15.75" x14ac:dyDescent="0.25">
      <c r="A69" s="164"/>
      <c r="B69" s="165">
        <f>DATE(20,10,1)</f>
        <v>7580</v>
      </c>
      <c r="C69" s="226">
        <v>112893213.81</v>
      </c>
      <c r="D69" s="226">
        <v>11439504.380000001</v>
      </c>
      <c r="E69" s="226">
        <v>11451574.32</v>
      </c>
      <c r="F69" s="166">
        <f t="shared" si="12"/>
        <v>-1.0539983117360127E-3</v>
      </c>
      <c r="G69" s="241">
        <f t="shared" si="13"/>
        <v>0.10133031024568721</v>
      </c>
      <c r="H69" s="242">
        <f t="shared" si="14"/>
        <v>0.89866968975431283</v>
      </c>
      <c r="I69" s="157"/>
    </row>
    <row r="70" spans="1:9" ht="15.75" x14ac:dyDescent="0.25">
      <c r="A70" s="164"/>
      <c r="B70" s="165">
        <f>DATE(20,11,1)</f>
        <v>7611</v>
      </c>
      <c r="C70" s="226">
        <v>102860879.98999999</v>
      </c>
      <c r="D70" s="226">
        <v>10067796.140000001</v>
      </c>
      <c r="E70" s="226">
        <v>11824386.49</v>
      </c>
      <c r="F70" s="166">
        <f t="shared" si="12"/>
        <v>-0.14855657428700977</v>
      </c>
      <c r="G70" s="241">
        <f t="shared" si="13"/>
        <v>9.787779514407012E-2</v>
      </c>
      <c r="H70" s="242">
        <f t="shared" si="14"/>
        <v>0.90212220485592987</v>
      </c>
      <c r="I70" s="157"/>
    </row>
    <row r="71" spans="1:9" ht="15.75" x14ac:dyDescent="0.25">
      <c r="A71" s="164"/>
      <c r="B71" s="165">
        <f>DATE(20,12,1)</f>
        <v>7641</v>
      </c>
      <c r="C71" s="226">
        <v>108722235.14</v>
      </c>
      <c r="D71" s="226">
        <v>10607281.23</v>
      </c>
      <c r="E71" s="226">
        <v>12045926.43</v>
      </c>
      <c r="F71" s="166">
        <f t="shared" si="12"/>
        <v>-0.11943001713982736</v>
      </c>
      <c r="G71" s="241">
        <f t="shared" si="13"/>
        <v>9.7563126956883864E-2</v>
      </c>
      <c r="H71" s="242">
        <f t="shared" si="14"/>
        <v>0.90243687304311615</v>
      </c>
      <c r="I71" s="157"/>
    </row>
    <row r="72" spans="1:9" ht="15.75" x14ac:dyDescent="0.25">
      <c r="A72" s="164"/>
      <c r="B72" s="165">
        <f>DATE(21,1,1)</f>
        <v>7672</v>
      </c>
      <c r="C72" s="226">
        <v>120263557.15000001</v>
      </c>
      <c r="D72" s="226">
        <v>11913560.08</v>
      </c>
      <c r="E72" s="226">
        <v>10728742.130000001</v>
      </c>
      <c r="F72" s="166">
        <f t="shared" si="12"/>
        <v>0.11043400387888708</v>
      </c>
      <c r="G72" s="241">
        <f t="shared" si="13"/>
        <v>9.9062096301880426E-2</v>
      </c>
      <c r="H72" s="242">
        <f t="shared" si="14"/>
        <v>0.90093790369811955</v>
      </c>
      <c r="I72" s="157"/>
    </row>
    <row r="73" spans="1:9" ht="15.75" x14ac:dyDescent="0.25">
      <c r="A73" s="164"/>
      <c r="B73" s="165">
        <f>DATE(21,2,1)</f>
        <v>7703</v>
      </c>
      <c r="C73" s="226">
        <v>104791451.8</v>
      </c>
      <c r="D73" s="226">
        <v>10274207.17</v>
      </c>
      <c r="E73" s="226">
        <v>12303150.609999999</v>
      </c>
      <c r="F73" s="166">
        <f t="shared" si="12"/>
        <v>-0.16491250934950552</v>
      </c>
      <c r="G73" s="241">
        <f t="shared" si="13"/>
        <v>9.8044325119274661E-2</v>
      </c>
      <c r="H73" s="242">
        <f t="shared" si="14"/>
        <v>0.90195567488072537</v>
      </c>
      <c r="I73" s="157"/>
    </row>
    <row r="74" spans="1:9" ht="15.75" x14ac:dyDescent="0.25">
      <c r="A74" s="164"/>
      <c r="B74" s="165">
        <f>DATE(21,3,1)</f>
        <v>7731</v>
      </c>
      <c r="C74" s="226">
        <v>144941908.11000001</v>
      </c>
      <c r="D74" s="226">
        <v>14770804.859999999</v>
      </c>
      <c r="E74" s="226">
        <v>6157582.8700000001</v>
      </c>
      <c r="F74" s="166">
        <f t="shared" si="12"/>
        <v>1.3987991995956683</v>
      </c>
      <c r="G74" s="241">
        <f t="shared" si="13"/>
        <v>0.1019084476850551</v>
      </c>
      <c r="H74" s="242">
        <f t="shared" si="14"/>
        <v>0.89809155231494486</v>
      </c>
      <c r="I74" s="157"/>
    </row>
    <row r="75" spans="1:9" ht="15.75" x14ac:dyDescent="0.25">
      <c r="A75" s="164"/>
      <c r="B75" s="165">
        <f>DATE(21,4,1)</f>
        <v>7762</v>
      </c>
      <c r="C75" s="226">
        <v>142415393.68000001</v>
      </c>
      <c r="D75" s="226">
        <v>13856992.35</v>
      </c>
      <c r="E75" s="226">
        <v>0</v>
      </c>
      <c r="F75" s="166">
        <v>1</v>
      </c>
      <c r="G75" s="241">
        <f t="shared" si="13"/>
        <v>9.7299821261849981E-2</v>
      </c>
      <c r="H75" s="242">
        <f t="shared" si="14"/>
        <v>0.90270017873815001</v>
      </c>
      <c r="I75" s="157"/>
    </row>
    <row r="76" spans="1:9" ht="15.75" x14ac:dyDescent="0.25">
      <c r="A76" s="164"/>
      <c r="B76" s="165">
        <f>DATE(21,5,1)</f>
        <v>7792</v>
      </c>
      <c r="C76" s="226">
        <v>137408093.84999999</v>
      </c>
      <c r="D76" s="226">
        <v>13462135.289999999</v>
      </c>
      <c r="E76" s="226">
        <v>0</v>
      </c>
      <c r="F76" s="166">
        <v>1</v>
      </c>
      <c r="G76" s="241">
        <f t="shared" si="13"/>
        <v>9.7971923725947235E-2</v>
      </c>
      <c r="H76" s="242">
        <f t="shared" si="14"/>
        <v>0.90202807627405279</v>
      </c>
      <c r="I76" s="157"/>
    </row>
    <row r="77" spans="1:9" ht="15.75" thickBot="1" x14ac:dyDescent="0.25">
      <c r="A77" s="167"/>
      <c r="B77" s="165"/>
      <c r="C77" s="226"/>
      <c r="D77" s="226"/>
      <c r="E77" s="226"/>
      <c r="F77" s="166"/>
      <c r="G77" s="241"/>
      <c r="H77" s="242"/>
      <c r="I77" s="157"/>
    </row>
    <row r="78" spans="1:9" ht="17.25" thickTop="1" thickBot="1" x14ac:dyDescent="0.3">
      <c r="A78" s="174" t="s">
        <v>14</v>
      </c>
      <c r="B78" s="175"/>
      <c r="C78" s="228">
        <f>SUM(C66:C77)</f>
        <v>1343882471.9599998</v>
      </c>
      <c r="D78" s="230">
        <f>SUM(D66:D77)</f>
        <v>133502398.28</v>
      </c>
      <c r="E78" s="271">
        <f>SUM(E66:E77)</f>
        <v>99585563.429999992</v>
      </c>
      <c r="F78" s="272">
        <f>(+D78-E78)/E78</f>
        <v>0.34057983588997415</v>
      </c>
      <c r="G78" s="249">
        <f>D78/C78</f>
        <v>9.9340828581008275E-2</v>
      </c>
      <c r="H78" s="270">
        <f>1-G78</f>
        <v>0.90065917141899177</v>
      </c>
      <c r="I78" s="157"/>
    </row>
    <row r="79" spans="1:9" ht="15.75" thickTop="1" x14ac:dyDescent="0.2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 x14ac:dyDescent="0.25">
      <c r="A80" s="164" t="s">
        <v>68</v>
      </c>
      <c r="B80" s="165">
        <f>DATE(20,7,1)</f>
        <v>7488</v>
      </c>
      <c r="C80" s="226">
        <v>42751040.829999998</v>
      </c>
      <c r="D80" s="226">
        <v>4434379.57</v>
      </c>
      <c r="E80" s="226">
        <v>3906046.69</v>
      </c>
      <c r="F80" s="166">
        <f t="shared" ref="F80:F88" si="15">(+D80-E80)/E80</f>
        <v>0.13526025721930127</v>
      </c>
      <c r="G80" s="241">
        <f t="shared" ref="G80:G90" si="16">D80/C80</f>
        <v>0.10372565167789391</v>
      </c>
      <c r="H80" s="242">
        <f t="shared" ref="H80:H90" si="17">1-G80</f>
        <v>0.89627434832210606</v>
      </c>
      <c r="I80" s="157"/>
    </row>
    <row r="81" spans="1:9" ht="15.75" x14ac:dyDescent="0.25">
      <c r="A81" s="164"/>
      <c r="B81" s="165">
        <f>DATE(20,8,1)</f>
        <v>7519</v>
      </c>
      <c r="C81" s="226">
        <v>42673866.380000003</v>
      </c>
      <c r="D81" s="226">
        <v>4333573.3</v>
      </c>
      <c r="E81" s="226">
        <v>4670857.45</v>
      </c>
      <c r="F81" s="166">
        <f t="shared" si="15"/>
        <v>-7.2210328319910588E-2</v>
      </c>
      <c r="G81" s="241">
        <f t="shared" si="16"/>
        <v>0.1015509881717917</v>
      </c>
      <c r="H81" s="242">
        <f t="shared" si="17"/>
        <v>0.89844901182820824</v>
      </c>
      <c r="I81" s="157"/>
    </row>
    <row r="82" spans="1:9" ht="15.75" x14ac:dyDescent="0.25">
      <c r="A82" s="164"/>
      <c r="B82" s="165">
        <f>DATE(20,9,1)</f>
        <v>7550</v>
      </c>
      <c r="C82" s="226">
        <v>41605422.850000001</v>
      </c>
      <c r="D82" s="226">
        <v>4417017.5599999996</v>
      </c>
      <c r="E82" s="226">
        <v>4421418.32</v>
      </c>
      <c r="F82" s="166">
        <f t="shared" si="15"/>
        <v>-9.9532767123485097E-4</v>
      </c>
      <c r="G82" s="241">
        <f t="shared" si="16"/>
        <v>0.10616446745234796</v>
      </c>
      <c r="H82" s="242">
        <f t="shared" si="17"/>
        <v>0.89383553254765202</v>
      </c>
      <c r="I82" s="157"/>
    </row>
    <row r="83" spans="1:9" ht="15.75" x14ac:dyDescent="0.25">
      <c r="A83" s="164"/>
      <c r="B83" s="165">
        <f>DATE(20,10,1)</f>
        <v>7580</v>
      </c>
      <c r="C83" s="226">
        <v>43714895.32</v>
      </c>
      <c r="D83" s="226">
        <v>4440838.8899999997</v>
      </c>
      <c r="E83" s="226">
        <v>4469558.96</v>
      </c>
      <c r="F83" s="166">
        <f t="shared" si="15"/>
        <v>-6.4257055913186341E-3</v>
      </c>
      <c r="G83" s="241">
        <f t="shared" si="16"/>
        <v>0.10158640109949597</v>
      </c>
      <c r="H83" s="242">
        <f t="shared" si="17"/>
        <v>0.89841359890050398</v>
      </c>
      <c r="I83" s="157"/>
    </row>
    <row r="84" spans="1:9" ht="15.75" x14ac:dyDescent="0.25">
      <c r="A84" s="164"/>
      <c r="B84" s="165">
        <f>DATE(20,11,1)</f>
        <v>7611</v>
      </c>
      <c r="C84" s="226">
        <v>40694510.390000001</v>
      </c>
      <c r="D84" s="226">
        <v>4093288.05</v>
      </c>
      <c r="E84" s="226">
        <v>4362721.83</v>
      </c>
      <c r="F84" s="166">
        <f t="shared" si="15"/>
        <v>-6.1758184568920876E-2</v>
      </c>
      <c r="G84" s="241">
        <f t="shared" si="16"/>
        <v>0.10058575495248757</v>
      </c>
      <c r="H84" s="242">
        <f t="shared" si="17"/>
        <v>0.89941424504751244</v>
      </c>
      <c r="I84" s="157"/>
    </row>
    <row r="85" spans="1:9" ht="15.75" x14ac:dyDescent="0.25">
      <c r="A85" s="164"/>
      <c r="B85" s="165">
        <f>DATE(20,12,1)</f>
        <v>7641</v>
      </c>
      <c r="C85" s="226">
        <v>52442183.469999999</v>
      </c>
      <c r="D85" s="226">
        <v>5522096.1299999999</v>
      </c>
      <c r="E85" s="226">
        <v>4542091.8099999996</v>
      </c>
      <c r="F85" s="166">
        <f t="shared" si="15"/>
        <v>0.21576057045839422</v>
      </c>
      <c r="G85" s="241">
        <f t="shared" si="16"/>
        <v>0.105298745487189</v>
      </c>
      <c r="H85" s="242">
        <f t="shared" si="17"/>
        <v>0.89470125451281102</v>
      </c>
      <c r="I85" s="157"/>
    </row>
    <row r="86" spans="1:9" ht="15.75" x14ac:dyDescent="0.25">
      <c r="A86" s="164"/>
      <c r="B86" s="165">
        <f>DATE(21,1,1)</f>
        <v>7672</v>
      </c>
      <c r="C86" s="226">
        <v>59978368.890000001</v>
      </c>
      <c r="D86" s="226">
        <v>6125834.9299999997</v>
      </c>
      <c r="E86" s="226">
        <v>4236468.1100000003</v>
      </c>
      <c r="F86" s="166">
        <f t="shared" si="15"/>
        <v>0.44597687765906474</v>
      </c>
      <c r="G86" s="241">
        <f t="shared" si="16"/>
        <v>0.10213407005506847</v>
      </c>
      <c r="H86" s="242">
        <f t="shared" si="17"/>
        <v>0.89786592994493153</v>
      </c>
      <c r="I86" s="157"/>
    </row>
    <row r="87" spans="1:9" ht="15.75" x14ac:dyDescent="0.25">
      <c r="A87" s="164"/>
      <c r="B87" s="165">
        <f>DATE(21,2,1)</f>
        <v>7703</v>
      </c>
      <c r="C87" s="226">
        <v>42746282.32</v>
      </c>
      <c r="D87" s="226">
        <v>4347455.3600000003</v>
      </c>
      <c r="E87" s="226">
        <v>5084258.8</v>
      </c>
      <c r="F87" s="166">
        <f t="shared" si="15"/>
        <v>-0.14491855528676068</v>
      </c>
      <c r="G87" s="241">
        <f t="shared" si="16"/>
        <v>0.10170370670962246</v>
      </c>
      <c r="H87" s="242">
        <f t="shared" si="17"/>
        <v>0.89829629329037752</v>
      </c>
      <c r="I87" s="157"/>
    </row>
    <row r="88" spans="1:9" ht="15.75" x14ac:dyDescent="0.25">
      <c r="A88" s="164"/>
      <c r="B88" s="165">
        <f>DATE(21,3,1)</f>
        <v>7731</v>
      </c>
      <c r="C88" s="226">
        <v>67210766.420000002</v>
      </c>
      <c r="D88" s="226">
        <v>7136950.1200000001</v>
      </c>
      <c r="E88" s="226">
        <v>2617038.5499999998</v>
      </c>
      <c r="F88" s="166">
        <f t="shared" si="15"/>
        <v>1.727109281596177</v>
      </c>
      <c r="G88" s="241">
        <f t="shared" si="16"/>
        <v>0.1061876020785302</v>
      </c>
      <c r="H88" s="242">
        <f t="shared" si="17"/>
        <v>0.89381239792146983</v>
      </c>
      <c r="I88" s="157"/>
    </row>
    <row r="89" spans="1:9" ht="15.75" x14ac:dyDescent="0.25">
      <c r="A89" s="164"/>
      <c r="B89" s="165">
        <f>DATE(21,4,1)</f>
        <v>7762</v>
      </c>
      <c r="C89" s="226">
        <v>63206931.420000002</v>
      </c>
      <c r="D89" s="226">
        <v>6511908.5800000001</v>
      </c>
      <c r="E89" s="226">
        <v>0</v>
      </c>
      <c r="F89" s="166">
        <v>1</v>
      </c>
      <c r="G89" s="241">
        <f t="shared" si="16"/>
        <v>0.10302522893777905</v>
      </c>
      <c r="H89" s="242">
        <f t="shared" si="17"/>
        <v>0.8969747710622209</v>
      </c>
      <c r="I89" s="157"/>
    </row>
    <row r="90" spans="1:9" ht="15.75" x14ac:dyDescent="0.25">
      <c r="A90" s="164"/>
      <c r="B90" s="165">
        <f>DATE(21,5,1)</f>
        <v>7792</v>
      </c>
      <c r="C90" s="226">
        <v>60460783.200000003</v>
      </c>
      <c r="D90" s="226">
        <v>6330542.6900000004</v>
      </c>
      <c r="E90" s="226">
        <v>0</v>
      </c>
      <c r="F90" s="166">
        <v>1</v>
      </c>
      <c r="G90" s="241">
        <f t="shared" si="16"/>
        <v>0.10470494020990452</v>
      </c>
      <c r="H90" s="242">
        <f t="shared" si="17"/>
        <v>0.89529505979009549</v>
      </c>
      <c r="I90" s="157"/>
    </row>
    <row r="91" spans="1:9" ht="15.75" thickBot="1" x14ac:dyDescent="0.25">
      <c r="A91" s="167"/>
      <c r="B91" s="165"/>
      <c r="C91" s="226"/>
      <c r="D91" s="226"/>
      <c r="E91" s="226"/>
      <c r="F91" s="166"/>
      <c r="G91" s="241"/>
      <c r="H91" s="242"/>
      <c r="I91" s="157"/>
    </row>
    <row r="92" spans="1:9" ht="17.25" thickTop="1" thickBot="1" x14ac:dyDescent="0.3">
      <c r="A92" s="174" t="s">
        <v>14</v>
      </c>
      <c r="B92" s="175"/>
      <c r="C92" s="228">
        <f>SUM(C80:C91)</f>
        <v>557485051.49000001</v>
      </c>
      <c r="D92" s="230">
        <f>SUM(D80:D91)</f>
        <v>57693885.179999992</v>
      </c>
      <c r="E92" s="271">
        <f>SUM(E80:E91)</f>
        <v>38310460.519999996</v>
      </c>
      <c r="F92" s="272">
        <f>(+D92-E92)/E92</f>
        <v>0.50595645149921575</v>
      </c>
      <c r="G92" s="249">
        <f>D92/C92</f>
        <v>0.10348956447495863</v>
      </c>
      <c r="H92" s="270">
        <f>1-G92</f>
        <v>0.89651043552504139</v>
      </c>
      <c r="I92" s="157"/>
    </row>
    <row r="93" spans="1:9" ht="15.75" thickTop="1" x14ac:dyDescent="0.2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 x14ac:dyDescent="0.25">
      <c r="A94" s="164" t="s">
        <v>66</v>
      </c>
      <c r="B94" s="165">
        <f>DATE(20,7,1)</f>
        <v>7488</v>
      </c>
      <c r="C94" s="226">
        <v>39014288.030000001</v>
      </c>
      <c r="D94" s="226">
        <v>4303428.05</v>
      </c>
      <c r="E94" s="226">
        <v>4987956.2</v>
      </c>
      <c r="F94" s="166">
        <f t="shared" ref="F94:F102" si="18">(+D94-E94)/E94</f>
        <v>-0.13723619906686438</v>
      </c>
      <c r="G94" s="241">
        <f t="shared" ref="G94:G104" si="19">D94/C94</f>
        <v>0.11030389806654636</v>
      </c>
      <c r="H94" s="242">
        <f t="shared" ref="H94:H104" si="20">1-G94</f>
        <v>0.88969610193345361</v>
      </c>
      <c r="I94" s="157"/>
    </row>
    <row r="95" spans="1:9" ht="15.75" x14ac:dyDescent="0.25">
      <c r="A95" s="164"/>
      <c r="B95" s="165">
        <f>DATE(20,8,1)</f>
        <v>7519</v>
      </c>
      <c r="C95" s="226">
        <v>37294361.380000003</v>
      </c>
      <c r="D95" s="226">
        <v>4134795.6</v>
      </c>
      <c r="E95" s="226">
        <v>5297182</v>
      </c>
      <c r="F95" s="166">
        <f t="shared" si="18"/>
        <v>-0.21943486178122631</v>
      </c>
      <c r="G95" s="241">
        <f t="shared" si="19"/>
        <v>0.11086918898730315</v>
      </c>
      <c r="H95" s="242">
        <f t="shared" si="20"/>
        <v>0.88913081101269686</v>
      </c>
      <c r="I95" s="157"/>
    </row>
    <row r="96" spans="1:9" ht="15.75" x14ac:dyDescent="0.25">
      <c r="A96" s="164"/>
      <c r="B96" s="165">
        <f>DATE(20,9,1)</f>
        <v>7550</v>
      </c>
      <c r="C96" s="226">
        <v>46478172.090000004</v>
      </c>
      <c r="D96" s="226">
        <v>5078159.95</v>
      </c>
      <c r="E96" s="226">
        <v>4757922.75</v>
      </c>
      <c r="F96" s="166">
        <f t="shared" si="18"/>
        <v>6.7306094870918237E-2</v>
      </c>
      <c r="G96" s="241">
        <f t="shared" si="19"/>
        <v>0.10925902895162674</v>
      </c>
      <c r="H96" s="242">
        <f t="shared" si="20"/>
        <v>0.89074097104837324</v>
      </c>
      <c r="I96" s="157"/>
    </row>
    <row r="97" spans="1:9" ht="15.75" x14ac:dyDescent="0.25">
      <c r="A97" s="164"/>
      <c r="B97" s="165">
        <f>DATE(20,10,1)</f>
        <v>7580</v>
      </c>
      <c r="C97" s="226">
        <v>52985429.619999997</v>
      </c>
      <c r="D97" s="226">
        <v>5823943.8200000003</v>
      </c>
      <c r="E97" s="226">
        <v>5100767.21</v>
      </c>
      <c r="F97" s="166">
        <f t="shared" si="18"/>
        <v>0.14177800715590788</v>
      </c>
      <c r="G97" s="241">
        <f t="shared" si="19"/>
        <v>0.10991594975766096</v>
      </c>
      <c r="H97" s="242">
        <f t="shared" si="20"/>
        <v>0.89008405024233905</v>
      </c>
      <c r="I97" s="157"/>
    </row>
    <row r="98" spans="1:9" ht="15.75" x14ac:dyDescent="0.25">
      <c r="A98" s="164"/>
      <c r="B98" s="165">
        <f>DATE(20,11,1)</f>
        <v>7611</v>
      </c>
      <c r="C98" s="226">
        <v>49334744.450000003</v>
      </c>
      <c r="D98" s="226">
        <v>5498815.8099999996</v>
      </c>
      <c r="E98" s="226">
        <v>5049815.8600000003</v>
      </c>
      <c r="F98" s="166">
        <f t="shared" si="18"/>
        <v>8.8914123296368913E-2</v>
      </c>
      <c r="G98" s="241">
        <f t="shared" si="19"/>
        <v>0.11145929448510601</v>
      </c>
      <c r="H98" s="242">
        <f t="shared" si="20"/>
        <v>0.88854070551489395</v>
      </c>
      <c r="I98" s="157"/>
    </row>
    <row r="99" spans="1:9" ht="15.75" x14ac:dyDescent="0.25">
      <c r="A99" s="164"/>
      <c r="B99" s="165">
        <f>DATE(20,12,1)</f>
        <v>7641</v>
      </c>
      <c r="C99" s="226">
        <v>53542414.659999996</v>
      </c>
      <c r="D99" s="226">
        <v>6073396.25</v>
      </c>
      <c r="E99" s="226">
        <v>5055651.33</v>
      </c>
      <c r="F99" s="166">
        <f t="shared" si="18"/>
        <v>0.20130836831265417</v>
      </c>
      <c r="G99" s="241">
        <f t="shared" si="19"/>
        <v>0.11343149703962194</v>
      </c>
      <c r="H99" s="242">
        <f t="shared" si="20"/>
        <v>0.88656850296037804</v>
      </c>
      <c r="I99" s="157"/>
    </row>
    <row r="100" spans="1:9" ht="15.75" x14ac:dyDescent="0.25">
      <c r="A100" s="164"/>
      <c r="B100" s="165">
        <f>DATE(21,1,1)</f>
        <v>7672</v>
      </c>
      <c r="C100" s="226">
        <v>59260434.829999998</v>
      </c>
      <c r="D100" s="226">
        <v>6544399.04</v>
      </c>
      <c r="E100" s="226">
        <v>4906027.53</v>
      </c>
      <c r="F100" s="166">
        <f t="shared" si="18"/>
        <v>0.33395073712519502</v>
      </c>
      <c r="G100" s="241">
        <f t="shared" si="19"/>
        <v>0.11043454302645386</v>
      </c>
      <c r="H100" s="242">
        <f t="shared" si="20"/>
        <v>0.88956545697354616</v>
      </c>
      <c r="I100" s="157"/>
    </row>
    <row r="101" spans="1:9" ht="15.75" x14ac:dyDescent="0.25">
      <c r="A101" s="164"/>
      <c r="B101" s="165">
        <f>DATE(21,2,1)</f>
        <v>7703</v>
      </c>
      <c r="C101" s="226">
        <v>52435422.130000003</v>
      </c>
      <c r="D101" s="226">
        <v>5959695.79</v>
      </c>
      <c r="E101" s="226">
        <v>5504597.8499999996</v>
      </c>
      <c r="F101" s="166">
        <f t="shared" si="18"/>
        <v>8.267596514793546E-2</v>
      </c>
      <c r="G101" s="241">
        <f t="shared" si="19"/>
        <v>0.1136578203799806</v>
      </c>
      <c r="H101" s="242">
        <f t="shared" si="20"/>
        <v>0.88634217962001938</v>
      </c>
      <c r="I101" s="157"/>
    </row>
    <row r="102" spans="1:9" ht="15.75" x14ac:dyDescent="0.25">
      <c r="A102" s="164"/>
      <c r="B102" s="165">
        <f>DATE(21,3,1)</f>
        <v>7731</v>
      </c>
      <c r="C102" s="226">
        <v>84343190.430000007</v>
      </c>
      <c r="D102" s="226">
        <v>9308574.8499999996</v>
      </c>
      <c r="E102" s="226">
        <v>3138283.15</v>
      </c>
      <c r="F102" s="166">
        <f t="shared" si="18"/>
        <v>1.9661360702905344</v>
      </c>
      <c r="G102" s="241">
        <f t="shared" si="19"/>
        <v>0.11036545810684718</v>
      </c>
      <c r="H102" s="242">
        <f t="shared" si="20"/>
        <v>0.88963454189315283</v>
      </c>
      <c r="I102" s="157"/>
    </row>
    <row r="103" spans="1:9" ht="15.75" x14ac:dyDescent="0.25">
      <c r="A103" s="164"/>
      <c r="B103" s="165">
        <f>DATE(21,4,1)</f>
        <v>7762</v>
      </c>
      <c r="C103" s="226">
        <v>82297346.790000007</v>
      </c>
      <c r="D103" s="226">
        <v>9080911.8599999994</v>
      </c>
      <c r="E103" s="226">
        <v>0</v>
      </c>
      <c r="F103" s="166">
        <v>1</v>
      </c>
      <c r="G103" s="241">
        <f t="shared" si="19"/>
        <v>0.11034270501055116</v>
      </c>
      <c r="H103" s="242">
        <f t="shared" si="20"/>
        <v>0.88965729498944879</v>
      </c>
      <c r="I103" s="157"/>
    </row>
    <row r="104" spans="1:9" ht="15.75" x14ac:dyDescent="0.25">
      <c r="A104" s="164"/>
      <c r="B104" s="165">
        <f>DATE(21,5,1)</f>
        <v>7792</v>
      </c>
      <c r="C104" s="226">
        <v>80338916.680000007</v>
      </c>
      <c r="D104" s="226">
        <v>9014920.4900000002</v>
      </c>
      <c r="E104" s="226">
        <v>0</v>
      </c>
      <c r="F104" s="166">
        <v>1</v>
      </c>
      <c r="G104" s="241">
        <f t="shared" si="19"/>
        <v>0.11221112833656396</v>
      </c>
      <c r="H104" s="242">
        <f t="shared" si="20"/>
        <v>0.88778887166343601</v>
      </c>
      <c r="I104" s="157"/>
    </row>
    <row r="105" spans="1:9" ht="15.75" thickBot="1" x14ac:dyDescent="0.25">
      <c r="A105" s="167"/>
      <c r="B105" s="165"/>
      <c r="C105" s="226"/>
      <c r="D105" s="226"/>
      <c r="E105" s="226"/>
      <c r="F105" s="166"/>
      <c r="G105" s="241"/>
      <c r="H105" s="242"/>
      <c r="I105" s="157"/>
    </row>
    <row r="106" spans="1:9" ht="17.25" thickTop="1" thickBot="1" x14ac:dyDescent="0.3">
      <c r="A106" s="174" t="s">
        <v>14</v>
      </c>
      <c r="B106" s="175"/>
      <c r="C106" s="228">
        <f>SUM(C94:C105)</f>
        <v>637324721.08999991</v>
      </c>
      <c r="D106" s="230">
        <f>SUM(D94:D105)</f>
        <v>70821041.510000005</v>
      </c>
      <c r="E106" s="271">
        <f>SUM(E94:E105)</f>
        <v>43798203.880000003</v>
      </c>
      <c r="F106" s="272">
        <f>(+D106-E106)/E106</f>
        <v>0.61698506413729226</v>
      </c>
      <c r="G106" s="249">
        <f>D106/C106</f>
        <v>0.11112238261976817</v>
      </c>
      <c r="H106" s="270">
        <f>1-G106</f>
        <v>0.88887761738023185</v>
      </c>
      <c r="I106" s="157"/>
    </row>
    <row r="107" spans="1:9" ht="15.75" thickTop="1" x14ac:dyDescent="0.2">
      <c r="A107" s="167"/>
      <c r="B107" s="168"/>
      <c r="C107" s="226"/>
      <c r="D107" s="226"/>
      <c r="E107" s="226"/>
      <c r="F107" s="166"/>
      <c r="G107" s="241"/>
      <c r="H107" s="242"/>
      <c r="I107" s="157"/>
    </row>
    <row r="108" spans="1:9" ht="15.75" x14ac:dyDescent="0.25">
      <c r="A108" s="164" t="s">
        <v>60</v>
      </c>
      <c r="B108" s="165">
        <f>DATE(20,7,1)</f>
        <v>7488</v>
      </c>
      <c r="C108" s="226">
        <v>111521100.17</v>
      </c>
      <c r="D108" s="226">
        <v>10751795.77</v>
      </c>
      <c r="E108" s="226">
        <v>10859844.9</v>
      </c>
      <c r="F108" s="166">
        <f t="shared" ref="F108:F116" si="21">(+D108-E108)/E108</f>
        <v>-9.9494174175545382E-3</v>
      </c>
      <c r="G108" s="241">
        <f t="shared" ref="G108:G118" si="22">D108/C108</f>
        <v>9.6410416984859623E-2</v>
      </c>
      <c r="H108" s="242">
        <f t="shared" ref="H108:H118" si="23">1-G108</f>
        <v>0.90358958301514036</v>
      </c>
      <c r="I108" s="157"/>
    </row>
    <row r="109" spans="1:9" ht="15.75" x14ac:dyDescent="0.25">
      <c r="A109" s="164"/>
      <c r="B109" s="165">
        <f>DATE(20,8,1)</f>
        <v>7519</v>
      </c>
      <c r="C109" s="226">
        <v>112369794.01000001</v>
      </c>
      <c r="D109" s="226">
        <v>11312353.68</v>
      </c>
      <c r="E109" s="226">
        <v>10606265.73</v>
      </c>
      <c r="F109" s="166">
        <f t="shared" si="21"/>
        <v>6.6572719180777992E-2</v>
      </c>
      <c r="G109" s="241">
        <f t="shared" si="22"/>
        <v>0.10067076993122628</v>
      </c>
      <c r="H109" s="242">
        <f t="shared" si="23"/>
        <v>0.89932923006877374</v>
      </c>
      <c r="I109" s="157"/>
    </row>
    <row r="110" spans="1:9" ht="15.75" x14ac:dyDescent="0.25">
      <c r="A110" s="164"/>
      <c r="B110" s="165">
        <f>DATE(20,9,1)</f>
        <v>7550</v>
      </c>
      <c r="C110" s="226">
        <v>112239380.63</v>
      </c>
      <c r="D110" s="226">
        <v>10956999.039999999</v>
      </c>
      <c r="E110" s="226">
        <v>10294221.539999999</v>
      </c>
      <c r="F110" s="166">
        <f t="shared" si="21"/>
        <v>6.4383450212788018E-2</v>
      </c>
      <c r="G110" s="241">
        <f t="shared" si="22"/>
        <v>9.7621699072984264E-2</v>
      </c>
      <c r="H110" s="242">
        <f t="shared" si="23"/>
        <v>0.90237830092701576</v>
      </c>
      <c r="I110" s="157"/>
    </row>
    <row r="111" spans="1:9" ht="15.75" x14ac:dyDescent="0.25">
      <c r="A111" s="164"/>
      <c r="B111" s="165">
        <f>DATE(20,10,1)</f>
        <v>7580</v>
      </c>
      <c r="C111" s="226">
        <v>107780626.91</v>
      </c>
      <c r="D111" s="226">
        <v>10410650.699999999</v>
      </c>
      <c r="E111" s="226">
        <v>9880729.3699999992</v>
      </c>
      <c r="F111" s="166">
        <f t="shared" si="21"/>
        <v>5.3631802891895231E-2</v>
      </c>
      <c r="G111" s="241">
        <f t="shared" si="22"/>
        <v>9.6591112878692015E-2</v>
      </c>
      <c r="H111" s="242">
        <f t="shared" si="23"/>
        <v>0.90340888712130796</v>
      </c>
      <c r="I111" s="157"/>
    </row>
    <row r="112" spans="1:9" ht="15.75" x14ac:dyDescent="0.25">
      <c r="A112" s="164"/>
      <c r="B112" s="165">
        <f>DATE(20,11,1)</f>
        <v>7611</v>
      </c>
      <c r="C112" s="226">
        <v>99400505.129999995</v>
      </c>
      <c r="D112" s="226">
        <v>9890840.5199999996</v>
      </c>
      <c r="E112" s="226">
        <v>10205648.99</v>
      </c>
      <c r="F112" s="166">
        <f t="shared" si="21"/>
        <v>-3.0846492007364314E-2</v>
      </c>
      <c r="G112" s="241">
        <f t="shared" si="22"/>
        <v>9.9504932163718474E-2</v>
      </c>
      <c r="H112" s="242">
        <f t="shared" si="23"/>
        <v>0.90049506783628153</v>
      </c>
      <c r="I112" s="157"/>
    </row>
    <row r="113" spans="1:9" ht="15.75" x14ac:dyDescent="0.25">
      <c r="A113" s="164"/>
      <c r="B113" s="165">
        <f>DATE(20,12,1)</f>
        <v>7641</v>
      </c>
      <c r="C113" s="226">
        <v>128044113.2</v>
      </c>
      <c r="D113" s="226">
        <v>12890871.199999999</v>
      </c>
      <c r="E113" s="226">
        <v>10750579.369999999</v>
      </c>
      <c r="F113" s="166">
        <f t="shared" si="21"/>
        <v>0.19908618469183026</v>
      </c>
      <c r="G113" s="241">
        <f t="shared" si="22"/>
        <v>0.1006752351032722</v>
      </c>
      <c r="H113" s="242">
        <f t="shared" si="23"/>
        <v>0.89932476489672775</v>
      </c>
      <c r="I113" s="157"/>
    </row>
    <row r="114" spans="1:9" ht="15.75" x14ac:dyDescent="0.25">
      <c r="A114" s="164"/>
      <c r="B114" s="165">
        <f>DATE(21,1,1)</f>
        <v>7672</v>
      </c>
      <c r="C114" s="226">
        <v>144402324.74000001</v>
      </c>
      <c r="D114" s="226">
        <v>14761434.99</v>
      </c>
      <c r="E114" s="226">
        <v>10353140.800000001</v>
      </c>
      <c r="F114" s="166">
        <f t="shared" si="21"/>
        <v>0.42579293329034984</v>
      </c>
      <c r="G114" s="241">
        <f t="shared" si="22"/>
        <v>0.10222435834449571</v>
      </c>
      <c r="H114" s="242">
        <f t="shared" si="23"/>
        <v>0.89777564165550428</v>
      </c>
      <c r="I114" s="157"/>
    </row>
    <row r="115" spans="1:9" ht="15.75" x14ac:dyDescent="0.25">
      <c r="A115" s="164"/>
      <c r="B115" s="165">
        <f>DATE(21,2,1)</f>
        <v>7703</v>
      </c>
      <c r="C115" s="226">
        <v>101917238.25</v>
      </c>
      <c r="D115" s="226">
        <v>10549814.82</v>
      </c>
      <c r="E115" s="226">
        <v>11744098.83</v>
      </c>
      <c r="F115" s="166">
        <f t="shared" si="21"/>
        <v>-0.1016922649653826</v>
      </c>
      <c r="G115" s="241">
        <f t="shared" si="22"/>
        <v>0.10351354688518555</v>
      </c>
      <c r="H115" s="242">
        <f t="shared" si="23"/>
        <v>0.89648645311481445</v>
      </c>
      <c r="I115" s="157"/>
    </row>
    <row r="116" spans="1:9" ht="15.75" x14ac:dyDescent="0.25">
      <c r="A116" s="164"/>
      <c r="B116" s="165">
        <f>DATE(21,3,1)</f>
        <v>7731</v>
      </c>
      <c r="C116" s="226">
        <v>151662191.69999999</v>
      </c>
      <c r="D116" s="226">
        <v>15700425.039999999</v>
      </c>
      <c r="E116" s="226">
        <v>6268299.54</v>
      </c>
      <c r="F116" s="166">
        <f t="shared" si="21"/>
        <v>1.5047343286342056</v>
      </c>
      <c r="G116" s="241">
        <f t="shared" si="22"/>
        <v>0.10352234043311666</v>
      </c>
      <c r="H116" s="242">
        <f t="shared" si="23"/>
        <v>0.8964776595668833</v>
      </c>
      <c r="I116" s="157"/>
    </row>
    <row r="117" spans="1:9" ht="15.75" x14ac:dyDescent="0.25">
      <c r="A117" s="164"/>
      <c r="B117" s="165">
        <f>DATE(21,4,1)</f>
        <v>7762</v>
      </c>
      <c r="C117" s="226">
        <v>148486383.84999999</v>
      </c>
      <c r="D117" s="226">
        <v>15196693.130000001</v>
      </c>
      <c r="E117" s="226">
        <v>0</v>
      </c>
      <c r="F117" s="166">
        <v>1</v>
      </c>
      <c r="G117" s="241">
        <f t="shared" si="22"/>
        <v>0.10234401792255649</v>
      </c>
      <c r="H117" s="242">
        <f t="shared" si="23"/>
        <v>0.89765598207744346</v>
      </c>
      <c r="I117" s="157"/>
    </row>
    <row r="118" spans="1:9" ht="15.75" x14ac:dyDescent="0.25">
      <c r="A118" s="164"/>
      <c r="B118" s="165">
        <f>DATE(21,5,1)</f>
        <v>7792</v>
      </c>
      <c r="C118" s="226">
        <v>143158027.86000001</v>
      </c>
      <c r="D118" s="226">
        <v>14411371.16</v>
      </c>
      <c r="E118" s="226">
        <v>0</v>
      </c>
      <c r="F118" s="166">
        <v>1</v>
      </c>
      <c r="G118" s="241">
        <f t="shared" si="22"/>
        <v>0.10066757257995659</v>
      </c>
      <c r="H118" s="242">
        <f t="shared" si="23"/>
        <v>0.89933242742004338</v>
      </c>
      <c r="I118" s="157"/>
    </row>
    <row r="119" spans="1:9" ht="15.75" thickBot="1" x14ac:dyDescent="0.25">
      <c r="A119" s="167"/>
      <c r="B119" s="165"/>
      <c r="C119" s="226"/>
      <c r="D119" s="226"/>
      <c r="E119" s="226"/>
      <c r="F119" s="166"/>
      <c r="G119" s="241"/>
      <c r="H119" s="242"/>
      <c r="I119" s="157"/>
    </row>
    <row r="120" spans="1:9" ht="17.25" thickTop="1" thickBot="1" x14ac:dyDescent="0.3">
      <c r="A120" s="174" t="s">
        <v>14</v>
      </c>
      <c r="B120" s="175"/>
      <c r="C120" s="228">
        <f>SUM(C108:C119)</f>
        <v>1360981686.4499998</v>
      </c>
      <c r="D120" s="230">
        <f>SUM(D108:D119)</f>
        <v>136833250.04999998</v>
      </c>
      <c r="E120" s="271">
        <f>SUM(E108:E119)</f>
        <v>90962829.070000008</v>
      </c>
      <c r="F120" s="176">
        <f>(+D120-E120)/E120</f>
        <v>0.50427654294591706</v>
      </c>
      <c r="G120" s="249">
        <f>D120/C120</f>
        <v>0.10054011116557887</v>
      </c>
      <c r="H120" s="270">
        <f>1-G120</f>
        <v>0.89945988883442118</v>
      </c>
      <c r="I120" s="157"/>
    </row>
    <row r="121" spans="1:9" ht="15.75" thickTop="1" x14ac:dyDescent="0.2">
      <c r="A121" s="167"/>
      <c r="B121" s="179"/>
      <c r="C121" s="229"/>
      <c r="D121" s="229"/>
      <c r="E121" s="229"/>
      <c r="F121" s="180"/>
      <c r="G121" s="247"/>
      <c r="H121" s="248"/>
      <c r="I121" s="157"/>
    </row>
    <row r="122" spans="1:9" ht="15.75" x14ac:dyDescent="0.25">
      <c r="A122" s="164" t="s">
        <v>16</v>
      </c>
      <c r="B122" s="165">
        <f>DATE(20,7,1)</f>
        <v>7488</v>
      </c>
      <c r="C122" s="226">
        <v>122917916.14</v>
      </c>
      <c r="D122" s="226">
        <v>12124639.109999999</v>
      </c>
      <c r="E122" s="226">
        <v>13562944.539999999</v>
      </c>
      <c r="F122" s="166">
        <f t="shared" ref="F122:F130" si="24">(+D122-E122)/E122</f>
        <v>-0.10604669404627676</v>
      </c>
      <c r="G122" s="241">
        <f t="shared" ref="G122:G132" si="25">D122/C122</f>
        <v>9.8640129045064362E-2</v>
      </c>
      <c r="H122" s="242">
        <f t="shared" ref="H122:H132" si="26">1-G122</f>
        <v>0.90135987095493564</v>
      </c>
      <c r="I122" s="157"/>
    </row>
    <row r="123" spans="1:9" ht="15.75" x14ac:dyDescent="0.25">
      <c r="A123" s="164"/>
      <c r="B123" s="165">
        <f>DATE(20,8,1)</f>
        <v>7519</v>
      </c>
      <c r="C123" s="226">
        <v>129077535.78</v>
      </c>
      <c r="D123" s="226">
        <v>12772714.18</v>
      </c>
      <c r="E123" s="226">
        <v>13870661.279999999</v>
      </c>
      <c r="F123" s="166">
        <f t="shared" si="24"/>
        <v>-7.9156074669858828E-2</v>
      </c>
      <c r="G123" s="241">
        <f t="shared" si="25"/>
        <v>9.8953811775349024E-2</v>
      </c>
      <c r="H123" s="242">
        <f t="shared" si="26"/>
        <v>0.90104618822465099</v>
      </c>
      <c r="I123" s="157"/>
    </row>
    <row r="124" spans="1:9" ht="15.75" x14ac:dyDescent="0.25">
      <c r="A124" s="164"/>
      <c r="B124" s="165">
        <f>DATE(20,9,1)</f>
        <v>7550</v>
      </c>
      <c r="C124" s="226">
        <v>120244266.26000001</v>
      </c>
      <c r="D124" s="226">
        <v>12144964.720000001</v>
      </c>
      <c r="E124" s="226">
        <v>12786419.43</v>
      </c>
      <c r="F124" s="166">
        <f t="shared" si="24"/>
        <v>-5.0166875372083662E-2</v>
      </c>
      <c r="G124" s="241">
        <f t="shared" si="25"/>
        <v>0.10100244359044418</v>
      </c>
      <c r="H124" s="242">
        <f t="shared" si="26"/>
        <v>0.89899755640955581</v>
      </c>
      <c r="I124" s="157"/>
    </row>
    <row r="125" spans="1:9" ht="15.75" x14ac:dyDescent="0.25">
      <c r="A125" s="164"/>
      <c r="B125" s="165">
        <f>DATE(20,10,1)</f>
        <v>7580</v>
      </c>
      <c r="C125" s="226">
        <v>126651805.83</v>
      </c>
      <c r="D125" s="226">
        <v>12789406.33</v>
      </c>
      <c r="E125" s="226">
        <v>13251508.66</v>
      </c>
      <c r="F125" s="166">
        <f t="shared" si="24"/>
        <v>-3.4871677018547112E-2</v>
      </c>
      <c r="G125" s="241">
        <f t="shared" si="25"/>
        <v>0.10098084465662292</v>
      </c>
      <c r="H125" s="242">
        <f t="shared" si="26"/>
        <v>0.89901915534337706</v>
      </c>
      <c r="I125" s="157"/>
    </row>
    <row r="126" spans="1:9" ht="15.75" x14ac:dyDescent="0.25">
      <c r="A126" s="164"/>
      <c r="B126" s="165">
        <f>DATE(20,11,1)</f>
        <v>7611</v>
      </c>
      <c r="C126" s="226">
        <v>115007879.84</v>
      </c>
      <c r="D126" s="226">
        <v>11020143.83</v>
      </c>
      <c r="E126" s="226">
        <v>13769145.800000001</v>
      </c>
      <c r="F126" s="166">
        <f t="shared" si="24"/>
        <v>-0.19964941979189446</v>
      </c>
      <c r="G126" s="241">
        <f t="shared" si="25"/>
        <v>9.5820771979548913E-2</v>
      </c>
      <c r="H126" s="242">
        <f t="shared" si="26"/>
        <v>0.90417922802045103</v>
      </c>
      <c r="I126" s="157"/>
    </row>
    <row r="127" spans="1:9" ht="15.75" x14ac:dyDescent="0.25">
      <c r="A127" s="164"/>
      <c r="B127" s="165">
        <f>DATE(20,12,1)</f>
        <v>7641</v>
      </c>
      <c r="C127" s="226">
        <v>128013467.42</v>
      </c>
      <c r="D127" s="226">
        <v>12188714.869999999</v>
      </c>
      <c r="E127" s="226">
        <v>13980639.65</v>
      </c>
      <c r="F127" s="166">
        <f t="shared" si="24"/>
        <v>-0.12817187373826641</v>
      </c>
      <c r="G127" s="241">
        <f t="shared" si="25"/>
        <v>9.5214317021895714E-2</v>
      </c>
      <c r="H127" s="242">
        <f t="shared" si="26"/>
        <v>0.90478568297810424</v>
      </c>
      <c r="I127" s="157"/>
    </row>
    <row r="128" spans="1:9" ht="15.75" x14ac:dyDescent="0.25">
      <c r="A128" s="164"/>
      <c r="B128" s="165">
        <f>DATE(21,1,1)</f>
        <v>7672</v>
      </c>
      <c r="C128" s="226">
        <v>143529356.00999999</v>
      </c>
      <c r="D128" s="226">
        <v>13712800.539999999</v>
      </c>
      <c r="E128" s="226">
        <v>12433682.390000001</v>
      </c>
      <c r="F128" s="166">
        <f t="shared" si="24"/>
        <v>0.10287524724201987</v>
      </c>
      <c r="G128" s="241">
        <f t="shared" si="25"/>
        <v>9.554004087529383E-2</v>
      </c>
      <c r="H128" s="242">
        <f t="shared" si="26"/>
        <v>0.90445995912470623</v>
      </c>
      <c r="I128" s="157"/>
    </row>
    <row r="129" spans="1:9" ht="15.75" x14ac:dyDescent="0.25">
      <c r="A129" s="164"/>
      <c r="B129" s="165">
        <f>DATE(21,2,1)</f>
        <v>7703</v>
      </c>
      <c r="C129" s="226">
        <v>124003301.5</v>
      </c>
      <c r="D129" s="226">
        <v>11801663.460000001</v>
      </c>
      <c r="E129" s="226">
        <v>14388741.640000001</v>
      </c>
      <c r="F129" s="166">
        <f t="shared" si="24"/>
        <v>-0.17979877912381501</v>
      </c>
      <c r="G129" s="241">
        <f t="shared" si="25"/>
        <v>9.5172171363518104E-2</v>
      </c>
      <c r="H129" s="242">
        <f t="shared" si="26"/>
        <v>0.90482782863648192</v>
      </c>
      <c r="I129" s="157"/>
    </row>
    <row r="130" spans="1:9" ht="15.75" x14ac:dyDescent="0.25">
      <c r="A130" s="164"/>
      <c r="B130" s="165">
        <f>DATE(21,3,1)</f>
        <v>7731</v>
      </c>
      <c r="C130" s="226">
        <v>183210464.84</v>
      </c>
      <c r="D130" s="226">
        <v>17750671.77</v>
      </c>
      <c r="E130" s="226">
        <v>7191924.8700000001</v>
      </c>
      <c r="F130" s="166">
        <f t="shared" si="24"/>
        <v>1.468139210414193</v>
      </c>
      <c r="G130" s="241">
        <f t="shared" si="25"/>
        <v>9.6886778741060914E-2</v>
      </c>
      <c r="H130" s="242">
        <f t="shared" si="26"/>
        <v>0.90311322125893911</v>
      </c>
      <c r="I130" s="157"/>
    </row>
    <row r="131" spans="1:9" ht="15.75" x14ac:dyDescent="0.25">
      <c r="A131" s="164"/>
      <c r="B131" s="165">
        <f>DATE(21,4,1)</f>
        <v>7762</v>
      </c>
      <c r="C131" s="226">
        <v>172948879.46000001</v>
      </c>
      <c r="D131" s="226">
        <v>17175205.829999998</v>
      </c>
      <c r="E131" s="226">
        <v>0</v>
      </c>
      <c r="F131" s="166">
        <v>1</v>
      </c>
      <c r="G131" s="241">
        <f t="shared" si="25"/>
        <v>9.9307991376563487E-2</v>
      </c>
      <c r="H131" s="242">
        <f t="shared" si="26"/>
        <v>0.90069200862343646</v>
      </c>
      <c r="I131" s="157"/>
    </row>
    <row r="132" spans="1:9" ht="15.75" x14ac:dyDescent="0.25">
      <c r="A132" s="164"/>
      <c r="B132" s="165">
        <f>DATE(21,5,1)</f>
        <v>7792</v>
      </c>
      <c r="C132" s="226">
        <v>172005535.13999999</v>
      </c>
      <c r="D132" s="226">
        <v>17139059.949999999</v>
      </c>
      <c r="E132" s="226">
        <v>0</v>
      </c>
      <c r="F132" s="166">
        <v>1</v>
      </c>
      <c r="G132" s="241">
        <f t="shared" si="25"/>
        <v>9.9642490784090473E-2</v>
      </c>
      <c r="H132" s="242">
        <f t="shared" si="26"/>
        <v>0.90035750921590951</v>
      </c>
      <c r="I132" s="157"/>
    </row>
    <row r="133" spans="1:9" ht="15.75" customHeight="1" thickBot="1" x14ac:dyDescent="0.3">
      <c r="A133" s="164"/>
      <c r="B133" s="165"/>
      <c r="C133" s="226"/>
      <c r="D133" s="226"/>
      <c r="E133" s="226"/>
      <c r="F133" s="166"/>
      <c r="G133" s="241"/>
      <c r="H133" s="242"/>
      <c r="I133" s="157"/>
    </row>
    <row r="134" spans="1:9" ht="17.25" thickTop="1" thickBot="1" x14ac:dyDescent="0.3">
      <c r="A134" s="174" t="s">
        <v>14</v>
      </c>
      <c r="B134" s="181"/>
      <c r="C134" s="228">
        <f>SUM(C122:C133)</f>
        <v>1537610408.2199998</v>
      </c>
      <c r="D134" s="228">
        <f>SUM(D122:D133)</f>
        <v>150619984.58999997</v>
      </c>
      <c r="E134" s="228">
        <f>SUM(E122:E133)</f>
        <v>115235668.26000001</v>
      </c>
      <c r="F134" s="176">
        <f>(+D134-E134)/E134</f>
        <v>0.30706045154495265</v>
      </c>
      <c r="G134" s="245">
        <f>D134/C134</f>
        <v>9.7957183292199337E-2</v>
      </c>
      <c r="H134" s="246">
        <f>1-G134</f>
        <v>0.90204281670780062</v>
      </c>
      <c r="I134" s="157"/>
    </row>
    <row r="135" spans="1:9" ht="15.75" thickTop="1" x14ac:dyDescent="0.2">
      <c r="A135" s="171"/>
      <c r="B135" s="172"/>
      <c r="C135" s="227"/>
      <c r="D135" s="227"/>
      <c r="E135" s="227"/>
      <c r="F135" s="173"/>
      <c r="G135" s="243"/>
      <c r="H135" s="244"/>
      <c r="I135" s="157"/>
    </row>
    <row r="136" spans="1:9" ht="15.75" x14ac:dyDescent="0.25">
      <c r="A136" s="164" t="s">
        <v>54</v>
      </c>
      <c r="B136" s="165">
        <f>DATE(20,7,1)</f>
        <v>7488</v>
      </c>
      <c r="C136" s="226">
        <v>139778413.28999999</v>
      </c>
      <c r="D136" s="226">
        <v>13113665.15</v>
      </c>
      <c r="E136" s="226">
        <v>16247033.9</v>
      </c>
      <c r="F136" s="166">
        <f t="shared" ref="F136:F144" si="27">(+D136-E136)/E136</f>
        <v>-0.19285789451082513</v>
      </c>
      <c r="G136" s="241">
        <f t="shared" ref="G136:G146" si="28">D136/C136</f>
        <v>9.3817527623474437E-2</v>
      </c>
      <c r="H136" s="242">
        <f t="shared" ref="H136:H146" si="29">1-G136</f>
        <v>0.90618247237652561</v>
      </c>
      <c r="I136" s="157"/>
    </row>
    <row r="137" spans="1:9" ht="15.75" x14ac:dyDescent="0.25">
      <c r="A137" s="164"/>
      <c r="B137" s="165">
        <f>DATE(20,8,1)</f>
        <v>7519</v>
      </c>
      <c r="C137" s="226">
        <v>139190485.06</v>
      </c>
      <c r="D137" s="226">
        <v>13163225.939999999</v>
      </c>
      <c r="E137" s="226">
        <v>16871517.800000001</v>
      </c>
      <c r="F137" s="166">
        <f t="shared" si="27"/>
        <v>-0.21979598421192437</v>
      </c>
      <c r="G137" s="241">
        <f t="shared" si="28"/>
        <v>9.4569869013142724E-2</v>
      </c>
      <c r="H137" s="242">
        <f t="shared" si="29"/>
        <v>0.90543013098685732</v>
      </c>
      <c r="I137" s="157"/>
    </row>
    <row r="138" spans="1:9" ht="15.75" x14ac:dyDescent="0.25">
      <c r="A138" s="164"/>
      <c r="B138" s="165">
        <f>DATE(20,9,1)</f>
        <v>7550</v>
      </c>
      <c r="C138" s="226">
        <v>144179628.53</v>
      </c>
      <c r="D138" s="226">
        <v>13632742.51</v>
      </c>
      <c r="E138" s="226">
        <v>15944541.300000001</v>
      </c>
      <c r="F138" s="166">
        <f t="shared" si="27"/>
        <v>-0.1449899841270442</v>
      </c>
      <c r="G138" s="241">
        <f t="shared" si="28"/>
        <v>9.4553874559077419E-2</v>
      </c>
      <c r="H138" s="242">
        <f t="shared" si="29"/>
        <v>0.90544612544092262</v>
      </c>
      <c r="I138" s="157"/>
    </row>
    <row r="139" spans="1:9" ht="15.75" x14ac:dyDescent="0.25">
      <c r="A139" s="164"/>
      <c r="B139" s="165">
        <f>DATE(20,10,1)</f>
        <v>7580</v>
      </c>
      <c r="C139" s="226">
        <v>153697637.43000001</v>
      </c>
      <c r="D139" s="226">
        <v>14284849.609999999</v>
      </c>
      <c r="E139" s="226">
        <v>16080736.01</v>
      </c>
      <c r="F139" s="166">
        <f t="shared" si="27"/>
        <v>-0.11167936585012071</v>
      </c>
      <c r="G139" s="241">
        <f t="shared" si="28"/>
        <v>9.2941243917987262E-2</v>
      </c>
      <c r="H139" s="242">
        <f t="shared" si="29"/>
        <v>0.9070587560820127</v>
      </c>
      <c r="I139" s="157"/>
    </row>
    <row r="140" spans="1:9" ht="15.75" x14ac:dyDescent="0.25">
      <c r="A140" s="164"/>
      <c r="B140" s="165">
        <f>DATE(20,11,1)</f>
        <v>7611</v>
      </c>
      <c r="C140" s="226">
        <v>132944210.06999999</v>
      </c>
      <c r="D140" s="226">
        <v>12348288.83</v>
      </c>
      <c r="E140" s="226">
        <v>17058182.91</v>
      </c>
      <c r="F140" s="166">
        <f t="shared" si="27"/>
        <v>-0.276107607993752</v>
      </c>
      <c r="G140" s="241">
        <f t="shared" si="28"/>
        <v>9.2883238942848084E-2</v>
      </c>
      <c r="H140" s="242">
        <f t="shared" si="29"/>
        <v>0.90711676105715189</v>
      </c>
      <c r="I140" s="157"/>
    </row>
    <row r="141" spans="1:9" ht="15.75" x14ac:dyDescent="0.25">
      <c r="A141" s="164"/>
      <c r="B141" s="165">
        <f>DATE(20,12,1)</f>
        <v>7641</v>
      </c>
      <c r="C141" s="226">
        <v>134457499.72999999</v>
      </c>
      <c r="D141" s="226">
        <v>12123166.43</v>
      </c>
      <c r="E141" s="226">
        <v>16970606.43</v>
      </c>
      <c r="F141" s="166">
        <f t="shared" si="27"/>
        <v>-0.28563740606410376</v>
      </c>
      <c r="G141" s="241">
        <f t="shared" si="28"/>
        <v>9.0163556918313681E-2</v>
      </c>
      <c r="H141" s="242">
        <f t="shared" si="29"/>
        <v>0.90983644308168632</v>
      </c>
      <c r="I141" s="157"/>
    </row>
    <row r="142" spans="1:9" ht="15.75" x14ac:dyDescent="0.25">
      <c r="A142" s="164"/>
      <c r="B142" s="165">
        <f>DATE(21,1,1)</f>
        <v>7672</v>
      </c>
      <c r="C142" s="226">
        <v>139802539.06999999</v>
      </c>
      <c r="D142" s="226">
        <v>13355551.67</v>
      </c>
      <c r="E142" s="226">
        <v>16027792.039999999</v>
      </c>
      <c r="F142" s="166">
        <f t="shared" si="27"/>
        <v>-0.166725420652513</v>
      </c>
      <c r="G142" s="241">
        <f t="shared" si="28"/>
        <v>9.5531538689099152E-2</v>
      </c>
      <c r="H142" s="242">
        <f t="shared" si="29"/>
        <v>0.90446846131090086</v>
      </c>
      <c r="I142" s="157"/>
    </row>
    <row r="143" spans="1:9" ht="15.75" x14ac:dyDescent="0.25">
      <c r="A143" s="164"/>
      <c r="B143" s="165">
        <f>DATE(21,2,1)</f>
        <v>7703</v>
      </c>
      <c r="C143" s="226">
        <v>124137446.70999999</v>
      </c>
      <c r="D143" s="226">
        <v>11342744.4</v>
      </c>
      <c r="E143" s="226">
        <v>16606333.470000001</v>
      </c>
      <c r="F143" s="166">
        <f t="shared" si="27"/>
        <v>-0.31696274674411917</v>
      </c>
      <c r="G143" s="241">
        <f t="shared" si="28"/>
        <v>9.1372464156589395E-2</v>
      </c>
      <c r="H143" s="242">
        <f t="shared" si="29"/>
        <v>0.90862753584341061</v>
      </c>
      <c r="I143" s="157"/>
    </row>
    <row r="144" spans="1:9" ht="15.75" x14ac:dyDescent="0.25">
      <c r="A144" s="164"/>
      <c r="B144" s="165">
        <f>DATE(21,3,1)</f>
        <v>7731</v>
      </c>
      <c r="C144" s="226">
        <v>179319021.91</v>
      </c>
      <c r="D144" s="226">
        <v>16919608</v>
      </c>
      <c r="E144" s="226">
        <v>8278891.3399999999</v>
      </c>
      <c r="F144" s="166">
        <f t="shared" si="27"/>
        <v>1.043704562016875</v>
      </c>
      <c r="G144" s="241">
        <f t="shared" si="28"/>
        <v>9.4354786345488384E-2</v>
      </c>
      <c r="H144" s="242">
        <f t="shared" si="29"/>
        <v>0.90564521365451167</v>
      </c>
      <c r="I144" s="157"/>
    </row>
    <row r="145" spans="1:9" ht="15.75" x14ac:dyDescent="0.25">
      <c r="A145" s="164"/>
      <c r="B145" s="165">
        <f>DATE(21,4,1)</f>
        <v>7762</v>
      </c>
      <c r="C145" s="226">
        <v>185287925.94999999</v>
      </c>
      <c r="D145" s="226">
        <v>16896033.170000002</v>
      </c>
      <c r="E145" s="226">
        <v>0</v>
      </c>
      <c r="F145" s="166">
        <v>1</v>
      </c>
      <c r="G145" s="241">
        <f t="shared" si="28"/>
        <v>9.1187988010397403E-2</v>
      </c>
      <c r="H145" s="242">
        <f t="shared" si="29"/>
        <v>0.9088120119896026</v>
      </c>
      <c r="I145" s="157"/>
    </row>
    <row r="146" spans="1:9" ht="15.75" x14ac:dyDescent="0.25">
      <c r="A146" s="164"/>
      <c r="B146" s="165">
        <f>DATE(21,5,1)</f>
        <v>7792</v>
      </c>
      <c r="C146" s="226">
        <v>196990913.97999999</v>
      </c>
      <c r="D146" s="226">
        <v>17981378.129999999</v>
      </c>
      <c r="E146" s="226">
        <v>0</v>
      </c>
      <c r="F146" s="166">
        <v>1</v>
      </c>
      <c r="G146" s="241">
        <f t="shared" si="28"/>
        <v>9.1280241137546098E-2</v>
      </c>
      <c r="H146" s="242">
        <f t="shared" si="29"/>
        <v>0.90871975886245393</v>
      </c>
      <c r="I146" s="157"/>
    </row>
    <row r="147" spans="1:9" ht="15.75" thickBot="1" x14ac:dyDescent="0.25">
      <c r="A147" s="167"/>
      <c r="B147" s="168"/>
      <c r="C147" s="226"/>
      <c r="D147" s="226"/>
      <c r="E147" s="226"/>
      <c r="F147" s="166"/>
      <c r="G147" s="241"/>
      <c r="H147" s="242"/>
      <c r="I147" s="157"/>
    </row>
    <row r="148" spans="1:9" ht="17.25" thickTop="1" thickBot="1" x14ac:dyDescent="0.3">
      <c r="A148" s="174" t="s">
        <v>14</v>
      </c>
      <c r="B148" s="175"/>
      <c r="C148" s="228">
        <f>SUM(C136:C147)</f>
        <v>1669785721.73</v>
      </c>
      <c r="D148" s="228">
        <f>SUM(D136:D147)</f>
        <v>155161253.84</v>
      </c>
      <c r="E148" s="228">
        <f>SUM(E136:E147)</f>
        <v>140085635.19999999</v>
      </c>
      <c r="F148" s="176">
        <f>(+D148-E148)/E148</f>
        <v>0.10761716301943867</v>
      </c>
      <c r="G148" s="249">
        <f>D148/C148</f>
        <v>9.2922853406150502E-2</v>
      </c>
      <c r="H148" s="270">
        <f>1-G148</f>
        <v>0.90707714659384953</v>
      </c>
      <c r="I148" s="157"/>
    </row>
    <row r="149" spans="1:9" ht="15.75" thickTop="1" x14ac:dyDescent="0.2">
      <c r="A149" s="167"/>
      <c r="B149" s="168"/>
      <c r="C149" s="226"/>
      <c r="D149" s="226"/>
      <c r="E149" s="226"/>
      <c r="F149" s="166"/>
      <c r="G149" s="241"/>
      <c r="H149" s="242"/>
      <c r="I149" s="157"/>
    </row>
    <row r="150" spans="1:9" ht="15.75" x14ac:dyDescent="0.25">
      <c r="A150" s="164" t="s">
        <v>55</v>
      </c>
      <c r="B150" s="165">
        <f>DATE(20,7,1)</f>
        <v>7488</v>
      </c>
      <c r="C150" s="226">
        <v>25124152.59</v>
      </c>
      <c r="D150" s="226">
        <v>2784731.95</v>
      </c>
      <c r="E150" s="226">
        <v>2612988.94</v>
      </c>
      <c r="F150" s="166">
        <f t="shared" ref="F150:F158" si="30">(+D150-E150)/E150</f>
        <v>6.5726650186280641E-2</v>
      </c>
      <c r="G150" s="241">
        <f t="shared" ref="G150:G160" si="31">D150/C150</f>
        <v>0.11083884083351685</v>
      </c>
      <c r="H150" s="242">
        <f t="shared" ref="H150:H160" si="32">1-G150</f>
        <v>0.88916115916648319</v>
      </c>
      <c r="I150" s="157"/>
    </row>
    <row r="151" spans="1:9" ht="15.75" x14ac:dyDescent="0.25">
      <c r="A151" s="164"/>
      <c r="B151" s="165">
        <f>DATE(20,8,1)</f>
        <v>7519</v>
      </c>
      <c r="C151" s="226">
        <v>26128366.460000001</v>
      </c>
      <c r="D151" s="226">
        <v>2961173.82</v>
      </c>
      <c r="E151" s="226">
        <v>2826240.12</v>
      </c>
      <c r="F151" s="166">
        <f t="shared" si="30"/>
        <v>4.7743183264980227E-2</v>
      </c>
      <c r="G151" s="241">
        <f t="shared" si="31"/>
        <v>0.1133317624174198</v>
      </c>
      <c r="H151" s="242">
        <f t="shared" si="32"/>
        <v>0.88666823758258018</v>
      </c>
      <c r="I151" s="157"/>
    </row>
    <row r="152" spans="1:9" ht="15.75" x14ac:dyDescent="0.25">
      <c r="A152" s="164"/>
      <c r="B152" s="165">
        <f>DATE(20,9,1)</f>
        <v>7550</v>
      </c>
      <c r="C152" s="226">
        <v>25242024.670000002</v>
      </c>
      <c r="D152" s="226">
        <v>2707604.99</v>
      </c>
      <c r="E152" s="226">
        <v>2549839.52</v>
      </c>
      <c r="F152" s="166">
        <f t="shared" si="30"/>
        <v>6.1872705620313002E-2</v>
      </c>
      <c r="G152" s="241">
        <f t="shared" si="31"/>
        <v>0.10726576118190602</v>
      </c>
      <c r="H152" s="242">
        <f t="shared" si="32"/>
        <v>0.89273423881809399</v>
      </c>
      <c r="I152" s="157"/>
    </row>
    <row r="153" spans="1:9" ht="15.75" x14ac:dyDescent="0.25">
      <c r="A153" s="164"/>
      <c r="B153" s="165">
        <f>DATE(20,10,1)</f>
        <v>7580</v>
      </c>
      <c r="C153" s="226">
        <v>24651178.559999999</v>
      </c>
      <c r="D153" s="226">
        <v>2777127.87</v>
      </c>
      <c r="E153" s="226">
        <v>2654170.6800000002</v>
      </c>
      <c r="F153" s="166">
        <f t="shared" si="30"/>
        <v>4.6326029793984438E-2</v>
      </c>
      <c r="G153" s="241">
        <f t="shared" si="31"/>
        <v>0.11265700190522657</v>
      </c>
      <c r="H153" s="242">
        <f t="shared" si="32"/>
        <v>0.88734299809477346</v>
      </c>
      <c r="I153" s="157"/>
    </row>
    <row r="154" spans="1:9" ht="15.75" x14ac:dyDescent="0.25">
      <c r="A154" s="164"/>
      <c r="B154" s="165">
        <f>DATE(20,11,1)</f>
        <v>7611</v>
      </c>
      <c r="C154" s="226">
        <v>22778053.699999999</v>
      </c>
      <c r="D154" s="226">
        <v>2545068.2999999998</v>
      </c>
      <c r="E154" s="226">
        <v>2750246.46</v>
      </c>
      <c r="F154" s="166">
        <f t="shared" si="30"/>
        <v>-7.4603553893857269E-2</v>
      </c>
      <c r="G154" s="241">
        <f t="shared" si="31"/>
        <v>0.11173335235398096</v>
      </c>
      <c r="H154" s="242">
        <f t="shared" si="32"/>
        <v>0.88826664764601904</v>
      </c>
      <c r="I154" s="157"/>
    </row>
    <row r="155" spans="1:9" ht="15.75" x14ac:dyDescent="0.25">
      <c r="A155" s="164"/>
      <c r="B155" s="165">
        <f>DATE(20,12,1)</f>
        <v>7641</v>
      </c>
      <c r="C155" s="226">
        <v>28927212.960000001</v>
      </c>
      <c r="D155" s="226">
        <v>3275319.33</v>
      </c>
      <c r="E155" s="226">
        <v>2678793.62</v>
      </c>
      <c r="F155" s="166">
        <f t="shared" si="30"/>
        <v>0.22268445973079476</v>
      </c>
      <c r="G155" s="241">
        <f t="shared" si="31"/>
        <v>0.11322623214787575</v>
      </c>
      <c r="H155" s="242">
        <f t="shared" si="32"/>
        <v>0.88677376785212425</v>
      </c>
      <c r="I155" s="157"/>
    </row>
    <row r="156" spans="1:9" ht="15.75" x14ac:dyDescent="0.25">
      <c r="A156" s="164"/>
      <c r="B156" s="165">
        <f>DATE(21,1,1)</f>
        <v>7672</v>
      </c>
      <c r="C156" s="226">
        <v>30658477.870000001</v>
      </c>
      <c r="D156" s="226">
        <v>3376789.13</v>
      </c>
      <c r="E156" s="226">
        <v>2358042.2999999998</v>
      </c>
      <c r="F156" s="166">
        <f t="shared" si="30"/>
        <v>0.43203076976184868</v>
      </c>
      <c r="G156" s="241">
        <f t="shared" si="31"/>
        <v>0.11014209982369225</v>
      </c>
      <c r="H156" s="242">
        <f t="shared" si="32"/>
        <v>0.88985790017630773</v>
      </c>
      <c r="I156" s="157"/>
    </row>
    <row r="157" spans="1:9" ht="15.75" x14ac:dyDescent="0.25">
      <c r="A157" s="164"/>
      <c r="B157" s="165">
        <f>DATE(21,2,1)</f>
        <v>7703</v>
      </c>
      <c r="C157" s="226">
        <v>23705081.329999998</v>
      </c>
      <c r="D157" s="226">
        <v>2596549.7000000002</v>
      </c>
      <c r="E157" s="226">
        <v>2851642.94</v>
      </c>
      <c r="F157" s="166">
        <f t="shared" si="30"/>
        <v>-8.9454831957327646E-2</v>
      </c>
      <c r="G157" s="241">
        <f t="shared" si="31"/>
        <v>0.10953557441348802</v>
      </c>
      <c r="H157" s="242">
        <f t="shared" si="32"/>
        <v>0.89046442558651195</v>
      </c>
      <c r="I157" s="157"/>
    </row>
    <row r="158" spans="1:9" ht="15.75" x14ac:dyDescent="0.25">
      <c r="A158" s="164"/>
      <c r="B158" s="165">
        <f>DATE(21,3,1)</f>
        <v>7731</v>
      </c>
      <c r="C158" s="226">
        <v>37711291.659999996</v>
      </c>
      <c r="D158" s="226">
        <v>4129956.27</v>
      </c>
      <c r="E158" s="226">
        <v>1714094.06</v>
      </c>
      <c r="F158" s="166">
        <f t="shared" si="30"/>
        <v>1.4094105255810756</v>
      </c>
      <c r="G158" s="241">
        <f t="shared" si="31"/>
        <v>0.1095151104140144</v>
      </c>
      <c r="H158" s="242">
        <f t="shared" si="32"/>
        <v>0.8904848895859856</v>
      </c>
      <c r="I158" s="157"/>
    </row>
    <row r="159" spans="1:9" ht="15.75" x14ac:dyDescent="0.25">
      <c r="A159" s="164"/>
      <c r="B159" s="165">
        <f>DATE(21,4,1)</f>
        <v>7762</v>
      </c>
      <c r="C159" s="226">
        <v>35429812.799999997</v>
      </c>
      <c r="D159" s="226">
        <v>3809202.94</v>
      </c>
      <c r="E159" s="226">
        <v>0</v>
      </c>
      <c r="F159" s="166">
        <v>1</v>
      </c>
      <c r="G159" s="241">
        <f t="shared" si="31"/>
        <v>0.10751405776549856</v>
      </c>
      <c r="H159" s="242">
        <f t="shared" si="32"/>
        <v>0.89248594223450139</v>
      </c>
      <c r="I159" s="157"/>
    </row>
    <row r="160" spans="1:9" ht="15.75" x14ac:dyDescent="0.25">
      <c r="A160" s="164"/>
      <c r="B160" s="165">
        <f>DATE(21,5,1)</f>
        <v>7792</v>
      </c>
      <c r="C160" s="226">
        <v>33298763.289999999</v>
      </c>
      <c r="D160" s="226">
        <v>3164766.52</v>
      </c>
      <c r="E160" s="226">
        <v>0</v>
      </c>
      <c r="F160" s="166">
        <v>1</v>
      </c>
      <c r="G160" s="241">
        <f t="shared" si="31"/>
        <v>9.5041563328882417E-2</v>
      </c>
      <c r="H160" s="242">
        <f t="shared" si="32"/>
        <v>0.90495843667111764</v>
      </c>
      <c r="I160" s="157"/>
    </row>
    <row r="161" spans="1:9" ht="15.75" thickBot="1" x14ac:dyDescent="0.25">
      <c r="A161" s="167"/>
      <c r="B161" s="168"/>
      <c r="C161" s="226"/>
      <c r="D161" s="226"/>
      <c r="E161" s="226"/>
      <c r="F161" s="166"/>
      <c r="G161" s="241"/>
      <c r="H161" s="242"/>
      <c r="I161" s="157"/>
    </row>
    <row r="162" spans="1:9" ht="17.25" thickTop="1" thickBot="1" x14ac:dyDescent="0.3">
      <c r="A162" s="182" t="s">
        <v>14</v>
      </c>
      <c r="B162" s="183"/>
      <c r="C162" s="230">
        <f>SUM(C150:C161)</f>
        <v>313654415.88999999</v>
      </c>
      <c r="D162" s="230">
        <f>SUM(D150:D161)</f>
        <v>34128290.82</v>
      </c>
      <c r="E162" s="230">
        <f>SUM(E150:E161)</f>
        <v>22996058.640000001</v>
      </c>
      <c r="F162" s="176">
        <f>(+D162-E162)/E162</f>
        <v>0.48409305065157021</v>
      </c>
      <c r="G162" s="249">
        <f>D162/C162</f>
        <v>0.10880857750132536</v>
      </c>
      <c r="H162" s="246">
        <f>1-G162</f>
        <v>0.89119142249867467</v>
      </c>
      <c r="I162" s="157"/>
    </row>
    <row r="163" spans="1:9" ht="15.75" thickTop="1" x14ac:dyDescent="0.2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5.75" x14ac:dyDescent="0.25">
      <c r="A164" s="164" t="s">
        <v>37</v>
      </c>
      <c r="B164" s="165">
        <f>DATE(20,7,1)</f>
        <v>7488</v>
      </c>
      <c r="C164" s="226">
        <v>193788423.05000001</v>
      </c>
      <c r="D164" s="226">
        <v>17781520.260000002</v>
      </c>
      <c r="E164" s="226">
        <v>19119192.239999998</v>
      </c>
      <c r="F164" s="166">
        <f t="shared" ref="F164:F172" si="33">(+D164-E164)/E164</f>
        <v>-6.9964879436768337E-2</v>
      </c>
      <c r="G164" s="241">
        <f t="shared" ref="G164:G174" si="34">D164/C164</f>
        <v>9.1757391799468485E-2</v>
      </c>
      <c r="H164" s="242">
        <f t="shared" ref="H164:H174" si="35">1-G164</f>
        <v>0.90824260820053149</v>
      </c>
      <c r="I164" s="157"/>
    </row>
    <row r="165" spans="1:9" ht="15.75" x14ac:dyDescent="0.25">
      <c r="A165" s="164"/>
      <c r="B165" s="165">
        <f>DATE(20,8,1)</f>
        <v>7519</v>
      </c>
      <c r="C165" s="226">
        <v>187407837.13</v>
      </c>
      <c r="D165" s="226">
        <v>17286123.989999998</v>
      </c>
      <c r="E165" s="226">
        <v>19394509.940000001</v>
      </c>
      <c r="F165" s="166">
        <f t="shared" si="33"/>
        <v>-0.10871045241785587</v>
      </c>
      <c r="G165" s="241">
        <f t="shared" si="34"/>
        <v>9.223799951337712E-2</v>
      </c>
      <c r="H165" s="242">
        <f t="shared" si="35"/>
        <v>0.90776200048662292</v>
      </c>
      <c r="I165" s="157"/>
    </row>
    <row r="166" spans="1:9" ht="15.75" x14ac:dyDescent="0.25">
      <c r="A166" s="164"/>
      <c r="B166" s="165">
        <f>DATE(20,9,1)</f>
        <v>7550</v>
      </c>
      <c r="C166" s="226">
        <v>182127854.37</v>
      </c>
      <c r="D166" s="226">
        <v>16702603.76</v>
      </c>
      <c r="E166" s="226">
        <v>17543226.640000001</v>
      </c>
      <c r="F166" s="166">
        <f t="shared" si="33"/>
        <v>-4.7917233086604005E-2</v>
      </c>
      <c r="G166" s="241">
        <f t="shared" si="34"/>
        <v>9.1708123492565796E-2</v>
      </c>
      <c r="H166" s="242">
        <f t="shared" si="35"/>
        <v>0.90829187650743415</v>
      </c>
      <c r="I166" s="157"/>
    </row>
    <row r="167" spans="1:9" ht="15.75" x14ac:dyDescent="0.25">
      <c r="A167" s="164"/>
      <c r="B167" s="165">
        <f>DATE(20,10,1)</f>
        <v>7580</v>
      </c>
      <c r="C167" s="226">
        <v>186473597.18000001</v>
      </c>
      <c r="D167" s="226">
        <v>17754592.84</v>
      </c>
      <c r="E167" s="226">
        <v>18312994.41</v>
      </c>
      <c r="F167" s="166">
        <f t="shared" si="33"/>
        <v>-3.0492095257511755E-2</v>
      </c>
      <c r="G167" s="241">
        <f t="shared" si="34"/>
        <v>9.5212368445178719E-2</v>
      </c>
      <c r="H167" s="242">
        <f t="shared" si="35"/>
        <v>0.90478763155482134</v>
      </c>
      <c r="I167" s="157"/>
    </row>
    <row r="168" spans="1:9" ht="15.75" x14ac:dyDescent="0.25">
      <c r="A168" s="164"/>
      <c r="B168" s="165">
        <f>DATE(20,11,1)</f>
        <v>7611</v>
      </c>
      <c r="C168" s="226">
        <v>166737487.81</v>
      </c>
      <c r="D168" s="226">
        <v>15307588.33</v>
      </c>
      <c r="E168" s="226">
        <v>17726569.68</v>
      </c>
      <c r="F168" s="166">
        <f t="shared" si="33"/>
        <v>-0.13646077011330709</v>
      </c>
      <c r="G168" s="241">
        <f t="shared" si="34"/>
        <v>9.1806518924186009E-2</v>
      </c>
      <c r="H168" s="242">
        <f t="shared" si="35"/>
        <v>0.90819348107581399</v>
      </c>
      <c r="I168" s="157"/>
    </row>
    <row r="169" spans="1:9" ht="15.75" x14ac:dyDescent="0.25">
      <c r="A169" s="164"/>
      <c r="B169" s="165">
        <f>DATE(20,12,1)</f>
        <v>7641</v>
      </c>
      <c r="C169" s="226">
        <v>206068326.33000001</v>
      </c>
      <c r="D169" s="226">
        <v>19390114.289999999</v>
      </c>
      <c r="E169" s="226">
        <v>17987460.18</v>
      </c>
      <c r="F169" s="166">
        <f t="shared" si="33"/>
        <v>7.7979553309009714E-2</v>
      </c>
      <c r="G169" s="241">
        <f t="shared" si="34"/>
        <v>9.4095558668965282E-2</v>
      </c>
      <c r="H169" s="242">
        <f t="shared" si="35"/>
        <v>0.90590444133103476</v>
      </c>
      <c r="I169" s="157"/>
    </row>
    <row r="170" spans="1:9" ht="15.75" x14ac:dyDescent="0.25">
      <c r="A170" s="164"/>
      <c r="B170" s="165">
        <f>DATE(21,1,1)</f>
        <v>7672</v>
      </c>
      <c r="C170" s="226">
        <v>233360885</v>
      </c>
      <c r="D170" s="226">
        <v>21258676.82</v>
      </c>
      <c r="E170" s="226">
        <v>17177529.199999999</v>
      </c>
      <c r="F170" s="166">
        <f t="shared" si="33"/>
        <v>0.23758641725959059</v>
      </c>
      <c r="G170" s="241">
        <f t="shared" si="34"/>
        <v>9.1097858237896207E-2</v>
      </c>
      <c r="H170" s="242">
        <f t="shared" si="35"/>
        <v>0.90890214176210382</v>
      </c>
      <c r="I170" s="157"/>
    </row>
    <row r="171" spans="1:9" ht="15.75" x14ac:dyDescent="0.25">
      <c r="A171" s="164"/>
      <c r="B171" s="165">
        <f>DATE(21,2,1)</f>
        <v>7703</v>
      </c>
      <c r="C171" s="226">
        <v>191556686</v>
      </c>
      <c r="D171" s="226">
        <v>17430596</v>
      </c>
      <c r="E171" s="226">
        <v>17791352.699999999</v>
      </c>
      <c r="F171" s="166">
        <f t="shared" si="33"/>
        <v>-2.0277081011383653E-2</v>
      </c>
      <c r="G171" s="241">
        <f t="shared" si="34"/>
        <v>9.0994453725306151E-2</v>
      </c>
      <c r="H171" s="242">
        <f t="shared" si="35"/>
        <v>0.90900554627469388</v>
      </c>
      <c r="I171" s="157"/>
    </row>
    <row r="172" spans="1:9" ht="15.75" x14ac:dyDescent="0.25">
      <c r="A172" s="164"/>
      <c r="B172" s="165">
        <f>DATE(21,3,1)</f>
        <v>7731</v>
      </c>
      <c r="C172" s="226">
        <v>247490909.47999999</v>
      </c>
      <c r="D172" s="226">
        <v>23210435.77</v>
      </c>
      <c r="E172" s="226">
        <v>9097301.5800000001</v>
      </c>
      <c r="F172" s="166">
        <f t="shared" si="33"/>
        <v>1.5513538894903822</v>
      </c>
      <c r="G172" s="241">
        <f t="shared" si="34"/>
        <v>9.3782983054881294E-2</v>
      </c>
      <c r="H172" s="242">
        <f t="shared" si="35"/>
        <v>0.90621701694511869</v>
      </c>
      <c r="I172" s="157"/>
    </row>
    <row r="173" spans="1:9" ht="15.75" x14ac:dyDescent="0.25">
      <c r="A173" s="164"/>
      <c r="B173" s="165">
        <f>DATE(21,4,1)</f>
        <v>7762</v>
      </c>
      <c r="C173" s="226">
        <v>246895612.84</v>
      </c>
      <c r="D173" s="226">
        <v>22680246.170000002</v>
      </c>
      <c r="E173" s="226">
        <v>0</v>
      </c>
      <c r="F173" s="166">
        <v>1</v>
      </c>
      <c r="G173" s="241">
        <f t="shared" si="34"/>
        <v>9.1861681579161442E-2</v>
      </c>
      <c r="H173" s="242">
        <f t="shared" si="35"/>
        <v>0.90813831842083859</v>
      </c>
      <c r="I173" s="157"/>
    </row>
    <row r="174" spans="1:9" ht="15.75" x14ac:dyDescent="0.25">
      <c r="A174" s="164"/>
      <c r="B174" s="165">
        <f>DATE(21,5,1)</f>
        <v>7792</v>
      </c>
      <c r="C174" s="226">
        <v>242138331.36000001</v>
      </c>
      <c r="D174" s="226">
        <v>22255591.989999998</v>
      </c>
      <c r="E174" s="226">
        <v>0</v>
      </c>
      <c r="F174" s="166">
        <v>1</v>
      </c>
      <c r="G174" s="241">
        <f t="shared" si="34"/>
        <v>9.1912717267847277E-2</v>
      </c>
      <c r="H174" s="242">
        <f t="shared" si="35"/>
        <v>0.90808728273215267</v>
      </c>
      <c r="I174" s="157"/>
    </row>
    <row r="175" spans="1:9" ht="15.75" thickBot="1" x14ac:dyDescent="0.25">
      <c r="A175" s="167"/>
      <c r="B175" s="168"/>
      <c r="C175" s="226"/>
      <c r="D175" s="226"/>
      <c r="E175" s="226"/>
      <c r="F175" s="166"/>
      <c r="G175" s="241"/>
      <c r="H175" s="242"/>
      <c r="I175" s="157"/>
    </row>
    <row r="176" spans="1:9" ht="17.25" thickTop="1" thickBot="1" x14ac:dyDescent="0.3">
      <c r="A176" s="174" t="s">
        <v>14</v>
      </c>
      <c r="B176" s="175"/>
      <c r="C176" s="228">
        <f>SUM(C164:C175)</f>
        <v>2284045950.5499997</v>
      </c>
      <c r="D176" s="228">
        <f>SUM(D164:D175)</f>
        <v>211058090.22000003</v>
      </c>
      <c r="E176" s="228">
        <f>SUM(E164:E175)</f>
        <v>154150136.57000002</v>
      </c>
      <c r="F176" s="176">
        <f>(+D176-E176)/E176</f>
        <v>0.36917225580373025</v>
      </c>
      <c r="G176" s="245">
        <f>D176/C176</f>
        <v>9.2405360833120329E-2</v>
      </c>
      <c r="H176" s="246">
        <f>1-G176</f>
        <v>0.90759463916687966</v>
      </c>
      <c r="I176" s="157"/>
    </row>
    <row r="177" spans="1:9" ht="15.75" thickTop="1" x14ac:dyDescent="0.2">
      <c r="A177" s="167"/>
      <c r="B177" s="168"/>
      <c r="C177" s="226"/>
      <c r="D177" s="226"/>
      <c r="E177" s="226"/>
      <c r="F177" s="166"/>
      <c r="G177" s="241"/>
      <c r="H177" s="242"/>
      <c r="I177" s="157"/>
    </row>
    <row r="178" spans="1:9" ht="15.75" x14ac:dyDescent="0.25">
      <c r="A178" s="164" t="s">
        <v>58</v>
      </c>
      <c r="B178" s="165">
        <f>DATE(20,7,1)</f>
        <v>7488</v>
      </c>
      <c r="C178" s="226">
        <v>30630065.859999999</v>
      </c>
      <c r="D178" s="226">
        <v>3357321.79</v>
      </c>
      <c r="E178" s="226">
        <v>3293709.88</v>
      </c>
      <c r="F178" s="166">
        <f t="shared" ref="F178:F186" si="36">(+D178-E178)/E178</f>
        <v>1.9313149098608574E-2</v>
      </c>
      <c r="G178" s="241">
        <f t="shared" ref="G178:G188" si="37">D178/C178</f>
        <v>0.10960870294387282</v>
      </c>
      <c r="H178" s="242">
        <f t="shared" ref="H178:H188" si="38">1-G178</f>
        <v>0.89039129705612718</v>
      </c>
      <c r="I178" s="157"/>
    </row>
    <row r="179" spans="1:9" ht="15.75" x14ac:dyDescent="0.25">
      <c r="A179" s="164"/>
      <c r="B179" s="165">
        <f>DATE(20,8,1)</f>
        <v>7519</v>
      </c>
      <c r="C179" s="226">
        <v>29521795.920000002</v>
      </c>
      <c r="D179" s="226">
        <v>3360444.04</v>
      </c>
      <c r="E179" s="226">
        <v>3283356.99</v>
      </c>
      <c r="F179" s="166">
        <f t="shared" si="36"/>
        <v>2.3478120178457906E-2</v>
      </c>
      <c r="G179" s="241">
        <f t="shared" si="37"/>
        <v>0.11382925514106053</v>
      </c>
      <c r="H179" s="242">
        <f t="shared" si="38"/>
        <v>0.88617074485893943</v>
      </c>
      <c r="I179" s="157"/>
    </row>
    <row r="180" spans="1:9" ht="15.75" x14ac:dyDescent="0.25">
      <c r="A180" s="164"/>
      <c r="B180" s="165">
        <f>DATE(20,9,1)</f>
        <v>7550</v>
      </c>
      <c r="C180" s="226">
        <v>27722632.809999999</v>
      </c>
      <c r="D180" s="226">
        <v>3031984.28</v>
      </c>
      <c r="E180" s="226">
        <v>3164787.25</v>
      </c>
      <c r="F180" s="166">
        <f t="shared" si="36"/>
        <v>-4.1962684853460594E-2</v>
      </c>
      <c r="G180" s="241">
        <f t="shared" si="37"/>
        <v>0.10936855459508574</v>
      </c>
      <c r="H180" s="242">
        <f t="shared" si="38"/>
        <v>0.89063144540491423</v>
      </c>
      <c r="I180" s="157"/>
    </row>
    <row r="181" spans="1:9" ht="15.75" x14ac:dyDescent="0.25">
      <c r="A181" s="164"/>
      <c r="B181" s="165">
        <f>DATE(20,10,1)</f>
        <v>7580</v>
      </c>
      <c r="C181" s="226">
        <v>24051972.260000002</v>
      </c>
      <c r="D181" s="226">
        <v>2770053.1200000001</v>
      </c>
      <c r="E181" s="226">
        <v>3114034.79</v>
      </c>
      <c r="F181" s="166">
        <f t="shared" si="36"/>
        <v>-0.11046172994104536</v>
      </c>
      <c r="G181" s="241">
        <f t="shared" si="37"/>
        <v>0.11516947924502553</v>
      </c>
      <c r="H181" s="242">
        <f t="shared" si="38"/>
        <v>0.88483052075497448</v>
      </c>
      <c r="I181" s="157"/>
    </row>
    <row r="182" spans="1:9" ht="15.75" x14ac:dyDescent="0.25">
      <c r="A182" s="164"/>
      <c r="B182" s="165">
        <f>DATE(20,11,1)</f>
        <v>7611</v>
      </c>
      <c r="C182" s="226">
        <v>21330939.300000001</v>
      </c>
      <c r="D182" s="226">
        <v>2396488.16</v>
      </c>
      <c r="E182" s="226">
        <v>3192066.7</v>
      </c>
      <c r="F182" s="166">
        <f t="shared" si="36"/>
        <v>-0.24923618920619672</v>
      </c>
      <c r="G182" s="241">
        <f t="shared" si="37"/>
        <v>0.11234799022657198</v>
      </c>
      <c r="H182" s="242">
        <f t="shared" si="38"/>
        <v>0.88765200977342806</v>
      </c>
      <c r="I182" s="157"/>
    </row>
    <row r="183" spans="1:9" ht="15.75" x14ac:dyDescent="0.25">
      <c r="A183" s="164"/>
      <c r="B183" s="165">
        <f>DATE(20,12,1)</f>
        <v>7641</v>
      </c>
      <c r="C183" s="226">
        <v>23281170.02</v>
      </c>
      <c r="D183" s="226">
        <v>2648752.5099999998</v>
      </c>
      <c r="E183" s="226">
        <v>3336598.49</v>
      </c>
      <c r="F183" s="166">
        <f t="shared" si="36"/>
        <v>-0.20615185856539797</v>
      </c>
      <c r="G183" s="241">
        <f t="shared" si="37"/>
        <v>0.11377231074402848</v>
      </c>
      <c r="H183" s="242">
        <f t="shared" si="38"/>
        <v>0.88622768925597151</v>
      </c>
      <c r="I183" s="157"/>
    </row>
    <row r="184" spans="1:9" ht="15.75" x14ac:dyDescent="0.25">
      <c r="A184" s="164"/>
      <c r="B184" s="165">
        <f>DATE(21,1,1)</f>
        <v>7672</v>
      </c>
      <c r="C184" s="226">
        <v>26242266.289999999</v>
      </c>
      <c r="D184" s="226">
        <v>3041407.25</v>
      </c>
      <c r="E184" s="226">
        <v>3179496.92</v>
      </c>
      <c r="F184" s="166">
        <f t="shared" si="36"/>
        <v>-4.3431295413866901E-2</v>
      </c>
      <c r="G184" s="241">
        <f t="shared" si="37"/>
        <v>0.11589727870260096</v>
      </c>
      <c r="H184" s="242">
        <f t="shared" si="38"/>
        <v>0.88410272129739909</v>
      </c>
      <c r="I184" s="157"/>
    </row>
    <row r="185" spans="1:9" ht="15.75" x14ac:dyDescent="0.25">
      <c r="A185" s="164"/>
      <c r="B185" s="165">
        <f>DATE(21,2,1)</f>
        <v>7703</v>
      </c>
      <c r="C185" s="226">
        <v>24357738.460000001</v>
      </c>
      <c r="D185" s="226">
        <v>2699820.17</v>
      </c>
      <c r="E185" s="226">
        <v>3678191.22</v>
      </c>
      <c r="F185" s="166">
        <f t="shared" si="36"/>
        <v>-0.26599243798967043</v>
      </c>
      <c r="G185" s="241">
        <f t="shared" si="37"/>
        <v>0.11084034646457895</v>
      </c>
      <c r="H185" s="242">
        <f t="shared" si="38"/>
        <v>0.88915965353542104</v>
      </c>
      <c r="I185" s="157"/>
    </row>
    <row r="186" spans="1:9" ht="15.75" x14ac:dyDescent="0.25">
      <c r="A186" s="164"/>
      <c r="B186" s="165">
        <f>DATE(21,3,1)</f>
        <v>7731</v>
      </c>
      <c r="C186" s="226">
        <v>38827661.759999998</v>
      </c>
      <c r="D186" s="226">
        <v>4317336.4400000004</v>
      </c>
      <c r="E186" s="226">
        <v>1985714.01</v>
      </c>
      <c r="F186" s="166">
        <f t="shared" si="36"/>
        <v>1.1741985090793616</v>
      </c>
      <c r="G186" s="241">
        <f t="shared" si="37"/>
        <v>0.11119228519827305</v>
      </c>
      <c r="H186" s="242">
        <f t="shared" si="38"/>
        <v>0.88880771480172693</v>
      </c>
      <c r="I186" s="157"/>
    </row>
    <row r="187" spans="1:9" ht="15.75" x14ac:dyDescent="0.25">
      <c r="A187" s="164"/>
      <c r="B187" s="165">
        <f>DATE(21,4,1)</f>
        <v>7762</v>
      </c>
      <c r="C187" s="226">
        <v>39465765.130000003</v>
      </c>
      <c r="D187" s="226">
        <v>4384922.79</v>
      </c>
      <c r="E187" s="226">
        <v>0</v>
      </c>
      <c r="F187" s="166">
        <v>1</v>
      </c>
      <c r="G187" s="241">
        <f t="shared" si="37"/>
        <v>0.11110700060054808</v>
      </c>
      <c r="H187" s="242">
        <f t="shared" si="38"/>
        <v>0.88889299939945188</v>
      </c>
      <c r="I187" s="157"/>
    </row>
    <row r="188" spans="1:9" ht="15.75" x14ac:dyDescent="0.25">
      <c r="A188" s="164"/>
      <c r="B188" s="165">
        <f>DATE(21,5,1)</f>
        <v>7792</v>
      </c>
      <c r="C188" s="226">
        <v>37358606.950000003</v>
      </c>
      <c r="D188" s="226">
        <v>4157751.73</v>
      </c>
      <c r="E188" s="226">
        <v>0</v>
      </c>
      <c r="F188" s="166">
        <v>1</v>
      </c>
      <c r="G188" s="241">
        <f t="shared" si="37"/>
        <v>0.11129300767463439</v>
      </c>
      <c r="H188" s="242">
        <f t="shared" si="38"/>
        <v>0.88870699232536565</v>
      </c>
      <c r="I188" s="157"/>
    </row>
    <row r="189" spans="1:9" ht="15.75" thickBot="1" x14ac:dyDescent="0.25">
      <c r="A189" s="167"/>
      <c r="B189" s="168"/>
      <c r="C189" s="226"/>
      <c r="D189" s="226"/>
      <c r="E189" s="226"/>
      <c r="F189" s="166"/>
      <c r="G189" s="241"/>
      <c r="H189" s="242"/>
      <c r="I189" s="157"/>
    </row>
    <row r="190" spans="1:9" ht="17.25" thickTop="1" thickBot="1" x14ac:dyDescent="0.3">
      <c r="A190" s="169" t="s">
        <v>14</v>
      </c>
      <c r="B190" s="155"/>
      <c r="C190" s="223">
        <f>SUM(C178:C189)</f>
        <v>322790614.75999999</v>
      </c>
      <c r="D190" s="223">
        <f>SUM(D178:D189)</f>
        <v>36166282.280000001</v>
      </c>
      <c r="E190" s="223">
        <f>SUM(E178:E189)</f>
        <v>28227956.250000004</v>
      </c>
      <c r="F190" s="176">
        <f>(+D190-E190)/E190</f>
        <v>0.28122213169435517</v>
      </c>
      <c r="G190" s="245">
        <f>D190/C190</f>
        <v>0.11204254592993731</v>
      </c>
      <c r="H190" s="246">
        <f>1-G190</f>
        <v>0.88795745407006266</v>
      </c>
      <c r="I190" s="157"/>
    </row>
    <row r="191" spans="1:9" ht="16.5" thickTop="1" thickBot="1" x14ac:dyDescent="0.25">
      <c r="A191" s="171"/>
      <c r="B191" s="172"/>
      <c r="C191" s="227"/>
      <c r="D191" s="227"/>
      <c r="E191" s="227"/>
      <c r="F191" s="173"/>
      <c r="G191" s="243"/>
      <c r="H191" s="244"/>
      <c r="I191" s="157"/>
    </row>
    <row r="192" spans="1:9" ht="17.25" thickTop="1" thickBot="1" x14ac:dyDescent="0.3">
      <c r="A192" s="184" t="s">
        <v>38</v>
      </c>
      <c r="B192" s="155"/>
      <c r="C192" s="223">
        <f>C190+C176+C134+C106+C78+C50+C22+C64+C162+C36+C120+C148+C92</f>
        <v>13941947007.459997</v>
      </c>
      <c r="D192" s="223">
        <f>D190+D176+D134+D106+D78+D50+D22+D64+D162+D36+D120+D148+D92</f>
        <v>1365409527.8099999</v>
      </c>
      <c r="E192" s="223">
        <f>E190+E176+E134+E106+E78+E50+E22+E64+E162+E36+E120+E148+E92</f>
        <v>1050898530.3899999</v>
      </c>
      <c r="F192" s="170">
        <f>(+D192-E192)/E192</f>
        <v>0.29927817798287493</v>
      </c>
      <c r="G192" s="236">
        <f>D192/C192</f>
        <v>9.7935354873993033E-2</v>
      </c>
      <c r="H192" s="237">
        <f>1-G192</f>
        <v>0.90206464512600693</v>
      </c>
      <c r="I192" s="157"/>
    </row>
    <row r="193" spans="1:9" ht="17.25" thickTop="1" thickBot="1" x14ac:dyDescent="0.3">
      <c r="A193" s="184"/>
      <c r="B193" s="155"/>
      <c r="C193" s="223"/>
      <c r="D193" s="223"/>
      <c r="E193" s="223"/>
      <c r="F193" s="170"/>
      <c r="G193" s="236"/>
      <c r="H193" s="237"/>
      <c r="I193" s="157"/>
    </row>
    <row r="194" spans="1:9" ht="17.25" thickTop="1" thickBot="1" x14ac:dyDescent="0.3">
      <c r="A194" s="184" t="s">
        <v>39</v>
      </c>
      <c r="B194" s="155"/>
      <c r="C194" s="223">
        <f>SUM(C20+C34+C48+C62+C76+C90+C104+C118+C132+C146+C160+C174+C188)</f>
        <v>1551336210.3500001</v>
      </c>
      <c r="D194" s="223">
        <f>SUM(D20+D34+D48+D62+D76+D90+D104+D118+D132+D146+D160+D174+D188)</f>
        <v>151512517.19999999</v>
      </c>
      <c r="E194" s="223">
        <f>SUM(E20+E34+E48+E62+E76+E90+E104+E118+E132+E146+E160+E174+E188)</f>
        <v>0</v>
      </c>
      <c r="F194" s="170">
        <v>1</v>
      </c>
      <c r="G194" s="236">
        <f>D194/C194</f>
        <v>9.7665816210025125E-2</v>
      </c>
      <c r="H194" s="246">
        <f>1-G194</f>
        <v>0.90233418378997488</v>
      </c>
      <c r="I194" s="157"/>
    </row>
    <row r="195" spans="1:9" ht="16.5" thickTop="1" x14ac:dyDescent="0.25">
      <c r="A195" s="185"/>
      <c r="B195" s="186"/>
      <c r="C195" s="231"/>
      <c r="D195" s="231"/>
      <c r="E195" s="231"/>
      <c r="F195" s="187"/>
      <c r="G195" s="250"/>
      <c r="H195" s="250"/>
      <c r="I195" s="151"/>
    </row>
    <row r="196" spans="1:9" ht="15.75" x14ac:dyDescent="0.25">
      <c r="A196" s="289" t="s">
        <v>73</v>
      </c>
      <c r="B196" s="258"/>
      <c r="C196" s="259"/>
      <c r="D196" s="259"/>
      <c r="E196" s="259"/>
      <c r="F196" s="260"/>
      <c r="G196" s="257"/>
      <c r="H196" s="257"/>
      <c r="I196" s="151"/>
    </row>
    <row r="197" spans="1:9" ht="16.5" customHeight="1" x14ac:dyDescent="0.3">
      <c r="A197" s="188" t="s">
        <v>49</v>
      </c>
      <c r="B197" s="189"/>
      <c r="C197" s="232"/>
      <c r="D197" s="232"/>
      <c r="E197" s="232"/>
      <c r="F197" s="190"/>
      <c r="G197" s="251"/>
      <c r="H197" s="251"/>
      <c r="I197" s="151"/>
    </row>
    <row r="198" spans="1:9" ht="15.75" x14ac:dyDescent="0.25">
      <c r="A198" s="191"/>
      <c r="B198" s="189"/>
      <c r="C198" s="232"/>
      <c r="D198" s="232"/>
      <c r="E198" s="232"/>
      <c r="F198" s="190"/>
      <c r="G198" s="257"/>
      <c r="H198" s="257"/>
      <c r="I198" s="151"/>
    </row>
    <row r="199" spans="1:9" ht="15.75" x14ac:dyDescent="0.25">
      <c r="A199" s="72"/>
      <c r="I199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4" manualBreakCount="4">
    <brk id="50" max="8" man="1"/>
    <brk id="92" max="8" man="1"/>
    <brk id="134" max="8" man="1"/>
    <brk id="1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2021-06-09T14:34:09Z</cp:lastPrinted>
  <dcterms:created xsi:type="dcterms:W3CDTF">2003-09-09T14:41:43Z</dcterms:created>
  <dcterms:modified xsi:type="dcterms:W3CDTF">2021-06-09T20:48:54Z</dcterms:modified>
</cp:coreProperties>
</file>