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STATS'!$A$1:$M$78</definedName>
    <definedName name="_xlnm.Print_Area" localSheetId="3">'SLOT STATS'!$A$1:$I$79</definedName>
    <definedName name="_xlnm.Print_Area" localSheetId="2">'TABLE STATS'!$A$1:$H$78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<sst xmlns="http://schemas.openxmlformats.org/spreadsheetml/2006/main" count="192" uniqueCount="75">
  <si>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</si>
  <si>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</si>
  <si>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</si>
  <si>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</si>
  <si>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</si>
  <si>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</si>
  <si>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</si>
  <si>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</si>
  <si>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</si>
  <si>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</si>
  <si>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</si>
  <si>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</si>
  <si>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</si>
  <si>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</si>
  <si>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</si>
  <si>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</si>
  <si>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</si>
  <si>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</si>
  <si>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</si>
  <si>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</si>
  <si>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</si>
  <si>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</si>
  <si>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</si>
  <si>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</si>
  <si>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</si>
  <si>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</si>
  <si>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</si>
  <si>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</si>
  <si>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</si>
  <si>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</si>
  <si>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</si>
  <si>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</si>
  <si>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</si>
  <si>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</si>
  <si>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</si>
  <si>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</si>
  <si>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</si>
  <si>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</si>
  <si>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</si>
  <si>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</si>
  <si>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</si>
  <si>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</si>
  <si>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</si>
  <si>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</si>
  <si>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</si>
  <si>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</si>
  <si>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</si>
  <si>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</si>
  <si>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</si>
  <si>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</si>
  <si>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</si>
  <si>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</si>
  <si>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</si>
  <si>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</si>
  <si>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</si>
  <si>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</si>
  <si>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</si>
  <si>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</si>
  <si>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</si>
  <si>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</si>
  <si>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</si>
  <si>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</si>
  <si>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</si>
  <si>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</si>
  <si>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</si>
  <si>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</si>
  <si>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</si>
  <si>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</si>
  <si>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2020 YTD ADMISSIONS, PATRONS AND AGR SUMMARY </t>
  </si>
  <si>
    <t>MONTH ENDED:   AUGUST 31, 2019</t>
  </si>
  <si>
    <t>(as reported on the tax remittal database dtd 9/9/19)</t>
  </si>
  <si>
    <t>FOR THE MONTH ENDED:   AUGUST 31, 2019</t>
  </si>
  <si>
    <t>THRU MONTH ENDED:   AUGUST 31, 2019</t>
  </si>
  <si>
    <t>(as reported on the tax remittal database as of 9/9/19)</t>
  </si>
  <si>
    <t>THRU MONTH ENDED:     AUGUST 31,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</si>
</sst>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8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DATE(2019,7,1)</f>
        <v>43647</v>
      </c>
      <c r="C9" s="21">
        <v>273825</v>
      </c>
      <c r="D9" s="22">
        <v>261456</v>
      </c>
      <c r="E9" s="23">
        <f>(+C9-D9)/D9</f>
        <v>0.04730815127593171</v>
      </c>
      <c r="F9" s="21">
        <f>+C9-121652</f>
        <v>152173</v>
      </c>
      <c r="G9" s="21">
        <f>+D9-122888</f>
        <v>138568</v>
      </c>
      <c r="H9" s="23">
        <f>(+F9-G9)/G9</f>
        <v>0.09818284163731886</v>
      </c>
      <c r="I9" s="24">
        <f>K9/C9</f>
        <v>53.29275511731946</v>
      </c>
      <c r="J9" s="24">
        <f>K9/F9</f>
        <v>95.89670092591984</v>
      </c>
      <c r="K9" s="21">
        <v>14592888.67</v>
      </c>
      <c r="L9" s="21">
        <v>13375050.09</v>
      </c>
      <c r="M9" s="25">
        <f>(+K9-L9)/L9</f>
        <v>0.09105301077792076</v>
      </c>
      <c r="N9" s="10"/>
      <c r="R9" s="2"/>
    </row>
    <row r="10" spans="1:18" ht="15.75">
      <c r="A10" s="19"/>
      <c r="B10" s="20">
        <f>DATE(2019,8,1)</f>
        <v>43678</v>
      </c>
      <c r="C10" s="21">
        <v>276880</v>
      </c>
      <c r="D10" s="22">
        <v>266367</v>
      </c>
      <c r="E10" s="23">
        <f>(+C10-D10)/D10</f>
        <v>0.03946810227993708</v>
      </c>
      <c r="F10" s="21">
        <f>+C10-123357</f>
        <v>153523</v>
      </c>
      <c r="G10" s="21">
        <f>+D10-122166</f>
        <v>144201</v>
      </c>
      <c r="H10" s="23">
        <f>(+F10-G10)/G10</f>
        <v>0.06464587624218972</v>
      </c>
      <c r="I10" s="24">
        <f>K10/C10</f>
        <v>52.376661297312914</v>
      </c>
      <c r="J10" s="24">
        <f>K10/F10</f>
        <v>94.46174175856386</v>
      </c>
      <c r="K10" s="21">
        <v>14502049.98</v>
      </c>
      <c r="L10" s="21">
        <v>13957901.84</v>
      </c>
      <c r="M10" s="25">
        <f>(+K10-L10)/L10</f>
        <v>0.03898495248337415</v>
      </c>
      <c r="N10" s="10"/>
      <c r="R10" s="2"/>
    </row>
    <row r="11" spans="1:18" ht="15.75" customHeight="1" thickBot="1">
      <c r="A11" s="19"/>
      <c r="B11" s="20"/>
      <c r="C11" s="21"/>
      <c r="D11" s="21"/>
      <c r="E11" s="23"/>
      <c r="F11" s="21"/>
      <c r="G11" s="21"/>
      <c r="H11" s="23"/>
      <c r="I11" s="24"/>
      <c r="J11" s="24"/>
      <c r="K11" s="21"/>
      <c r="L11" s="21"/>
      <c r="M11" s="25"/>
      <c r="N11" s="10"/>
      <c r="R11" s="2"/>
    </row>
    <row r="12" spans="1:18" ht="17.25" thickBot="1" thickTop="1">
      <c r="A12" s="26" t="s">
        <v>14</v>
      </c>
      <c r="B12" s="27"/>
      <c r="C12" s="28">
        <f>SUM(C9:C11)</f>
        <v>550705</v>
      </c>
      <c r="D12" s="28">
        <f>SUM(D9:D11)</f>
        <v>527823</v>
      </c>
      <c r="E12" s="279">
        <f>(+C12-D12)/D12</f>
        <v>0.04335165386881587</v>
      </c>
      <c r="F12" s="28">
        <f>SUM(F9:F11)</f>
        <v>305696</v>
      </c>
      <c r="G12" s="28">
        <f>SUM(G9:G11)</f>
        <v>282769</v>
      </c>
      <c r="H12" s="30">
        <f>(+F12-G12)/G12</f>
        <v>0.0810803164420428</v>
      </c>
      <c r="I12" s="31">
        <f>K12/C12</f>
        <v>52.832167222015414</v>
      </c>
      <c r="J12" s="31">
        <f>K12/F12</f>
        <v>95.17605284334763</v>
      </c>
      <c r="K12" s="28">
        <f>SUM(K9:K11)</f>
        <v>29094938.65</v>
      </c>
      <c r="L12" s="28">
        <f>SUM(L9:L11)</f>
        <v>27332951.93</v>
      </c>
      <c r="M12" s="32">
        <f>(+K12-L12)/L12</f>
        <v>0.0644638282945972</v>
      </c>
      <c r="N12" s="10"/>
      <c r="R12" s="2"/>
    </row>
    <row r="13" spans="1:18" ht="15.75" customHeight="1" thickTop="1">
      <c r="A13" s="15"/>
      <c r="B13" s="16"/>
      <c r="C13" s="16"/>
      <c r="D13" s="16"/>
      <c r="E13" s="17"/>
      <c r="F13" s="16"/>
      <c r="G13" s="16"/>
      <c r="H13" s="17"/>
      <c r="I13" s="16"/>
      <c r="J13" s="16"/>
      <c r="K13" s="195"/>
      <c r="L13" s="195"/>
      <c r="M13" s="18"/>
      <c r="N13" s="10"/>
      <c r="R13" s="2"/>
    </row>
    <row r="14" spans="1:18" ht="15.75">
      <c r="A14" s="19" t="s">
        <v>15</v>
      </c>
      <c r="B14" s="20">
        <f>DATE(2019,7,1)</f>
        <v>43647</v>
      </c>
      <c r="C14" s="21">
        <v>128877</v>
      </c>
      <c r="D14" s="21">
        <v>142478</v>
      </c>
      <c r="E14" s="23">
        <f>(+C14-D14)/D14</f>
        <v>-0.09546035177360715</v>
      </c>
      <c r="F14" s="21">
        <f>+C14-61988</f>
        <v>66889</v>
      </c>
      <c r="G14" s="21">
        <f>+D14-67444</f>
        <v>75034</v>
      </c>
      <c r="H14" s="23">
        <f>(+F14-G14)/G14</f>
        <v>-0.10855079030839353</v>
      </c>
      <c r="I14" s="24">
        <f>K14/C14</f>
        <v>54.055501214336154</v>
      </c>
      <c r="J14" s="24">
        <f>K14/F14</f>
        <v>104.15032112903467</v>
      </c>
      <c r="K14" s="21">
        <v>6966510.83</v>
      </c>
      <c r="L14" s="21">
        <v>7374850.26</v>
      </c>
      <c r="M14" s="25">
        <f>(+K14-L14)/L14</f>
        <v>-0.05536918250595094</v>
      </c>
      <c r="N14" s="10"/>
      <c r="R14" s="2"/>
    </row>
    <row r="15" spans="1:18" ht="15.75">
      <c r="A15" s="19"/>
      <c r="B15" s="20">
        <f>DATE(2019,8,1)</f>
        <v>43678</v>
      </c>
      <c r="C15" s="21">
        <v>130133</v>
      </c>
      <c r="D15" s="21">
        <v>137794</v>
      </c>
      <c r="E15" s="23">
        <f>(+C15-D15)/D15</f>
        <v>-0.05559748610244278</v>
      </c>
      <c r="F15" s="21">
        <f>+C15-62200</f>
        <v>67933</v>
      </c>
      <c r="G15" s="21">
        <f>+D15-65911</f>
        <v>71883</v>
      </c>
      <c r="H15" s="23">
        <f>(+F15-G15)/G15</f>
        <v>-0.05495040552008124</v>
      </c>
      <c r="I15" s="24">
        <f>K15/C15</f>
        <v>53.532999700306604</v>
      </c>
      <c r="J15" s="24">
        <f>K15/F15</f>
        <v>102.54824385791882</v>
      </c>
      <c r="K15" s="21">
        <v>6966409.85</v>
      </c>
      <c r="L15" s="21">
        <v>7098601.26</v>
      </c>
      <c r="M15" s="25">
        <f>(+K15-L15)/L15</f>
        <v>-0.01862217712451145</v>
      </c>
      <c r="N15" s="10"/>
      <c r="R15" s="2"/>
    </row>
    <row r="16" spans="1:18" ht="15.75" customHeight="1" thickBot="1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customHeight="1" thickBot="1" thickTop="1">
      <c r="A17" s="26" t="s">
        <v>14</v>
      </c>
      <c r="B17" s="27"/>
      <c r="C17" s="28">
        <f>SUM(C14:C16)</f>
        <v>259010</v>
      </c>
      <c r="D17" s="28">
        <f>SUM(D14:D16)</f>
        <v>280272</v>
      </c>
      <c r="E17" s="279">
        <f>(+C17-D17)/D17</f>
        <v>-0.07586201975224068</v>
      </c>
      <c r="F17" s="28">
        <f>SUM(F14:F16)</f>
        <v>134822</v>
      </c>
      <c r="G17" s="28">
        <f>SUM(G14:G16)</f>
        <v>146917</v>
      </c>
      <c r="H17" s="30">
        <f>(+F17-G17)/G17</f>
        <v>-0.08232539461056243</v>
      </c>
      <c r="I17" s="31">
        <f>K17/C17</f>
        <v>53.792983591367125</v>
      </c>
      <c r="J17" s="31">
        <f>K17/F17</f>
        <v>103.3430796160864</v>
      </c>
      <c r="K17" s="28">
        <f>SUM(K14:K16)</f>
        <v>13932920.68</v>
      </c>
      <c r="L17" s="28">
        <f>SUM(L14:L16)</f>
        <v>14473451.52</v>
      </c>
      <c r="M17" s="32">
        <f>(+K17-L17)/L17</f>
        <v>-0.03734636753735434</v>
      </c>
      <c r="N17" s="10"/>
      <c r="R17" s="2"/>
    </row>
    <row r="18" spans="1:18" ht="15.75" customHeight="1" thickTop="1">
      <c r="A18" s="33"/>
      <c r="B18" s="34"/>
      <c r="C18" s="35"/>
      <c r="D18" s="35"/>
      <c r="E18" s="29"/>
      <c r="F18" s="35"/>
      <c r="G18" s="35"/>
      <c r="H18" s="29"/>
      <c r="I18" s="36"/>
      <c r="J18" s="36"/>
      <c r="K18" s="35"/>
      <c r="L18" s="35"/>
      <c r="M18" s="37"/>
      <c r="N18" s="10"/>
      <c r="R18" s="2"/>
    </row>
    <row r="19" spans="1:18" ht="15.75" customHeight="1">
      <c r="A19" s="19" t="s">
        <v>56</v>
      </c>
      <c r="B19" s="20">
        <f>DATE(2019,7,1)</f>
        <v>43647</v>
      </c>
      <c r="C19" s="21">
        <v>66863</v>
      </c>
      <c r="D19" s="21">
        <v>72910</v>
      </c>
      <c r="E19" s="23">
        <f>(+C19-D19)/D19</f>
        <v>-0.08293786860512961</v>
      </c>
      <c r="F19" s="21">
        <f>+C19-35722</f>
        <v>31141</v>
      </c>
      <c r="G19" s="21">
        <f>+D19-39365</f>
        <v>33545</v>
      </c>
      <c r="H19" s="23">
        <f>(+F19-G19)/G19</f>
        <v>-0.07166492770904755</v>
      </c>
      <c r="I19" s="24">
        <f>K19/C19</f>
        <v>48.76318397319893</v>
      </c>
      <c r="J19" s="24">
        <f>K19/F19</f>
        <v>104.69968112777367</v>
      </c>
      <c r="K19" s="21">
        <v>3260452.77</v>
      </c>
      <c r="L19" s="21">
        <v>3264963.85</v>
      </c>
      <c r="M19" s="25">
        <f>(+K19-L19)/L19</f>
        <v>-0.001381663077219086</v>
      </c>
      <c r="N19" s="10"/>
      <c r="R19" s="2"/>
    </row>
    <row r="20" spans="1:18" ht="15.75" customHeight="1">
      <c r="A20" s="19"/>
      <c r="B20" s="20">
        <f>DATE(2019,8,1)</f>
        <v>43678</v>
      </c>
      <c r="C20" s="21">
        <v>69025</v>
      </c>
      <c r="D20" s="21">
        <v>70574</v>
      </c>
      <c r="E20" s="23">
        <f>(+C20-D20)/D20</f>
        <v>-0.021948592966248192</v>
      </c>
      <c r="F20" s="21">
        <f>+C20-37871</f>
        <v>31154</v>
      </c>
      <c r="G20" s="21">
        <f>+D20-38367</f>
        <v>32207</v>
      </c>
      <c r="H20" s="23">
        <f>(+F20-G20)/G20</f>
        <v>-0.03269475579842891</v>
      </c>
      <c r="I20" s="24">
        <f>K20/C20</f>
        <v>46.687241434262944</v>
      </c>
      <c r="J20" s="24">
        <f>K20/F20</f>
        <v>103.4405482442062</v>
      </c>
      <c r="K20" s="21">
        <v>3222586.84</v>
      </c>
      <c r="L20" s="21">
        <v>3124652.26</v>
      </c>
      <c r="M20" s="25">
        <f>(+K20-L20)/L20</f>
        <v>0.03134255329903497</v>
      </c>
      <c r="N20" s="10"/>
      <c r="R20" s="2"/>
    </row>
    <row r="21" spans="1:18" ht="15.75" customHeight="1" thickBot="1">
      <c r="A21" s="38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7.25" customHeight="1" thickBot="1" thickTop="1">
      <c r="A22" s="39" t="s">
        <v>14</v>
      </c>
      <c r="B22" s="40"/>
      <c r="C22" s="41">
        <f>SUM(C19:C21)</f>
        <v>135888</v>
      </c>
      <c r="D22" s="41">
        <f>SUM(D19:D21)</f>
        <v>143484</v>
      </c>
      <c r="E22" s="280">
        <f>(+C22-D22)/D22</f>
        <v>-0.05293970059379443</v>
      </c>
      <c r="F22" s="41">
        <f>SUM(F19:F21)</f>
        <v>62295</v>
      </c>
      <c r="G22" s="41">
        <f>SUM(G19:G21)</f>
        <v>65752</v>
      </c>
      <c r="H22" s="42">
        <f>(+F22-G22)/G22</f>
        <v>-0.052576347487528895</v>
      </c>
      <c r="I22" s="43">
        <f>K22/C22</f>
        <v>47.70869841339927</v>
      </c>
      <c r="J22" s="43">
        <f>K22/F22</f>
        <v>104.06998330524118</v>
      </c>
      <c r="K22" s="41">
        <f>SUM(K19:K21)</f>
        <v>6483039.609999999</v>
      </c>
      <c r="L22" s="41">
        <f>SUM(L19:L21)</f>
        <v>6389616.109999999</v>
      </c>
      <c r="M22" s="44">
        <f>(+K22-L22)/L22</f>
        <v>0.014621144430537629</v>
      </c>
      <c r="N22" s="10"/>
      <c r="R22" s="2"/>
    </row>
    <row r="23" spans="1:18" ht="15.75" customHeight="1" thickTop="1">
      <c r="A23" s="38"/>
      <c r="B23" s="45"/>
      <c r="C23" s="21"/>
      <c r="D23" s="21"/>
      <c r="E23" s="23"/>
      <c r="F23" s="21"/>
      <c r="G23" s="21"/>
      <c r="H23" s="23"/>
      <c r="I23" s="24"/>
      <c r="J23" s="24"/>
      <c r="K23" s="21"/>
      <c r="L23" s="21"/>
      <c r="M23" s="25"/>
      <c r="N23" s="10"/>
      <c r="R23" s="2"/>
    </row>
    <row r="24" spans="1:18" ht="15.75" customHeight="1">
      <c r="A24" s="177" t="s">
        <v>65</v>
      </c>
      <c r="B24" s="20">
        <f>DATE(2019,7,1)</f>
        <v>43647</v>
      </c>
      <c r="C24" s="21">
        <v>438217</v>
      </c>
      <c r="D24" s="21">
        <v>465892</v>
      </c>
      <c r="E24" s="23">
        <f>(+C24-D24)/D24</f>
        <v>-0.059402179045787436</v>
      </c>
      <c r="F24" s="21">
        <f>+C24-221917</f>
        <v>216300</v>
      </c>
      <c r="G24" s="21">
        <f>+D24-233751</f>
        <v>232141</v>
      </c>
      <c r="H24" s="23">
        <f>(+F24-G24)/G24</f>
        <v>-0.06823869975575189</v>
      </c>
      <c r="I24" s="24">
        <f>K24/C24</f>
        <v>46.65962582464852</v>
      </c>
      <c r="J24" s="24">
        <f>K24/F24</f>
        <v>94.53093504392048</v>
      </c>
      <c r="K24" s="21">
        <v>20447041.25</v>
      </c>
      <c r="L24" s="21">
        <v>20180093.42</v>
      </c>
      <c r="M24" s="25">
        <f>(+K24-L24)/L24</f>
        <v>0.01322827523362368</v>
      </c>
      <c r="N24" s="10"/>
      <c r="R24" s="2"/>
    </row>
    <row r="25" spans="1:18" ht="15.75" customHeight="1">
      <c r="A25" s="177"/>
      <c r="B25" s="20">
        <f>DATE(2019,8,1)</f>
        <v>43678</v>
      </c>
      <c r="C25" s="21">
        <v>437029</v>
      </c>
      <c r="D25" s="21">
        <v>454572</v>
      </c>
      <c r="E25" s="23">
        <f>(+C25-D25)/D25</f>
        <v>-0.038592346206981515</v>
      </c>
      <c r="F25" s="21">
        <f>+C25-215022</f>
        <v>222007</v>
      </c>
      <c r="G25" s="21">
        <f>+D25-227733</f>
        <v>226839</v>
      </c>
      <c r="H25" s="23">
        <f>(+F25-G25)/G25</f>
        <v>-0.02130145169040597</v>
      </c>
      <c r="I25" s="24">
        <f>K25/C25</f>
        <v>48.82709746950431</v>
      </c>
      <c r="J25" s="24">
        <f>K25/F25</f>
        <v>96.1179493439396</v>
      </c>
      <c r="K25" s="21">
        <v>21338857.58</v>
      </c>
      <c r="L25" s="21">
        <v>20410400.74</v>
      </c>
      <c r="M25" s="25">
        <f>(+K25-L25)/L25</f>
        <v>0.0454893978725476</v>
      </c>
      <c r="N25" s="10"/>
      <c r="R25" s="2"/>
    </row>
    <row r="26" spans="1:18" ht="15.75" thickBot="1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thickBot="1" thickTop="1">
      <c r="A27" s="39" t="s">
        <v>14</v>
      </c>
      <c r="B27" s="40"/>
      <c r="C27" s="41">
        <f>SUM(C24:C26)</f>
        <v>875246</v>
      </c>
      <c r="D27" s="41">
        <f>SUM(D24:D26)</f>
        <v>920464</v>
      </c>
      <c r="E27" s="280">
        <f>(+C27-D27)/D27</f>
        <v>-0.04912522380017035</v>
      </c>
      <c r="F27" s="41">
        <f>SUM(F24:F26)</f>
        <v>438307</v>
      </c>
      <c r="G27" s="41">
        <f>SUM(G24:G26)</f>
        <v>458980</v>
      </c>
      <c r="H27" s="42">
        <f>(+F27-G27)/G27</f>
        <v>-0.045041178264848145</v>
      </c>
      <c r="I27" s="43">
        <f>K27/C27</f>
        <v>47.74189065702671</v>
      </c>
      <c r="J27" s="43">
        <f>K27/F27</f>
        <v>95.33477409669477</v>
      </c>
      <c r="K27" s="41">
        <f>SUM(K24:K26)</f>
        <v>41785898.83</v>
      </c>
      <c r="L27" s="41">
        <f>SUM(L24:L26)</f>
        <v>40590494.16</v>
      </c>
      <c r="M27" s="44">
        <f>(+K27-L27)/L27</f>
        <v>0.029450360108648696</v>
      </c>
      <c r="N27" s="10"/>
      <c r="R27" s="2"/>
    </row>
    <row r="28" spans="1:18" ht="15.75" thickTop="1">
      <c r="A28" s="38"/>
      <c r="B28" s="45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5.75">
      <c r="A29" s="19" t="s">
        <v>16</v>
      </c>
      <c r="B29" s="20">
        <f>DATE(2019,7,1)</f>
        <v>43647</v>
      </c>
      <c r="C29" s="21">
        <v>288759</v>
      </c>
      <c r="D29" s="21">
        <v>289167</v>
      </c>
      <c r="E29" s="23">
        <f>(+C29-D29)/D29</f>
        <v>-0.001410949382190914</v>
      </c>
      <c r="F29" s="21">
        <f>+C29-131177</f>
        <v>157582</v>
      </c>
      <c r="G29" s="21">
        <f>+D29-134357</f>
        <v>154810</v>
      </c>
      <c r="H29" s="23">
        <f>(+F29-G29)/G29</f>
        <v>0.01790582003746528</v>
      </c>
      <c r="I29" s="24">
        <f>K29/C29</f>
        <v>48.75163974109898</v>
      </c>
      <c r="J29" s="24">
        <f>K29/F29</f>
        <v>89.3342814534655</v>
      </c>
      <c r="K29" s="21">
        <v>14077474.74</v>
      </c>
      <c r="L29" s="21">
        <v>14895059.23</v>
      </c>
      <c r="M29" s="25">
        <f>(+K29-L29)/L29</f>
        <v>-0.054889643429769715</v>
      </c>
      <c r="N29" s="10"/>
      <c r="R29" s="2"/>
    </row>
    <row r="30" spans="1:18" ht="15.75">
      <c r="A30" s="19"/>
      <c r="B30" s="20">
        <f>DATE(2019,8,1)</f>
        <v>43678</v>
      </c>
      <c r="C30" s="21">
        <v>292957</v>
      </c>
      <c r="D30" s="21">
        <v>292132</v>
      </c>
      <c r="E30" s="23">
        <f>(+C30-D30)/D30</f>
        <v>0.0028240658332534608</v>
      </c>
      <c r="F30" s="21">
        <f>+C30-131852</f>
        <v>161105</v>
      </c>
      <c r="G30" s="21">
        <f>+D30-136807</f>
        <v>155325</v>
      </c>
      <c r="H30" s="23">
        <f>(+F30-G30)/G30</f>
        <v>0.03721229679703847</v>
      </c>
      <c r="I30" s="24">
        <f>K30/C30</f>
        <v>53.18311991179593</v>
      </c>
      <c r="J30" s="24">
        <f>K30/F30</f>
        <v>96.70939610812823</v>
      </c>
      <c r="K30" s="21">
        <v>15580367.26</v>
      </c>
      <c r="L30" s="21">
        <v>14589427.75</v>
      </c>
      <c r="M30" s="25">
        <f>(+K30-L30)/L30</f>
        <v>0.06792175313387462</v>
      </c>
      <c r="N30" s="10"/>
      <c r="R30" s="2"/>
    </row>
    <row r="31" spans="1:18" ht="15.75" thickBot="1">
      <c r="A31" s="38"/>
      <c r="B31" s="20"/>
      <c r="C31" s="21"/>
      <c r="D31" s="21"/>
      <c r="E31" s="23"/>
      <c r="F31" s="21"/>
      <c r="G31" s="21"/>
      <c r="H31" s="23"/>
      <c r="I31" s="24"/>
      <c r="J31" s="24"/>
      <c r="K31" s="21"/>
      <c r="L31" s="21"/>
      <c r="M31" s="25"/>
      <c r="N31" s="10"/>
      <c r="R31" s="2"/>
    </row>
    <row r="32" spans="1:18" ht="17.25" thickBot="1" thickTop="1">
      <c r="A32" s="39" t="s">
        <v>14</v>
      </c>
      <c r="B32" s="40"/>
      <c r="C32" s="41">
        <f>SUM(C29:C31)</f>
        <v>581716</v>
      </c>
      <c r="D32" s="41">
        <f>SUM(D29:D31)</f>
        <v>581299</v>
      </c>
      <c r="E32" s="281">
        <f>(+C32-D32)/D32</f>
        <v>0.0007173588807137119</v>
      </c>
      <c r="F32" s="47">
        <f>SUM(F29:F31)</f>
        <v>318687</v>
      </c>
      <c r="G32" s="48">
        <f>SUM(G29:G31)</f>
        <v>310135</v>
      </c>
      <c r="H32" s="49">
        <f>(+F32-G32)/G32</f>
        <v>0.02757508826801232</v>
      </c>
      <c r="I32" s="50">
        <f>K32/C32</f>
        <v>50.983369891837256</v>
      </c>
      <c r="J32" s="51">
        <f>K32/F32</f>
        <v>93.06260374599529</v>
      </c>
      <c r="K32" s="48">
        <f>SUM(K29:K31)</f>
        <v>29657842</v>
      </c>
      <c r="L32" s="47">
        <f>SUM(L29:L31)</f>
        <v>29484486.98</v>
      </c>
      <c r="M32" s="44">
        <f>(+K32-L32)/L32</f>
        <v>0.005879533197155176</v>
      </c>
      <c r="N32" s="10"/>
      <c r="R32" s="2"/>
    </row>
    <row r="33" spans="1:18" ht="15.75" customHeight="1" thickTop="1">
      <c r="A33" s="273"/>
      <c r="B33" s="45"/>
      <c r="C33" s="21"/>
      <c r="D33" s="21"/>
      <c r="E33" s="23"/>
      <c r="F33" s="21"/>
      <c r="G33" s="21"/>
      <c r="H33" s="23"/>
      <c r="I33" s="24"/>
      <c r="J33" s="24"/>
      <c r="K33" s="21"/>
      <c r="L33" s="21"/>
      <c r="M33" s="25"/>
      <c r="N33" s="10"/>
      <c r="R33" s="2"/>
    </row>
    <row r="34" spans="1:18" ht="15.75">
      <c r="A34" s="274" t="s">
        <v>66</v>
      </c>
      <c r="B34" s="20">
        <f>DATE(2019,7,1)</f>
        <v>43647</v>
      </c>
      <c r="C34" s="21">
        <v>110932</v>
      </c>
      <c r="D34" s="21">
        <v>129160</v>
      </c>
      <c r="E34" s="23">
        <f>(+C34-D34)/D34</f>
        <v>-0.14112728398885105</v>
      </c>
      <c r="F34" s="21">
        <f>+C34-54914</f>
        <v>56018</v>
      </c>
      <c r="G34" s="21">
        <f>+D34-62596</f>
        <v>66564</v>
      </c>
      <c r="H34" s="23">
        <f>(+F34-G34)/G34</f>
        <v>-0.15843398834204675</v>
      </c>
      <c r="I34" s="24">
        <f>K34/C34</f>
        <v>40.17739867666679</v>
      </c>
      <c r="J34" s="24">
        <f>K34/F34</f>
        <v>79.56298314827377</v>
      </c>
      <c r="K34" s="21">
        <v>4456959.19</v>
      </c>
      <c r="L34" s="21">
        <v>5218892.55</v>
      </c>
      <c r="M34" s="25">
        <f>(+K34-L34)/L34</f>
        <v>-0.1459952188515549</v>
      </c>
      <c r="N34" s="10"/>
      <c r="R34" s="2"/>
    </row>
    <row r="35" spans="1:18" ht="15.75">
      <c r="A35" s="274"/>
      <c r="B35" s="20">
        <f>DATE(2019,8,1)</f>
        <v>43678</v>
      </c>
      <c r="C35" s="21">
        <v>113719</v>
      </c>
      <c r="D35" s="21">
        <v>120860</v>
      </c>
      <c r="E35" s="23">
        <f>(+C35-D35)/D35</f>
        <v>-0.05908489161012742</v>
      </c>
      <c r="F35" s="21">
        <f>+C35-53645</f>
        <v>60074</v>
      </c>
      <c r="G35" s="21">
        <f>+D35-58336</f>
        <v>62524</v>
      </c>
      <c r="H35" s="23">
        <f>(+F35-G35)/G35</f>
        <v>-0.03918495297805643</v>
      </c>
      <c r="I35" s="24">
        <f>K35/C35</f>
        <v>45.86001020058214</v>
      </c>
      <c r="J35" s="24">
        <f>K35/F35</f>
        <v>86.81217331957252</v>
      </c>
      <c r="K35" s="21">
        <v>5215154.5</v>
      </c>
      <c r="L35" s="21">
        <v>5263252.67</v>
      </c>
      <c r="M35" s="25">
        <f>(+K35-L35)/L35</f>
        <v>-0.009138487740509696</v>
      </c>
      <c r="N35" s="10"/>
      <c r="R35" s="2"/>
    </row>
    <row r="36" spans="1:18" ht="15.75" customHeight="1" thickBot="1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39" t="s">
        <v>14</v>
      </c>
      <c r="B37" s="52"/>
      <c r="C37" s="47">
        <f>SUM(C34:C36)</f>
        <v>224651</v>
      </c>
      <c r="D37" s="48">
        <f>SUM(D34:D36)</f>
        <v>250020</v>
      </c>
      <c r="E37" s="281">
        <f>(+C37-D37)/D37</f>
        <v>-0.10146788256939444</v>
      </c>
      <c r="F37" s="48">
        <f>SUM(F34:F36)</f>
        <v>116092</v>
      </c>
      <c r="G37" s="47">
        <f>SUM(G34:G36)</f>
        <v>129088</v>
      </c>
      <c r="H37" s="46">
        <f>(+F37-G37)/G37</f>
        <v>-0.10067550818046604</v>
      </c>
      <c r="I37" s="51">
        <f>K37/C37</f>
        <v>43.053953421084266</v>
      </c>
      <c r="J37" s="50">
        <f>K37/F37</f>
        <v>83.3142136409055</v>
      </c>
      <c r="K37" s="47">
        <f>SUM(K34:K36)</f>
        <v>9672113.690000001</v>
      </c>
      <c r="L37" s="48">
        <f>SUM(L34:L36)</f>
        <v>10482145.219999999</v>
      </c>
      <c r="M37" s="44">
        <f>(+K37-L37)/L37</f>
        <v>-0.07727726653266091</v>
      </c>
      <c r="N37" s="10"/>
      <c r="R37" s="2"/>
    </row>
    <row r="38" spans="1:18" ht="15.75" customHeight="1" thickTop="1">
      <c r="A38" s="19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>
      <c r="A39" s="19" t="s">
        <v>17</v>
      </c>
      <c r="B39" s="20">
        <f>DATE(2019,7,1)</f>
        <v>43647</v>
      </c>
      <c r="C39" s="21">
        <v>151411</v>
      </c>
      <c r="D39" s="21">
        <v>164240</v>
      </c>
      <c r="E39" s="23">
        <f>(+C39-D39)/D39</f>
        <v>-0.07811130053580127</v>
      </c>
      <c r="F39" s="21">
        <f>+C39-71749</f>
        <v>79662</v>
      </c>
      <c r="G39" s="21">
        <f>+D39-78084</f>
        <v>86156</v>
      </c>
      <c r="H39" s="23">
        <f>(+F39-G39)/G39</f>
        <v>-0.07537490134175218</v>
      </c>
      <c r="I39" s="24">
        <f>K39/C39</f>
        <v>34.63009424678524</v>
      </c>
      <c r="J39" s="24">
        <f>K39/F39</f>
        <v>65.82030579197108</v>
      </c>
      <c r="K39" s="21">
        <v>5243377.2</v>
      </c>
      <c r="L39" s="21">
        <v>5776329.81</v>
      </c>
      <c r="M39" s="25">
        <f>(+K39-L39)/L39</f>
        <v>-0.09226492037856811</v>
      </c>
      <c r="N39" s="10"/>
      <c r="R39" s="2"/>
    </row>
    <row r="40" spans="1:18" ht="15.75">
      <c r="A40" s="19"/>
      <c r="B40" s="20">
        <f>DATE(2019,8,1)</f>
        <v>43678</v>
      </c>
      <c r="C40" s="21">
        <v>153444</v>
      </c>
      <c r="D40" s="21">
        <v>161125</v>
      </c>
      <c r="E40" s="23">
        <f>(+C40-D40)/D40</f>
        <v>-0.047671062839410396</v>
      </c>
      <c r="F40" s="21">
        <f>+C40-72860</f>
        <v>80584</v>
      </c>
      <c r="G40" s="21">
        <f>+D40-76425</f>
        <v>84700</v>
      </c>
      <c r="H40" s="23">
        <f>(+F40-G40)/G40</f>
        <v>-0.04859504132231405</v>
      </c>
      <c r="I40" s="24">
        <f>K40/C40</f>
        <v>36.91110437684106</v>
      </c>
      <c r="J40" s="24">
        <f>K40/F40</f>
        <v>70.28426858929812</v>
      </c>
      <c r="K40" s="21">
        <v>5663787.5</v>
      </c>
      <c r="L40" s="21">
        <v>5562742.82</v>
      </c>
      <c r="M40" s="25">
        <f>(+K40-L40)/L40</f>
        <v>0.018164542792938197</v>
      </c>
      <c r="N40" s="10"/>
      <c r="R40" s="2"/>
    </row>
    <row r="41" spans="1:18" ht="15.75" customHeight="1" thickBot="1">
      <c r="A41" s="19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25" customHeight="1" thickBot="1" thickTop="1">
      <c r="A42" s="39" t="s">
        <v>14</v>
      </c>
      <c r="B42" s="52"/>
      <c r="C42" s="47">
        <f>SUM(C39:C41)</f>
        <v>304855</v>
      </c>
      <c r="D42" s="48">
        <f>SUM(D39:D41)</f>
        <v>325365</v>
      </c>
      <c r="E42" s="281">
        <f>(+C42-D42)/D42</f>
        <v>-0.06303689702334302</v>
      </c>
      <c r="F42" s="48">
        <f>SUM(F39:F41)</f>
        <v>160246</v>
      </c>
      <c r="G42" s="47">
        <f>SUM(G39:G41)</f>
        <v>170856</v>
      </c>
      <c r="H42" s="53">
        <f>(+F42-G42)/G42</f>
        <v>-0.06209907758580325</v>
      </c>
      <c r="I42" s="51">
        <f>K42/C42</f>
        <v>35.77820504830165</v>
      </c>
      <c r="J42" s="50">
        <f>K42/F42</f>
        <v>68.06512923879535</v>
      </c>
      <c r="K42" s="47">
        <f>SUM(K39:K41)</f>
        <v>10907164.7</v>
      </c>
      <c r="L42" s="48">
        <f>SUM(L39:L41)</f>
        <v>11339072.629999999</v>
      </c>
      <c r="M42" s="44">
        <f>(+K42-L42)/L42</f>
        <v>-0.03809023401590115</v>
      </c>
      <c r="N42" s="10"/>
      <c r="R42" s="2"/>
    </row>
    <row r="43" spans="1:18" ht="15.75" customHeight="1" thickTop="1">
      <c r="A43" s="19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 customHeight="1">
      <c r="A44" s="19" t="s">
        <v>67</v>
      </c>
      <c r="B44" s="20">
        <f>DATE(2019,7,1)</f>
        <v>43647</v>
      </c>
      <c r="C44" s="21">
        <v>323731</v>
      </c>
      <c r="D44" s="21">
        <v>388346</v>
      </c>
      <c r="E44" s="23">
        <f>(+C44-D44)/D44</f>
        <v>-0.1663851307854336</v>
      </c>
      <c r="F44" s="21">
        <f>+C44-139062</f>
        <v>184669</v>
      </c>
      <c r="G44" s="21">
        <f>+D44-165497</f>
        <v>222849</v>
      </c>
      <c r="H44" s="23">
        <f>(+F44-G44)/G44</f>
        <v>-0.17132677283721265</v>
      </c>
      <c r="I44" s="24">
        <f>K44/C44</f>
        <v>38.80567434073351</v>
      </c>
      <c r="J44" s="24">
        <f>K44/F44</f>
        <v>68.02765900069855</v>
      </c>
      <c r="K44" s="21">
        <v>12562599.76</v>
      </c>
      <c r="L44" s="21">
        <v>13426296.74</v>
      </c>
      <c r="M44" s="25">
        <f>(+K44-L44)/L44</f>
        <v>-0.06432875697040497</v>
      </c>
      <c r="N44" s="10"/>
      <c r="R44" s="2"/>
    </row>
    <row r="45" spans="1:18" ht="15.75" customHeight="1">
      <c r="A45" s="19"/>
      <c r="B45" s="20">
        <f>DATE(2019,8,1)</f>
        <v>43678</v>
      </c>
      <c r="C45" s="21">
        <v>324860</v>
      </c>
      <c r="D45" s="21">
        <v>374981</v>
      </c>
      <c r="E45" s="23">
        <f>(+C45-D45)/D45</f>
        <v>-0.1336627722471272</v>
      </c>
      <c r="F45" s="21">
        <f>+C45-140622</f>
        <v>184238</v>
      </c>
      <c r="G45" s="21">
        <f>+D45-161656</f>
        <v>213325</v>
      </c>
      <c r="H45" s="23">
        <f>(+F45-G45)/G45</f>
        <v>-0.1363506386968241</v>
      </c>
      <c r="I45" s="24">
        <f>K45/C45</f>
        <v>39.75417598350058</v>
      </c>
      <c r="J45" s="24">
        <f>K45/F45</f>
        <v>70.09705712176641</v>
      </c>
      <c r="K45" s="21">
        <v>12914541.61</v>
      </c>
      <c r="L45" s="21">
        <v>14006614.06</v>
      </c>
      <c r="M45" s="25">
        <f>(+K45-L45)/L45</f>
        <v>-0.07796834019427541</v>
      </c>
      <c r="N45" s="10"/>
      <c r="R45" s="2"/>
    </row>
    <row r="46" spans="1:18" ht="15.75" customHeight="1" thickBot="1">
      <c r="A46" s="19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Bot="1" thickTop="1">
      <c r="A47" s="39" t="s">
        <v>14</v>
      </c>
      <c r="B47" s="40"/>
      <c r="C47" s="41">
        <f>SUM(C44:C46)</f>
        <v>648591</v>
      </c>
      <c r="D47" s="41">
        <f>SUM(D44:D46)</f>
        <v>763327</v>
      </c>
      <c r="E47" s="280">
        <f>(+C47-D47)/D47</f>
        <v>-0.1503104174226773</v>
      </c>
      <c r="F47" s="41">
        <f>SUM(F44:F46)</f>
        <v>368907</v>
      </c>
      <c r="G47" s="41">
        <f>SUM(G44:G46)</f>
        <v>436174</v>
      </c>
      <c r="H47" s="42">
        <f>(+F47-G47)/G47</f>
        <v>-0.15422056335315723</v>
      </c>
      <c r="I47" s="43">
        <f>K47/C47</f>
        <v>39.280750688800794</v>
      </c>
      <c r="J47" s="43">
        <f>K47/F47</f>
        <v>69.06114920562635</v>
      </c>
      <c r="K47" s="41">
        <f>SUM(K44:K46)</f>
        <v>25477141.369999997</v>
      </c>
      <c r="L47" s="41">
        <f>SUM(L44:L46)</f>
        <v>27432910.8</v>
      </c>
      <c r="M47" s="44">
        <f>(+K47-L47)/L47</f>
        <v>-0.07129281483319676</v>
      </c>
      <c r="N47" s="10"/>
      <c r="R47" s="2"/>
    </row>
    <row r="48" spans="1:18" ht="15.75" customHeight="1" thickTop="1">
      <c r="A48" s="54"/>
      <c r="B48" s="55"/>
      <c r="C48" s="55"/>
      <c r="D48" s="55"/>
      <c r="E48" s="56"/>
      <c r="F48" s="55"/>
      <c r="G48" s="55"/>
      <c r="H48" s="56"/>
      <c r="I48" s="55"/>
      <c r="J48" s="55"/>
      <c r="K48" s="196"/>
      <c r="L48" s="196"/>
      <c r="M48" s="57"/>
      <c r="N48" s="10"/>
      <c r="R48" s="2"/>
    </row>
    <row r="49" spans="1:18" ht="15.75" customHeight="1">
      <c r="A49" s="19" t="s">
        <v>18</v>
      </c>
      <c r="B49" s="20">
        <f>DATE(2019,7,1)</f>
        <v>43647</v>
      </c>
      <c r="C49" s="21">
        <v>366609</v>
      </c>
      <c r="D49" s="21">
        <v>413730</v>
      </c>
      <c r="E49" s="23">
        <f>(+C49-D49)/D49</f>
        <v>-0.11389311870060184</v>
      </c>
      <c r="F49" s="21">
        <f>+C49-178251</f>
        <v>188358</v>
      </c>
      <c r="G49" s="21">
        <f>+D49-202461</f>
        <v>211269</v>
      </c>
      <c r="H49" s="23">
        <f>(+F49-G49)/G49</f>
        <v>-0.10844468426508386</v>
      </c>
      <c r="I49" s="24">
        <f>K49/C49</f>
        <v>42.79596253774457</v>
      </c>
      <c r="J49" s="24">
        <f>K49/F49</f>
        <v>83.29555967890931</v>
      </c>
      <c r="K49" s="21">
        <v>15689385.03</v>
      </c>
      <c r="L49" s="21">
        <v>17628524.71</v>
      </c>
      <c r="M49" s="25">
        <f>(+K49-L49)/L49</f>
        <v>-0.11000011129121885</v>
      </c>
      <c r="N49" s="10"/>
      <c r="R49" s="2"/>
    </row>
    <row r="50" spans="1:18" ht="15.75" customHeight="1">
      <c r="A50" s="19"/>
      <c r="B50" s="20">
        <f>DATE(2019,8,1)</f>
        <v>43678</v>
      </c>
      <c r="C50" s="21">
        <v>384946</v>
      </c>
      <c r="D50" s="21">
        <v>405657</v>
      </c>
      <c r="E50" s="23">
        <f>(+C50-D50)/D50</f>
        <v>-0.05105544832210464</v>
      </c>
      <c r="F50" s="21">
        <f>+C50-186236</f>
        <v>198710</v>
      </c>
      <c r="G50" s="21">
        <f>+D50-195459</f>
        <v>210198</v>
      </c>
      <c r="H50" s="23">
        <f>(+F50-G50)/G50</f>
        <v>-0.05465323171485932</v>
      </c>
      <c r="I50" s="24">
        <f>K50/C50</f>
        <v>43.11652096657713</v>
      </c>
      <c r="J50" s="24">
        <f>K50/F50</f>
        <v>83.52640672336571</v>
      </c>
      <c r="K50" s="21">
        <v>16597532.28</v>
      </c>
      <c r="L50" s="21">
        <v>17799458.53</v>
      </c>
      <c r="M50" s="25">
        <f>(+K50-L50)/L50</f>
        <v>-0.06752600074739475</v>
      </c>
      <c r="N50" s="10"/>
      <c r="R50" s="2"/>
    </row>
    <row r="51" spans="1:18" ht="15.75" customHeight="1" thickBot="1">
      <c r="A51" s="19"/>
      <c r="B51" s="45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thickBot="1" thickTop="1">
      <c r="A52" s="39" t="s">
        <v>14</v>
      </c>
      <c r="B52" s="40"/>
      <c r="C52" s="41">
        <f>SUM(C49:C51)</f>
        <v>751555</v>
      </c>
      <c r="D52" s="41">
        <f>SUM(D49:D51)</f>
        <v>819387</v>
      </c>
      <c r="E52" s="280">
        <f>(+C52-D52)/D52</f>
        <v>-0.08278383718560338</v>
      </c>
      <c r="F52" s="41">
        <f>SUM(F49:F51)</f>
        <v>387068</v>
      </c>
      <c r="G52" s="41">
        <f>SUM(G49:G51)</f>
        <v>421467</v>
      </c>
      <c r="H52" s="42">
        <f>(+F52-G52)/G52</f>
        <v>-0.0816173033713197</v>
      </c>
      <c r="I52" s="43">
        <f>K52/C52</f>
        <v>42.960152364098434</v>
      </c>
      <c r="J52" s="43">
        <f>K52/F52</f>
        <v>83.41407016338214</v>
      </c>
      <c r="K52" s="41">
        <f>SUM(K49:K51)</f>
        <v>32286917.31</v>
      </c>
      <c r="L52" s="41">
        <f>SUM(L49:L51)</f>
        <v>35427983.24</v>
      </c>
      <c r="M52" s="44">
        <f>(+K52-L52)/L52</f>
        <v>-0.08866059094364648</v>
      </c>
      <c r="N52" s="10"/>
      <c r="R52" s="2"/>
    </row>
    <row r="53" spans="1:18" ht="15.75" customHeight="1" thickTop="1">
      <c r="A53" s="54"/>
      <c r="B53" s="55"/>
      <c r="C53" s="55"/>
      <c r="D53" s="55"/>
      <c r="E53" s="56"/>
      <c r="F53" s="55"/>
      <c r="G53" s="55"/>
      <c r="H53" s="56"/>
      <c r="I53" s="55"/>
      <c r="J53" s="55"/>
      <c r="K53" s="196"/>
      <c r="L53" s="196"/>
      <c r="M53" s="57"/>
      <c r="N53" s="10"/>
      <c r="R53" s="2"/>
    </row>
    <row r="54" spans="1:18" ht="15.75" customHeight="1">
      <c r="A54" s="19" t="s">
        <v>58</v>
      </c>
      <c r="B54" s="20">
        <f>DATE(2019,7,1)</f>
        <v>43647</v>
      </c>
      <c r="C54" s="21">
        <v>418597</v>
      </c>
      <c r="D54" s="21">
        <v>437171</v>
      </c>
      <c r="E54" s="23">
        <f>(+C54-D54)/D54</f>
        <v>-0.042486807221888</v>
      </c>
      <c r="F54" s="21">
        <f>+C54-188685</f>
        <v>229912</v>
      </c>
      <c r="G54" s="21">
        <f>+D54-202695</f>
        <v>234476</v>
      </c>
      <c r="H54" s="23">
        <f>(+F54-G54)/G54</f>
        <v>-0.01946467868779747</v>
      </c>
      <c r="I54" s="24">
        <f>K54/C54</f>
        <v>43.54365129229306</v>
      </c>
      <c r="J54" s="24">
        <f>K54/F54</f>
        <v>79.27921030655207</v>
      </c>
      <c r="K54" s="21">
        <v>18227241.8</v>
      </c>
      <c r="L54" s="21">
        <v>19587162.53</v>
      </c>
      <c r="M54" s="25">
        <f>(+K54-L54)/L54</f>
        <v>-0.06942918495300812</v>
      </c>
      <c r="N54" s="10"/>
      <c r="R54" s="2"/>
    </row>
    <row r="55" spans="1:18" ht="15.75" customHeight="1">
      <c r="A55" s="19"/>
      <c r="B55" s="20">
        <f>DATE(2019,8,1)</f>
        <v>43678</v>
      </c>
      <c r="C55" s="21">
        <v>439515</v>
      </c>
      <c r="D55" s="21">
        <v>428435</v>
      </c>
      <c r="E55" s="23">
        <f>(+C55-D55)/D55</f>
        <v>0.02586156593182163</v>
      </c>
      <c r="F55" s="21">
        <f>+C55-198557</f>
        <v>240958</v>
      </c>
      <c r="G55" s="21">
        <f>+D55-198491</f>
        <v>229944</v>
      </c>
      <c r="H55" s="23">
        <f>(+F55-G55)/G55</f>
        <v>0.04789861879414118</v>
      </c>
      <c r="I55" s="24">
        <f>K55/C55</f>
        <v>44.40558410975735</v>
      </c>
      <c r="J55" s="24">
        <f>K55/F55</f>
        <v>80.99718747665568</v>
      </c>
      <c r="K55" s="21">
        <v>19516920.3</v>
      </c>
      <c r="L55" s="21">
        <v>19072987.46</v>
      </c>
      <c r="M55" s="25">
        <f>(+K55-L55)/L55</f>
        <v>0.023275474853167017</v>
      </c>
      <c r="N55" s="10"/>
      <c r="R55" s="2"/>
    </row>
    <row r="56" spans="1:18" ht="15.75" customHeight="1" thickBot="1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7.25" thickBot="1" thickTop="1">
      <c r="A57" s="39" t="s">
        <v>14</v>
      </c>
      <c r="B57" s="40"/>
      <c r="C57" s="41">
        <f>SUM(C54:C56)</f>
        <v>858112</v>
      </c>
      <c r="D57" s="41">
        <f>SUM(D54:D56)</f>
        <v>865606</v>
      </c>
      <c r="E57" s="280">
        <f>(+C57-D57)/D57</f>
        <v>-0.008657518547699531</v>
      </c>
      <c r="F57" s="41">
        <f>SUM(F54:F56)</f>
        <v>470870</v>
      </c>
      <c r="G57" s="41">
        <f>SUM(G54:G56)</f>
        <v>464420</v>
      </c>
      <c r="H57" s="42">
        <f>(+F57-G57)/G57</f>
        <v>0.013888290771284614</v>
      </c>
      <c r="I57" s="43">
        <f>K57/C57</f>
        <v>43.98512327062202</v>
      </c>
      <c r="J57" s="43">
        <f>K57/F57</f>
        <v>80.15834965064668</v>
      </c>
      <c r="K57" s="41">
        <f>SUM(K54:K56)</f>
        <v>37744162.1</v>
      </c>
      <c r="L57" s="41">
        <f>SUM(L54:L56)</f>
        <v>38660149.99</v>
      </c>
      <c r="M57" s="44">
        <f>(+K57-L57)/L57</f>
        <v>-0.023693335132867668</v>
      </c>
      <c r="N57" s="10"/>
      <c r="R57" s="2"/>
    </row>
    <row r="58" spans="1:18" ht="15.75" customHeight="1" thickTop="1">
      <c r="A58" s="58"/>
      <c r="B58" s="59"/>
      <c r="C58" s="59"/>
      <c r="D58" s="59"/>
      <c r="E58" s="60"/>
      <c r="F58" s="59"/>
      <c r="G58" s="59"/>
      <c r="H58" s="60"/>
      <c r="I58" s="59"/>
      <c r="J58" s="59"/>
      <c r="K58" s="197"/>
      <c r="L58" s="197"/>
      <c r="M58" s="61"/>
      <c r="N58" s="10"/>
      <c r="R58" s="2"/>
    </row>
    <row r="59" spans="1:18" ht="15" customHeight="1">
      <c r="A59" s="19" t="s">
        <v>59</v>
      </c>
      <c r="B59" s="20">
        <f>DATE(2019,7,1)</f>
        <v>43647</v>
      </c>
      <c r="C59" s="21">
        <v>61327</v>
      </c>
      <c r="D59" s="21">
        <v>63934</v>
      </c>
      <c r="E59" s="23">
        <f>(+C59-D59)/D59</f>
        <v>-0.04077642568899177</v>
      </c>
      <c r="F59" s="21">
        <f>+C59-29380</f>
        <v>31947</v>
      </c>
      <c r="G59" s="21">
        <f>+D59-30110</f>
        <v>33824</v>
      </c>
      <c r="H59" s="23">
        <f>(+F59-G59)/G59</f>
        <v>-0.05549314096499527</v>
      </c>
      <c r="I59" s="24">
        <f>K59/C59</f>
        <v>44.82402432859915</v>
      </c>
      <c r="J59" s="24">
        <f>K59/F59</f>
        <v>86.04635615237737</v>
      </c>
      <c r="K59" s="21">
        <v>2748922.94</v>
      </c>
      <c r="L59" s="21">
        <v>2819787.79</v>
      </c>
      <c r="M59" s="25">
        <f>(+K59-L59)/L59</f>
        <v>-0.025131270605296185</v>
      </c>
      <c r="N59" s="10"/>
      <c r="R59" s="2"/>
    </row>
    <row r="60" spans="1:18" ht="15" customHeight="1">
      <c r="A60" s="19"/>
      <c r="B60" s="20">
        <f>DATE(2019,8,1)</f>
        <v>43678</v>
      </c>
      <c r="C60" s="21">
        <v>62887</v>
      </c>
      <c r="D60" s="21">
        <v>61004</v>
      </c>
      <c r="E60" s="23">
        <f>(+C60-D60)/D60</f>
        <v>0.030866828404694773</v>
      </c>
      <c r="F60" s="21">
        <f>+C60-30695</f>
        <v>32192</v>
      </c>
      <c r="G60" s="21">
        <f>+D60-29259</f>
        <v>31745</v>
      </c>
      <c r="H60" s="23">
        <f>(+F60-G60)/G60</f>
        <v>0.014080957631123011</v>
      </c>
      <c r="I60" s="24">
        <f>K60/C60</f>
        <v>47.076432649037166</v>
      </c>
      <c r="J60" s="24">
        <f>K60/F60</f>
        <v>91.96370588966204</v>
      </c>
      <c r="K60" s="21">
        <v>2960495.62</v>
      </c>
      <c r="L60" s="21">
        <v>2779592.61</v>
      </c>
      <c r="M60" s="25">
        <f>(+K60-L60)/L60</f>
        <v>0.06508256258459409</v>
      </c>
      <c r="N60" s="10"/>
      <c r="R60" s="2"/>
    </row>
    <row r="61" spans="1:18" ht="15.75" thickBot="1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7.25" thickBot="1" thickTop="1">
      <c r="A62" s="62" t="s">
        <v>14</v>
      </c>
      <c r="B62" s="52"/>
      <c r="C62" s="48">
        <f>SUM(C59:C61)</f>
        <v>124214</v>
      </c>
      <c r="D62" s="48">
        <f>SUM(D59:D61)</f>
        <v>124938</v>
      </c>
      <c r="E62" s="280">
        <f>(+C62-D62)/D62</f>
        <v>-0.005794874257631785</v>
      </c>
      <c r="F62" s="48">
        <f>SUM(F59:F61)</f>
        <v>64139</v>
      </c>
      <c r="G62" s="48">
        <f>SUM(G59:G61)</f>
        <v>65569</v>
      </c>
      <c r="H62" s="42">
        <f>(+F62-G62)/G62</f>
        <v>-0.021809086611050955</v>
      </c>
      <c r="I62" s="50">
        <f>K62/C62</f>
        <v>45.9643724539907</v>
      </c>
      <c r="J62" s="50">
        <f>K62/F62</f>
        <v>89.01633265252032</v>
      </c>
      <c r="K62" s="48">
        <f>SUM(K59:K61)</f>
        <v>5709418.5600000005</v>
      </c>
      <c r="L62" s="48">
        <f>SUM(L59:L61)</f>
        <v>5599380.4</v>
      </c>
      <c r="M62" s="44">
        <f>(+K62-L62)/L62</f>
        <v>0.019651845764935016</v>
      </c>
      <c r="N62" s="10"/>
      <c r="R62" s="2"/>
    </row>
    <row r="63" spans="1:18" ht="15.75" customHeight="1" thickTop="1">
      <c r="A63" s="19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.75">
      <c r="A64" s="19" t="s">
        <v>19</v>
      </c>
      <c r="B64" s="20">
        <f>DATE(2019,7,1)</f>
        <v>43647</v>
      </c>
      <c r="C64" s="21">
        <v>447474</v>
      </c>
      <c r="D64" s="21">
        <v>470294</v>
      </c>
      <c r="E64" s="23">
        <f>(+C64-D64)/D64</f>
        <v>-0.048522838905025366</v>
      </c>
      <c r="F64" s="21">
        <f>+C64-208413</f>
        <v>239061</v>
      </c>
      <c r="G64" s="21">
        <f>+D64-224781</f>
        <v>245513</v>
      </c>
      <c r="H64" s="23">
        <f>(+F64-G64)/G64</f>
        <v>-0.02627966747178357</v>
      </c>
      <c r="I64" s="24">
        <f>K64/C64</f>
        <v>50.94925714119703</v>
      </c>
      <c r="J64" s="24">
        <f>K64/F64</f>
        <v>95.3667385730002</v>
      </c>
      <c r="K64" s="21">
        <v>22798467.89</v>
      </c>
      <c r="L64" s="21">
        <v>23419555.78</v>
      </c>
      <c r="M64" s="25">
        <f>(+K64-L64)/L64</f>
        <v>-0.026520054258689297</v>
      </c>
      <c r="N64" s="10"/>
      <c r="R64" s="2"/>
    </row>
    <row r="65" spans="1:18" ht="15.75">
      <c r="A65" s="19"/>
      <c r="B65" s="20">
        <f>DATE(2019,8,1)</f>
        <v>43678</v>
      </c>
      <c r="C65" s="21">
        <v>463395</v>
      </c>
      <c r="D65" s="21">
        <v>474770</v>
      </c>
      <c r="E65" s="23">
        <f>(+C65-D65)/D65</f>
        <v>-0.0239589696063357</v>
      </c>
      <c r="F65" s="21">
        <f>+C65-219743</f>
        <v>243652</v>
      </c>
      <c r="G65" s="21">
        <f>+D65-232249</f>
        <v>242521</v>
      </c>
      <c r="H65" s="23">
        <f>(+F65-G65)/G65</f>
        <v>0.004663513675104424</v>
      </c>
      <c r="I65" s="24">
        <f>K65/C65</f>
        <v>50.068145642486435</v>
      </c>
      <c r="J65" s="24">
        <f>K65/F65</f>
        <v>95.22322143877334</v>
      </c>
      <c r="K65" s="21">
        <v>23201328.35</v>
      </c>
      <c r="L65" s="21">
        <v>23787231.31</v>
      </c>
      <c r="M65" s="25">
        <f>(+K65-L65)/L65</f>
        <v>-0.024630985942180137</v>
      </c>
      <c r="N65" s="10"/>
      <c r="R65" s="2"/>
    </row>
    <row r="66" spans="1:18" ht="15.75" thickBot="1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Bot="1" thickTop="1">
      <c r="A67" s="39" t="s">
        <v>14</v>
      </c>
      <c r="B67" s="40"/>
      <c r="C67" s="41">
        <f>SUM(C64:C66)</f>
        <v>910869</v>
      </c>
      <c r="D67" s="41">
        <f>SUM(D64:D66)</f>
        <v>945064</v>
      </c>
      <c r="E67" s="280">
        <f>(+C67-D67)/D67</f>
        <v>-0.03618273471426274</v>
      </c>
      <c r="F67" s="41">
        <f>SUM(F64:F66)</f>
        <v>482713</v>
      </c>
      <c r="G67" s="41">
        <f>SUM(G64:G66)</f>
        <v>488034</v>
      </c>
      <c r="H67" s="42">
        <f>(+F67-G67)/G67</f>
        <v>-0.010902928894298348</v>
      </c>
      <c r="I67" s="43">
        <f>K67/C67</f>
        <v>50.50100095622971</v>
      </c>
      <c r="J67" s="43">
        <f>K67/F67</f>
        <v>95.29429752254445</v>
      </c>
      <c r="K67" s="41">
        <f>SUM(K64:K66)</f>
        <v>45999796.24</v>
      </c>
      <c r="L67" s="41">
        <f>SUM(L64:L66)</f>
        <v>47206787.09</v>
      </c>
      <c r="M67" s="44">
        <f>(+K67-L67)/L67</f>
        <v>-0.025568163486722084</v>
      </c>
      <c r="N67" s="10"/>
      <c r="R67" s="2"/>
    </row>
    <row r="68" spans="1:18" ht="15.75" customHeight="1" thickTop="1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>
      <c r="A69" s="19" t="s">
        <v>63</v>
      </c>
      <c r="B69" s="20">
        <f>DATE(2019,7,1)</f>
        <v>43647</v>
      </c>
      <c r="C69" s="21">
        <v>77486</v>
      </c>
      <c r="D69" s="21">
        <v>83462</v>
      </c>
      <c r="E69" s="23">
        <f>(+C69-D69)/D69</f>
        <v>-0.07160144736526802</v>
      </c>
      <c r="F69" s="21">
        <f>+C69-35807</f>
        <v>41679</v>
      </c>
      <c r="G69" s="21">
        <f>+D69-37670</f>
        <v>45792</v>
      </c>
      <c r="H69" s="23">
        <f>(+F69-G69)/G69</f>
        <v>-0.08981918238993711</v>
      </c>
      <c r="I69" s="24">
        <f>K69/C69</f>
        <v>43.835762331259836</v>
      </c>
      <c r="J69" s="24">
        <f>K69/F69</f>
        <v>81.49566640274479</v>
      </c>
      <c r="K69" s="21">
        <v>3396657.88</v>
      </c>
      <c r="L69" s="21">
        <v>3596592.5</v>
      </c>
      <c r="M69" s="25">
        <f>(+K69-L69)/L69</f>
        <v>-0.05559001193490786</v>
      </c>
      <c r="N69" s="10"/>
      <c r="R69" s="2"/>
    </row>
    <row r="70" spans="1:18" ht="15.75">
      <c r="A70" s="19"/>
      <c r="B70" s="20">
        <f>DATE(2019,8,1)</f>
        <v>43678</v>
      </c>
      <c r="C70" s="21">
        <v>83032</v>
      </c>
      <c r="D70" s="21">
        <v>82775</v>
      </c>
      <c r="E70" s="23">
        <f>(+C70-D70)/D70</f>
        <v>0.0031048021745696164</v>
      </c>
      <c r="F70" s="21">
        <f>+C70-37844</f>
        <v>45188</v>
      </c>
      <c r="G70" s="21">
        <f>+D70-37255</f>
        <v>45520</v>
      </c>
      <c r="H70" s="23">
        <f>(+F70-G70)/G70</f>
        <v>-0.007293497363796133</v>
      </c>
      <c r="I70" s="24">
        <f>K70/C70</f>
        <v>42.0536719577994</v>
      </c>
      <c r="J70" s="24">
        <f>K70/F70</f>
        <v>77.27273811631407</v>
      </c>
      <c r="K70" s="21">
        <v>3491800.49</v>
      </c>
      <c r="L70" s="21">
        <v>3639194.09</v>
      </c>
      <c r="M70" s="25">
        <f>(+K70-L70)/L70</f>
        <v>-0.04050171448811064</v>
      </c>
      <c r="N70" s="10"/>
      <c r="R70" s="2"/>
    </row>
    <row r="71" spans="1:18" ht="15.75" thickBot="1">
      <c r="A71" s="38"/>
      <c r="B71" s="45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7.25" thickBot="1" thickTop="1">
      <c r="A72" s="26" t="s">
        <v>14</v>
      </c>
      <c r="B72" s="27"/>
      <c r="C72" s="28">
        <f>SUM(C69:C71)</f>
        <v>160518</v>
      </c>
      <c r="D72" s="28">
        <f>SUM(D69:D71)</f>
        <v>166237</v>
      </c>
      <c r="E72" s="280">
        <f>(+C72-D72)/D72</f>
        <v>-0.034402690135168466</v>
      </c>
      <c r="F72" s="28">
        <f>SUM(F69:F71)</f>
        <v>86867</v>
      </c>
      <c r="G72" s="28">
        <f>SUM(G69:G71)</f>
        <v>91312</v>
      </c>
      <c r="H72" s="42">
        <f>(+F72-G72)/G72</f>
        <v>-0.04867925354827405</v>
      </c>
      <c r="I72" s="43">
        <f>K72/C72</f>
        <v>42.91393096101372</v>
      </c>
      <c r="J72" s="43">
        <f>K72/F72</f>
        <v>79.29890948231204</v>
      </c>
      <c r="K72" s="28">
        <f>SUM(K69:K71)</f>
        <v>6888458.37</v>
      </c>
      <c r="L72" s="28">
        <f>SUM(L69:L71)</f>
        <v>7235786.59</v>
      </c>
      <c r="M72" s="44">
        <f>(+K72-L72)/L72</f>
        <v>-0.04800144610124547</v>
      </c>
      <c r="N72" s="10"/>
      <c r="R72" s="2"/>
    </row>
    <row r="73" spans="1:18" ht="16.5" thickBot="1" thickTop="1">
      <c r="A73" s="63"/>
      <c r="B73" s="34"/>
      <c r="C73" s="35"/>
      <c r="D73" s="35"/>
      <c r="E73" s="29"/>
      <c r="F73" s="35"/>
      <c r="G73" s="35"/>
      <c r="H73" s="29"/>
      <c r="I73" s="36"/>
      <c r="J73" s="36"/>
      <c r="K73" s="35"/>
      <c r="L73" s="35"/>
      <c r="M73" s="37"/>
      <c r="N73" s="10"/>
      <c r="R73" s="2"/>
    </row>
    <row r="74" spans="1:18" ht="17.25" thickBot="1" thickTop="1">
      <c r="A74" s="64" t="s">
        <v>20</v>
      </c>
      <c r="B74" s="65"/>
      <c r="C74" s="28">
        <f>C72+C67+C32+C42+C47+C22+C12+C52+C57+C27+C62+C17+C37</f>
        <v>6385930</v>
      </c>
      <c r="D74" s="28">
        <f>D72+D67+D32+D42+D47+D22+D12+D52+D57+D27+D62+D17+D37</f>
        <v>6713286</v>
      </c>
      <c r="E74" s="279">
        <f>(+C74-D74)/D74</f>
        <v>-0.04876240934767266</v>
      </c>
      <c r="F74" s="28">
        <f>F72+F67+F32+F42+F47+F22+F12+F52+F57+F27+F62+F17+F37</f>
        <v>3396709</v>
      </c>
      <c r="G74" s="28">
        <f>G72+G67+G32+G42+G47+G22+G12+G52+G57+G27+G62+G17+G37</f>
        <v>3531473</v>
      </c>
      <c r="H74" s="30">
        <f>(+F74-G74)/G74</f>
        <v>-0.03816084676280974</v>
      </c>
      <c r="I74" s="31">
        <f>K74/C74</f>
        <v>46.29549840195555</v>
      </c>
      <c r="J74" s="31">
        <f>K74/F74</f>
        <v>87.03713273936626</v>
      </c>
      <c r="K74" s="28">
        <f>K72+K67+K32+K42+K47+K22+K12+K52+K57+K27+K62+K17+K37</f>
        <v>295639812.11</v>
      </c>
      <c r="L74" s="28">
        <f>L72+L67+L32+L42+L47+L22+L12+L52+L57+L27+L62+L17+L37</f>
        <v>301655216.65999997</v>
      </c>
      <c r="M74" s="32">
        <f>(+K74-L74)/L74</f>
        <v>-0.019941324458446225</v>
      </c>
      <c r="N74" s="10"/>
      <c r="R74" s="2"/>
    </row>
    <row r="75" spans="1:18" ht="17.25" thickBot="1" thickTop="1">
      <c r="A75" s="64"/>
      <c r="B75" s="65"/>
      <c r="C75" s="28"/>
      <c r="D75" s="28"/>
      <c r="E75" s="29"/>
      <c r="F75" s="28"/>
      <c r="G75" s="28"/>
      <c r="H75" s="30"/>
      <c r="I75" s="31"/>
      <c r="J75" s="31"/>
      <c r="K75" s="28"/>
      <c r="L75" s="28"/>
      <c r="M75" s="32"/>
      <c r="N75" s="10"/>
      <c r="R75" s="2"/>
    </row>
    <row r="76" spans="1:18" ht="17.25" thickBot="1" thickTop="1">
      <c r="A76" s="64" t="s">
        <v>21</v>
      </c>
      <c r="B76" s="65"/>
      <c r="C76" s="28">
        <f>SUM(C10+C15+C20+C25+C30+C35+C40+C45+C50+C55+C60+C65+C70)</f>
        <v>3231822</v>
      </c>
      <c r="D76" s="28">
        <f>SUM(D10+D15+D20+D25+D30+D35+D40+D45+D50+D55+D60+D65+D70)</f>
        <v>3331046</v>
      </c>
      <c r="E76" s="279">
        <f>(+C76-D76)/D76</f>
        <v>-0.029787640278759284</v>
      </c>
      <c r="F76" s="28">
        <f>SUM(F10+F15+F20+F25+F30+F35+F40+F45+F50+F55+F60+F65+F70)</f>
        <v>1721318</v>
      </c>
      <c r="G76" s="28">
        <f>SUM(G10+G15+G20+G25+G30+G35+G40+G45+G50+G55+G60+G65+G70)</f>
        <v>1750932</v>
      </c>
      <c r="H76" s="30">
        <f>(+F76-G76)/G76</f>
        <v>-0.016913278185560605</v>
      </c>
      <c r="I76" s="31">
        <f>K76/C76</f>
        <v>46.77603907640953</v>
      </c>
      <c r="J76" s="31">
        <f>K76/F76</f>
        <v>87.82330293414697</v>
      </c>
      <c r="K76" s="28">
        <f>SUM(K10+K15+K20+K25+K30+K35+K40+K45+K50+K55+K60+K65+K70)</f>
        <v>151171832.16</v>
      </c>
      <c r="L76" s="28">
        <f>SUM(L10+L15+L20+L25+L30+L35+L40+L45+L50+L55+L60+L65+L70)</f>
        <v>151092057.4</v>
      </c>
      <c r="M76" s="44">
        <f>(+K76-L76)/L76</f>
        <v>0.0005279877802497278</v>
      </c>
      <c r="N76" s="10"/>
      <c r="R76" s="2"/>
    </row>
    <row r="77" spans="1:18" ht="15.75" thickTop="1">
      <c r="A77" s="66"/>
      <c r="B77" s="67"/>
      <c r="C77" s="68"/>
      <c r="D77" s="67"/>
      <c r="E77" s="67"/>
      <c r="F77" s="67"/>
      <c r="G77" s="67"/>
      <c r="H77" s="67"/>
      <c r="I77" s="67"/>
      <c r="J77" s="67"/>
      <c r="K77" s="68"/>
      <c r="L77" s="68"/>
      <c r="M77" s="67"/>
      <c r="R77" s="2"/>
    </row>
    <row r="78" spans="1:18" ht="18.75">
      <c r="A78" s="264" t="s">
        <v>22</v>
      </c>
      <c r="B78" s="70"/>
      <c r="C78" s="71"/>
      <c r="D78" s="71"/>
      <c r="E78" s="71"/>
      <c r="F78" s="71"/>
      <c r="G78" s="71"/>
      <c r="H78" s="71"/>
      <c r="I78" s="71"/>
      <c r="J78" s="71"/>
      <c r="K78" s="198"/>
      <c r="L78" s="198"/>
      <c r="M78" s="71"/>
      <c r="N78" s="2"/>
      <c r="O78" s="2"/>
      <c r="P78" s="2"/>
      <c r="Q78" s="2"/>
      <c r="R78" s="2"/>
    </row>
    <row r="79" spans="1:18" ht="18">
      <c r="A79" s="69"/>
      <c r="B79" s="70"/>
      <c r="C79" s="71"/>
      <c r="D79" s="71"/>
      <c r="E79" s="71"/>
      <c r="F79" s="71"/>
      <c r="G79" s="71"/>
      <c r="H79" s="71"/>
      <c r="I79" s="71"/>
      <c r="J79" s="71"/>
      <c r="K79" s="198"/>
      <c r="L79" s="198"/>
      <c r="M79" s="71"/>
      <c r="N79" s="2"/>
      <c r="O79" s="2"/>
      <c r="P79" s="2"/>
      <c r="Q79" s="2"/>
      <c r="R79" s="2"/>
    </row>
    <row r="80" spans="1:18" ht="15.75">
      <c r="A80" s="72"/>
      <c r="B80" s="73"/>
      <c r="C80" s="74"/>
      <c r="D80" s="74"/>
      <c r="E80" s="74"/>
      <c r="F80" s="74"/>
      <c r="G80" s="74"/>
      <c r="H80" s="74"/>
      <c r="I80" s="74"/>
      <c r="J80" s="74"/>
      <c r="K80" s="192"/>
      <c r="L80" s="192"/>
      <c r="M80" s="75"/>
      <c r="N80" s="2"/>
      <c r="O80" s="2"/>
      <c r="P80" s="2"/>
      <c r="Q80" s="2"/>
      <c r="R80" s="2"/>
    </row>
    <row r="81" spans="1:18" ht="15">
      <c r="A81" s="2"/>
      <c r="B81" s="73"/>
      <c r="C81" s="74"/>
      <c r="D81" s="74"/>
      <c r="E81" s="74"/>
      <c r="F81" s="74"/>
      <c r="G81" s="74"/>
      <c r="H81" s="74"/>
      <c r="I81" s="74"/>
      <c r="J81" s="74"/>
      <c r="K81" s="192"/>
      <c r="L81" s="192"/>
      <c r="M81" s="75"/>
      <c r="N81" s="2"/>
      <c r="O81" s="2"/>
      <c r="P81" s="2"/>
      <c r="Q81" s="2"/>
      <c r="R81" s="2"/>
    </row>
    <row r="82" spans="1:18" ht="15">
      <c r="A82" s="2"/>
      <c r="B82" s="73"/>
      <c r="C82" s="74"/>
      <c r="D82" s="74"/>
      <c r="E82" s="74"/>
      <c r="F82" s="74"/>
      <c r="G82" s="74"/>
      <c r="H82" s="74"/>
      <c r="I82" s="74"/>
      <c r="J82" s="74"/>
      <c r="K82" s="192"/>
      <c r="L82" s="192"/>
      <c r="M82" s="75"/>
      <c r="N82" s="2"/>
      <c r="O82" s="2"/>
      <c r="P82" s="2"/>
      <c r="Q82" s="2"/>
      <c r="R82" s="2"/>
    </row>
    <row r="83" spans="1:18" ht="15">
      <c r="A83" s="2"/>
      <c r="B83" s="73"/>
      <c r="C83" s="74"/>
      <c r="D83" s="74"/>
      <c r="E83" s="74"/>
      <c r="F83" s="74"/>
      <c r="G83" s="74"/>
      <c r="H83" s="74"/>
      <c r="I83" s="74"/>
      <c r="J83" s="74"/>
      <c r="K83" s="192"/>
      <c r="L83" s="192"/>
      <c r="M83" s="75"/>
      <c r="N83" s="2"/>
      <c r="O83" s="2"/>
      <c r="P83" s="2"/>
      <c r="Q83" s="2"/>
      <c r="R83" s="2"/>
    </row>
    <row r="84" spans="1:18" ht="15">
      <c r="A84" s="2"/>
      <c r="B84" s="73"/>
      <c r="C84" s="74"/>
      <c r="D84" s="74"/>
      <c r="E84" s="74"/>
      <c r="F84" s="74"/>
      <c r="G84" s="74"/>
      <c r="H84" s="74"/>
      <c r="I84" s="74"/>
      <c r="J84" s="74"/>
      <c r="K84" s="192"/>
      <c r="L84" s="192"/>
      <c r="M84" s="75"/>
      <c r="N84" s="2"/>
      <c r="O84" s="2"/>
      <c r="P84" s="2"/>
      <c r="Q84" s="2"/>
      <c r="R84" s="2"/>
    </row>
    <row r="85" spans="1:18" ht="15">
      <c r="A85" s="2"/>
      <c r="B85" s="73"/>
      <c r="C85" s="74"/>
      <c r="D85" s="74"/>
      <c r="E85" s="74"/>
      <c r="F85" s="74"/>
      <c r="G85" s="74"/>
      <c r="H85" s="74"/>
      <c r="I85" s="74"/>
      <c r="J85" s="74"/>
      <c r="K85" s="192"/>
      <c r="L85" s="192"/>
      <c r="M85" s="75"/>
      <c r="N85" s="2"/>
      <c r="O85" s="2"/>
      <c r="P85" s="2"/>
      <c r="Q85" s="2"/>
      <c r="R85" s="2"/>
    </row>
    <row r="86" spans="1:18" ht="15">
      <c r="A86" s="2"/>
      <c r="B86" s="73"/>
      <c r="C86" s="74"/>
      <c r="D86" s="74"/>
      <c r="E86" s="74"/>
      <c r="F86" s="74"/>
      <c r="G86" s="74"/>
      <c r="H86" s="74"/>
      <c r="I86" s="74"/>
      <c r="J86" s="74"/>
      <c r="K86" s="192"/>
      <c r="L86" s="192"/>
      <c r="M86" s="75"/>
      <c r="N86" s="2"/>
      <c r="O86" s="2"/>
      <c r="P86" s="2"/>
      <c r="Q86" s="2"/>
      <c r="R86" s="2"/>
    </row>
    <row r="87" spans="1:18" ht="15">
      <c r="A87" s="2"/>
      <c r="B87" s="73"/>
      <c r="C87" s="74"/>
      <c r="D87" s="74"/>
      <c r="E87" s="74"/>
      <c r="F87" s="74"/>
      <c r="G87" s="74"/>
      <c r="H87" s="74"/>
      <c r="I87" s="74"/>
      <c r="J87" s="74"/>
      <c r="K87" s="192"/>
      <c r="L87" s="192"/>
      <c r="M87" s="75"/>
      <c r="N87" s="2"/>
      <c r="O87" s="2"/>
      <c r="P87" s="2"/>
      <c r="Q87" s="2"/>
      <c r="R87" s="2"/>
    </row>
    <row r="88" spans="1:18" ht="15">
      <c r="A88" s="2"/>
      <c r="B88" s="73"/>
      <c r="C88" s="74"/>
      <c r="D88" s="74"/>
      <c r="E88" s="74"/>
      <c r="F88" s="74"/>
      <c r="G88" s="74"/>
      <c r="H88" s="74"/>
      <c r="I88" s="74"/>
      <c r="J88" s="74"/>
      <c r="K88" s="192"/>
      <c r="L88" s="192"/>
      <c r="M88" s="75"/>
      <c r="N88" s="2"/>
      <c r="O88" s="2"/>
      <c r="P88" s="2"/>
      <c r="Q88" s="2"/>
      <c r="R88" s="2"/>
    </row>
    <row r="89" spans="1:18" ht="15">
      <c r="A89" s="2"/>
      <c r="B89" s="73"/>
      <c r="C89" s="74"/>
      <c r="D89" s="74"/>
      <c r="E89" s="74"/>
      <c r="F89" s="74"/>
      <c r="G89" s="74"/>
      <c r="H89" s="74"/>
      <c r="I89" s="74"/>
      <c r="J89" s="74"/>
      <c r="K89" s="192"/>
      <c r="L89" s="192"/>
      <c r="M89" s="74"/>
      <c r="N89" s="2"/>
      <c r="O89" s="2"/>
      <c r="P89" s="2"/>
      <c r="Q89" s="2"/>
      <c r="R89" s="2"/>
    </row>
    <row r="90" spans="1:18" ht="15">
      <c r="A90" s="2"/>
      <c r="B90" s="73"/>
      <c r="C90" s="74"/>
      <c r="D90" s="74"/>
      <c r="E90" s="74"/>
      <c r="F90" s="74"/>
      <c r="G90" s="74"/>
      <c r="H90" s="74"/>
      <c r="I90" s="74"/>
      <c r="J90" s="74"/>
      <c r="K90" s="192"/>
      <c r="L90" s="192"/>
      <c r="M90" s="74"/>
      <c r="N90" s="2"/>
      <c r="O90" s="2"/>
      <c r="P90" s="2"/>
      <c r="Q90" s="2"/>
      <c r="R90" s="2"/>
    </row>
    <row r="91" spans="1:18" ht="15">
      <c r="A91" s="2"/>
      <c r="B91" s="70"/>
      <c r="C91" s="74"/>
      <c r="D91" s="74"/>
      <c r="E91" s="74"/>
      <c r="F91" s="74"/>
      <c r="G91" s="74"/>
      <c r="H91" s="74"/>
      <c r="I91" s="74"/>
      <c r="J91" s="74"/>
      <c r="K91" s="192"/>
      <c r="L91" s="192"/>
      <c r="M91" s="74"/>
      <c r="N91" s="2"/>
      <c r="O91" s="2"/>
      <c r="P91" s="2"/>
      <c r="Q91" s="2"/>
      <c r="R91" s="2"/>
    </row>
    <row r="92" spans="1:18" ht="15.75">
      <c r="A92" s="76"/>
      <c r="B92" s="70"/>
      <c r="C92" s="74"/>
      <c r="D92" s="74"/>
      <c r="E92" s="74"/>
      <c r="F92" s="74"/>
      <c r="G92" s="74"/>
      <c r="H92" s="74"/>
      <c r="I92" s="74"/>
      <c r="J92" s="74"/>
      <c r="K92" s="192"/>
      <c r="L92" s="192"/>
      <c r="M92" s="75"/>
      <c r="N92" s="2"/>
      <c r="O92" s="2"/>
      <c r="P92" s="2"/>
      <c r="Q92" s="2"/>
      <c r="R92" s="2"/>
    </row>
    <row r="93" spans="1:18" ht="15.75">
      <c r="A93" s="76"/>
      <c r="B93" s="70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ht="15.75">
      <c r="A94" s="76"/>
      <c r="B94" s="70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ht="15">
      <c r="A95" s="2"/>
      <c r="B95" s="70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.75">
      <c r="A96" s="76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ht="15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ht="15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ht="15">
      <c r="A99" s="2"/>
      <c r="B99" s="77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ht="15">
      <c r="A100" s="2"/>
      <c r="B100" s="77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ht="15">
      <c r="A101" s="2"/>
      <c r="B101" s="77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ht="15">
      <c r="A102" s="2"/>
      <c r="B102" s="77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5"/>
      <c r="N102" s="2"/>
      <c r="O102" s="2"/>
      <c r="P102" s="2"/>
      <c r="Q102" s="2"/>
      <c r="R102" s="2"/>
    </row>
    <row r="103" spans="1:18" ht="15">
      <c r="A103" s="2"/>
      <c r="B103" s="77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5"/>
      <c r="N103" s="2"/>
      <c r="O103" s="2"/>
      <c r="P103" s="2"/>
      <c r="Q103" s="2"/>
      <c r="R103" s="2"/>
    </row>
    <row r="104" spans="1:18" ht="15">
      <c r="A104" s="2"/>
      <c r="B104" s="77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5"/>
      <c r="N104" s="2"/>
      <c r="O104" s="2"/>
      <c r="P104" s="2"/>
      <c r="Q104" s="2"/>
      <c r="R104" s="2"/>
    </row>
    <row r="105" spans="1:18" ht="15">
      <c r="A105" s="2"/>
      <c r="B105" s="77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">
      <c r="A106" s="2"/>
      <c r="B106" s="77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">
      <c r="A107" s="2"/>
      <c r="B107" s="77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2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.75">
      <c r="A109" s="76"/>
      <c r="B109" s="2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2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2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.75">
      <c r="A112" s="76"/>
      <c r="B112" s="2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.75">
      <c r="A113" s="76"/>
      <c r="B113" s="2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.75">
      <c r="A114" s="76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ht="15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ht="15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ht="15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77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">
      <c r="A122" s="2"/>
      <c r="B122" s="77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77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77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2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.75">
      <c r="A127" s="76"/>
      <c r="B127" s="2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2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2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.75">
      <c r="A130" s="76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2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">
      <c r="A135" s="2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.75">
      <c r="A136" s="76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.75">
      <c r="A139" s="76"/>
      <c r="B139" s="76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">
      <c r="A140" s="2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2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2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2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DATE(2019,7,1)</f>
        <v>43647</v>
      </c>
      <c r="B10" s="89">
        <f>'MONTHLY STATS'!$C$9*2</f>
        <v>547650</v>
      </c>
      <c r="C10" s="89">
        <f>'MONTHLY STATS'!$C$14*2</f>
        <v>257754</v>
      </c>
      <c r="D10" s="89">
        <f>'MONTHLY STATS'!$C$19*2</f>
        <v>133726</v>
      </c>
      <c r="E10" s="89">
        <f>'MONTHLY STATS'!$C$24*2</f>
        <v>876434</v>
      </c>
      <c r="F10" s="89">
        <f>'MONTHLY STATS'!$C$29*2</f>
        <v>577518</v>
      </c>
      <c r="G10" s="89">
        <f>'MONTHLY STATS'!$C$34*2</f>
        <v>221864</v>
      </c>
      <c r="H10" s="89">
        <f>'MONTHLY STATS'!$C$39*2</f>
        <v>302822</v>
      </c>
      <c r="I10" s="89">
        <f>'MONTHLY STATS'!$C$44*2</f>
        <v>647462</v>
      </c>
      <c r="J10" s="89">
        <f>'MONTHLY STATS'!$C$49*2</f>
        <v>733218</v>
      </c>
      <c r="K10" s="89">
        <f>'MONTHLY STATS'!$C$54*2</f>
        <v>837194</v>
      </c>
      <c r="L10" s="89">
        <f>'MONTHLY STATS'!$C$59*2</f>
        <v>122654</v>
      </c>
      <c r="M10" s="89">
        <f>'MONTHLY STATS'!$C$64*2</f>
        <v>894948</v>
      </c>
      <c r="N10" s="89">
        <f>'MONTHLY STATS'!$C$69*2</f>
        <v>154972</v>
      </c>
      <c r="O10" s="90">
        <f>SUM(B10:N10)</f>
        <v>6308216</v>
      </c>
      <c r="P10" s="83"/>
    </row>
    <row r="11" spans="1:16" ht="15.75">
      <c r="A11" s="88">
        <f>DATE(2019,8,1)</f>
        <v>43678</v>
      </c>
      <c r="B11" s="89">
        <f>'MONTHLY STATS'!$C$10*2</f>
        <v>553760</v>
      </c>
      <c r="C11" s="89">
        <f>'MONTHLY STATS'!$C$15*2</f>
        <v>260266</v>
      </c>
      <c r="D11" s="89">
        <f>'MONTHLY STATS'!$C$20*2</f>
        <v>138050</v>
      </c>
      <c r="E11" s="89">
        <f>'MONTHLY STATS'!$C$25*2</f>
        <v>874058</v>
      </c>
      <c r="F11" s="89">
        <f>'MONTHLY STATS'!$C$30*2</f>
        <v>585914</v>
      </c>
      <c r="G11" s="89">
        <f>'MONTHLY STATS'!$C$35*2</f>
        <v>227438</v>
      </c>
      <c r="H11" s="89">
        <f>'MONTHLY STATS'!$C$40*2</f>
        <v>306888</v>
      </c>
      <c r="I11" s="89">
        <f>'MONTHLY STATS'!$C$45*2</f>
        <v>649720</v>
      </c>
      <c r="J11" s="89">
        <f>'MONTHLY STATS'!$C$50*2</f>
        <v>769892</v>
      </c>
      <c r="K11" s="89">
        <f>'MONTHLY STATS'!$C$55*2</f>
        <v>879030</v>
      </c>
      <c r="L11" s="89">
        <f>'MONTHLY STATS'!$C$60*2</f>
        <v>125774</v>
      </c>
      <c r="M11" s="89">
        <f>'MONTHLY STATS'!$C$65*2</f>
        <v>926790</v>
      </c>
      <c r="N11" s="89">
        <f>'MONTHLY STATS'!$C$70*2</f>
        <v>166064</v>
      </c>
      <c r="O11" s="90">
        <f>SUM(B11:N11)</f>
        <v>6463644</v>
      </c>
      <c r="P11" s="83"/>
    </row>
    <row r="12" spans="1:16" ht="15.7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3"/>
    </row>
    <row r="13" spans="1:16" ht="15.7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0" ref="B23:O23">SUM(B10:B21)</f>
        <v>1101410</v>
      </c>
      <c r="C23" s="90">
        <f t="shared" si="0"/>
        <v>518020</v>
      </c>
      <c r="D23" s="90">
        <f t="shared" si="0"/>
        <v>271776</v>
      </c>
      <c r="E23" s="90">
        <f t="shared" si="0"/>
        <v>1750492</v>
      </c>
      <c r="F23" s="90">
        <f t="shared" si="0"/>
        <v>1163432</v>
      </c>
      <c r="G23" s="90">
        <f>SUM(G10:G21)</f>
        <v>449302</v>
      </c>
      <c r="H23" s="90">
        <f t="shared" si="0"/>
        <v>609710</v>
      </c>
      <c r="I23" s="90">
        <f>SUM(I10:I21)</f>
        <v>1297182</v>
      </c>
      <c r="J23" s="90">
        <f t="shared" si="0"/>
        <v>1503110</v>
      </c>
      <c r="K23" s="90">
        <f>SUM(K10:K21)</f>
        <v>1716224</v>
      </c>
      <c r="L23" s="90">
        <f t="shared" si="0"/>
        <v>248428</v>
      </c>
      <c r="M23" s="90">
        <f t="shared" si="0"/>
        <v>1821738</v>
      </c>
      <c r="N23" s="90">
        <f t="shared" si="0"/>
        <v>321036</v>
      </c>
      <c r="O23" s="90">
        <f t="shared" si="0"/>
        <v>12771860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DATE(2019,7,1)</f>
        <v>43647</v>
      </c>
      <c r="B31" s="89">
        <f>'MONTHLY STATS'!$K$9*0.21</f>
        <v>3064506.6207</v>
      </c>
      <c r="C31" s="89">
        <f>'MONTHLY STATS'!$K$14*0.21</f>
        <v>1462967.2743</v>
      </c>
      <c r="D31" s="89">
        <f>'MONTHLY STATS'!$K$19*0.21</f>
        <v>684695.0817</v>
      </c>
      <c r="E31" s="89">
        <f>'MONTHLY STATS'!$K$24*0.21</f>
        <v>4293878.6625</v>
      </c>
      <c r="F31" s="89">
        <f>'MONTHLY STATS'!$K$29*0.21</f>
        <v>2956269.6954</v>
      </c>
      <c r="G31" s="89">
        <f>'MONTHLY STATS'!$K$34*0.21</f>
        <v>935961.4299000001</v>
      </c>
      <c r="H31" s="89">
        <f>'MONTHLY STATS'!$K$39*0.21</f>
        <v>1101109.212</v>
      </c>
      <c r="I31" s="89">
        <f>'MONTHLY STATS'!$K$44*0.21</f>
        <v>2638145.9496</v>
      </c>
      <c r="J31" s="89">
        <f>'MONTHLY STATS'!$K$49*0.21</f>
        <v>3294770.8562999996</v>
      </c>
      <c r="K31" s="89">
        <f>'MONTHLY STATS'!$K$54*0.21</f>
        <v>3827720.778</v>
      </c>
      <c r="L31" s="89">
        <f>'MONTHLY STATS'!$K$59*0.21</f>
        <v>577273.8173999999</v>
      </c>
      <c r="M31" s="89">
        <f>'MONTHLY STATS'!$K$64*0.21</f>
        <v>4787678.2569</v>
      </c>
      <c r="N31" s="89">
        <f>'MONTHLY STATS'!$K$69*0.21</f>
        <v>713298.1547999999</v>
      </c>
      <c r="O31" s="90">
        <f>SUM(B31:N31)</f>
        <v>30338275.7895</v>
      </c>
      <c r="P31" s="83"/>
    </row>
    <row r="32" spans="1:16" ht="15.75">
      <c r="A32" s="88">
        <f>DATE(2019,8,1)</f>
        <v>43678</v>
      </c>
      <c r="B32" s="89">
        <f>'MONTHLY STATS'!$K$10*0.21</f>
        <v>3045430.4958</v>
      </c>
      <c r="C32" s="89">
        <f>'MONTHLY STATS'!$K$15*0.21</f>
        <v>1462946.0684999998</v>
      </c>
      <c r="D32" s="89">
        <f>'MONTHLY STATS'!$K$20*0.21</f>
        <v>676743.2363999999</v>
      </c>
      <c r="E32" s="89">
        <f>'MONTHLY STATS'!$K$25*0.21</f>
        <v>4481160.0918</v>
      </c>
      <c r="F32" s="89">
        <f>'MONTHLY STATS'!$K$30*0.21</f>
        <v>3271877.1245999997</v>
      </c>
      <c r="G32" s="89">
        <f>'MONTHLY STATS'!$K$35*0.21</f>
        <v>1095182.445</v>
      </c>
      <c r="H32" s="89">
        <f>'MONTHLY STATS'!$K$40*0.21</f>
        <v>1189395.375</v>
      </c>
      <c r="I32" s="89">
        <f>'MONTHLY STATS'!$K$45*0.21</f>
        <v>2712053.7380999997</v>
      </c>
      <c r="J32" s="89">
        <f>'MONTHLY STATS'!$K$50*0.21</f>
        <v>3485481.7787999995</v>
      </c>
      <c r="K32" s="89">
        <f>'MONTHLY STATS'!$K$55*0.21</f>
        <v>4098553.263</v>
      </c>
      <c r="L32" s="89">
        <f>'MONTHLY STATS'!$K$60*0.21</f>
        <v>621704.0802</v>
      </c>
      <c r="M32" s="89">
        <f>'MONTHLY STATS'!$K$65*0.21</f>
        <v>4872278.9535</v>
      </c>
      <c r="N32" s="89">
        <f>'MONTHLY STATS'!$K$70*0.21</f>
        <v>733278.1029</v>
      </c>
      <c r="O32" s="90">
        <f>SUM(B32:N32)</f>
        <v>31746084.753599998</v>
      </c>
      <c r="P32" s="83"/>
    </row>
    <row r="33" spans="1:16" ht="15.7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83"/>
    </row>
    <row r="34" spans="1:16" ht="15.7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1" ref="B44:O44">SUM(B31:B42)</f>
        <v>6109937.1165</v>
      </c>
      <c r="C44" s="90">
        <f t="shared" si="1"/>
        <v>2925913.3427999998</v>
      </c>
      <c r="D44" s="90">
        <f t="shared" si="1"/>
        <v>1361438.3180999998</v>
      </c>
      <c r="E44" s="90">
        <f t="shared" si="1"/>
        <v>8775038.754299998</v>
      </c>
      <c r="F44" s="90">
        <f t="shared" si="1"/>
        <v>6228146.82</v>
      </c>
      <c r="G44" s="90">
        <f t="shared" si="1"/>
        <v>2031143.8749000002</v>
      </c>
      <c r="H44" s="90">
        <f t="shared" si="1"/>
        <v>2290504.5870000003</v>
      </c>
      <c r="I44" s="90">
        <f>SUM(I31:I42)</f>
        <v>5350199.6877</v>
      </c>
      <c r="J44" s="90">
        <f t="shared" si="1"/>
        <v>6780252.6351</v>
      </c>
      <c r="K44" s="90">
        <f>SUM(K31:K42)</f>
        <v>7926274.040999999</v>
      </c>
      <c r="L44" s="90">
        <f t="shared" si="1"/>
        <v>1198977.8975999998</v>
      </c>
      <c r="M44" s="90">
        <f t="shared" si="1"/>
        <v>9659957.2104</v>
      </c>
      <c r="N44" s="90">
        <f t="shared" si="1"/>
        <v>1446576.2577</v>
      </c>
      <c r="O44" s="90">
        <f t="shared" si="1"/>
        <v>62084360.5431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DATE(2019,7,1)</f>
        <v>43647</v>
      </c>
      <c r="C9" s="204">
        <v>11145172</v>
      </c>
      <c r="D9" s="204">
        <v>2192286.5</v>
      </c>
      <c r="E9" s="204">
        <v>1826329</v>
      </c>
      <c r="F9" s="132">
        <f>(+D9-E9)/E9</f>
        <v>0.20037873789443195</v>
      </c>
      <c r="G9" s="215">
        <f>D9/C9</f>
        <v>0.1967027965113504</v>
      </c>
      <c r="H9" s="123"/>
    </row>
    <row r="10" spans="1:8" ht="15.75">
      <c r="A10" s="130"/>
      <c r="B10" s="131">
        <f>DATE(2019,8,1)</f>
        <v>43678</v>
      </c>
      <c r="C10" s="204">
        <v>9635568</v>
      </c>
      <c r="D10" s="204">
        <v>1845303</v>
      </c>
      <c r="E10" s="204">
        <v>1679235.5</v>
      </c>
      <c r="F10" s="132">
        <f>(+D10-E10)/E10</f>
        <v>0.09889470535848009</v>
      </c>
      <c r="G10" s="215">
        <f>D10/C10</f>
        <v>0.19150951972940256</v>
      </c>
      <c r="H10" s="123"/>
    </row>
    <row r="11" spans="1:8" ht="15.75" thickBot="1">
      <c r="A11" s="133"/>
      <c r="B11" s="134"/>
      <c r="C11" s="204"/>
      <c r="D11" s="204"/>
      <c r="E11" s="204"/>
      <c r="F11" s="132"/>
      <c r="G11" s="215"/>
      <c r="H11" s="123"/>
    </row>
    <row r="12" spans="1:8" ht="17.25" thickBot="1" thickTop="1">
      <c r="A12" s="135" t="s">
        <v>14</v>
      </c>
      <c r="B12" s="136"/>
      <c r="C12" s="201">
        <f>SUM(C9:C11)</f>
        <v>20780740</v>
      </c>
      <c r="D12" s="201">
        <f>SUM(D9:D11)</f>
        <v>4037589.5</v>
      </c>
      <c r="E12" s="201">
        <f>SUM(E9:E11)</f>
        <v>3505564.5</v>
      </c>
      <c r="F12" s="137">
        <f>(+D12-E12)/E12</f>
        <v>0.1517658568256268</v>
      </c>
      <c r="G12" s="212">
        <f>D12/C12</f>
        <v>0.19429478930971658</v>
      </c>
      <c r="H12" s="123"/>
    </row>
    <row r="13" spans="1:8" ht="15.75" customHeight="1" thickTop="1">
      <c r="A13" s="138"/>
      <c r="B13" s="139"/>
      <c r="C13" s="205"/>
      <c r="D13" s="205"/>
      <c r="E13" s="205"/>
      <c r="F13" s="140"/>
      <c r="G13" s="216"/>
      <c r="H13" s="123"/>
    </row>
    <row r="14" spans="1:8" ht="15.75">
      <c r="A14" s="19" t="s">
        <v>15</v>
      </c>
      <c r="B14" s="131">
        <f>DATE(2019,7,1)</f>
        <v>43647</v>
      </c>
      <c r="C14" s="204">
        <v>2591163</v>
      </c>
      <c r="D14" s="204">
        <v>728719</v>
      </c>
      <c r="E14" s="204">
        <v>544502.5</v>
      </c>
      <c r="F14" s="132">
        <f>(+D14-E14)/E14</f>
        <v>0.3383207606943953</v>
      </c>
      <c r="G14" s="215">
        <f>D14/C14</f>
        <v>0.28123240413667533</v>
      </c>
      <c r="H14" s="123"/>
    </row>
    <row r="15" spans="1:8" ht="15.75">
      <c r="A15" s="19"/>
      <c r="B15" s="131">
        <f>DATE(2019,8,1)</f>
        <v>43678</v>
      </c>
      <c r="C15" s="204">
        <v>2727354</v>
      </c>
      <c r="D15" s="204">
        <v>718107.5</v>
      </c>
      <c r="E15" s="204">
        <v>656165</v>
      </c>
      <c r="F15" s="132">
        <f>(+D15-E15)/E15</f>
        <v>0.09440079857962555</v>
      </c>
      <c r="G15" s="215">
        <f>D15/C15</f>
        <v>0.26329823704586935</v>
      </c>
      <c r="H15" s="123"/>
    </row>
    <row r="16" spans="1:8" ht="15.75" thickBot="1">
      <c r="A16" s="133"/>
      <c r="B16" s="131"/>
      <c r="C16" s="204"/>
      <c r="D16" s="204"/>
      <c r="E16" s="204"/>
      <c r="F16" s="132"/>
      <c r="G16" s="215"/>
      <c r="H16" s="123"/>
    </row>
    <row r="17" spans="1:8" ht="17.25" thickBot="1" thickTop="1">
      <c r="A17" s="135" t="s">
        <v>14</v>
      </c>
      <c r="B17" s="136"/>
      <c r="C17" s="201">
        <f>SUM(C14:C16)</f>
        <v>5318517</v>
      </c>
      <c r="D17" s="201">
        <f>SUM(D14:D16)</f>
        <v>1446826.5</v>
      </c>
      <c r="E17" s="201">
        <f>SUM(E14:E16)</f>
        <v>1200667.5</v>
      </c>
      <c r="F17" s="137">
        <f>(+D17-E17)/E17</f>
        <v>0.20501845848246913</v>
      </c>
      <c r="G17" s="212">
        <f>D17/C17</f>
        <v>0.2720357009294132</v>
      </c>
      <c r="H17" s="123"/>
    </row>
    <row r="18" spans="1:8" ht="15.75" customHeight="1" thickTop="1">
      <c r="A18" s="255"/>
      <c r="B18" s="139"/>
      <c r="C18" s="205"/>
      <c r="D18" s="205"/>
      <c r="E18" s="205"/>
      <c r="F18" s="140"/>
      <c r="G18" s="219"/>
      <c r="H18" s="123"/>
    </row>
    <row r="19" spans="1:8" ht="15.75">
      <c r="A19" s="19" t="s">
        <v>56</v>
      </c>
      <c r="B19" s="131">
        <f>DATE(2019,7,1)</f>
        <v>43647</v>
      </c>
      <c r="C19" s="204">
        <v>1246714</v>
      </c>
      <c r="D19" s="204">
        <v>293379.5</v>
      </c>
      <c r="E19" s="204">
        <v>373264</v>
      </c>
      <c r="F19" s="132">
        <f>(+D19-E19)/E19</f>
        <v>-0.2140160851300956</v>
      </c>
      <c r="G19" s="215">
        <f>D19/C19</f>
        <v>0.23532221503889425</v>
      </c>
      <c r="H19" s="123"/>
    </row>
    <row r="20" spans="1:8" ht="15.75">
      <c r="A20" s="19"/>
      <c r="B20" s="131">
        <f>DATE(2019,8,1)</f>
        <v>43678</v>
      </c>
      <c r="C20" s="204">
        <v>1240704</v>
      </c>
      <c r="D20" s="204">
        <v>306469</v>
      </c>
      <c r="E20" s="204">
        <v>339140.5</v>
      </c>
      <c r="F20" s="132">
        <f>(+D20-E20)/E20</f>
        <v>-0.09633617925314139</v>
      </c>
      <c r="G20" s="215">
        <f>D20/C20</f>
        <v>0.24701218018157434</v>
      </c>
      <c r="H20" s="123"/>
    </row>
    <row r="21" spans="1:8" ht="15.75" thickBot="1">
      <c r="A21" s="133"/>
      <c r="B21" s="131"/>
      <c r="C21" s="204"/>
      <c r="D21" s="204"/>
      <c r="E21" s="204"/>
      <c r="F21" s="132"/>
      <c r="G21" s="215"/>
      <c r="H21" s="123"/>
    </row>
    <row r="22" spans="1:8" ht="17.25" thickBot="1" thickTop="1">
      <c r="A22" s="141" t="s">
        <v>14</v>
      </c>
      <c r="B22" s="142"/>
      <c r="C22" s="206">
        <f>SUM(C19:C21)</f>
        <v>2487418</v>
      </c>
      <c r="D22" s="206">
        <f>SUM(D19:D21)</f>
        <v>599848.5</v>
      </c>
      <c r="E22" s="206">
        <f>SUM(E19:E21)</f>
        <v>712404.5</v>
      </c>
      <c r="F22" s="143">
        <f>(+D22-E22)/E22</f>
        <v>-0.1579945101413593</v>
      </c>
      <c r="G22" s="217">
        <f>D22/C22</f>
        <v>0.2411530751968507</v>
      </c>
      <c r="H22" s="123"/>
    </row>
    <row r="23" spans="1:8" ht="15.75" thickTop="1">
      <c r="A23" s="133"/>
      <c r="B23" s="134"/>
      <c r="C23" s="204"/>
      <c r="D23" s="204"/>
      <c r="E23" s="204"/>
      <c r="F23" s="132"/>
      <c r="G23" s="218"/>
      <c r="H23" s="123"/>
    </row>
    <row r="24" spans="1:8" ht="15.75">
      <c r="A24" s="177" t="s">
        <v>65</v>
      </c>
      <c r="B24" s="131">
        <f>DATE(2019,7,1)</f>
        <v>43647</v>
      </c>
      <c r="C24" s="204">
        <v>16460624.75</v>
      </c>
      <c r="D24" s="204">
        <v>3167330.9</v>
      </c>
      <c r="E24" s="204">
        <v>2640847.24</v>
      </c>
      <c r="F24" s="132">
        <f>(+D24-E24)/E24</f>
        <v>0.1993616488017685</v>
      </c>
      <c r="G24" s="215">
        <f>D24/C24</f>
        <v>0.19241863222718808</v>
      </c>
      <c r="H24" s="123"/>
    </row>
    <row r="25" spans="1:8" ht="15.75">
      <c r="A25" s="177"/>
      <c r="B25" s="131">
        <f>DATE(2019,8,1)</f>
        <v>43678</v>
      </c>
      <c r="C25" s="204">
        <v>17105013</v>
      </c>
      <c r="D25" s="204">
        <v>3871820.12</v>
      </c>
      <c r="E25" s="204">
        <v>3019576.86</v>
      </c>
      <c r="F25" s="132">
        <f>(+D25-E25)/E25</f>
        <v>0.2822393002442072</v>
      </c>
      <c r="G25" s="215">
        <f>D25/C25</f>
        <v>0.22635587122909526</v>
      </c>
      <c r="H25" s="123"/>
    </row>
    <row r="26" spans="1:8" ht="15.75" customHeight="1" thickBot="1">
      <c r="A26" s="133"/>
      <c r="B26" s="134"/>
      <c r="C26" s="204"/>
      <c r="D26" s="204"/>
      <c r="E26" s="204"/>
      <c r="F26" s="132"/>
      <c r="G26" s="215"/>
      <c r="H26" s="123"/>
    </row>
    <row r="27" spans="1:8" ht="17.25" customHeight="1" thickBot="1" thickTop="1">
      <c r="A27" s="141" t="s">
        <v>14</v>
      </c>
      <c r="B27" s="142"/>
      <c r="C27" s="206">
        <f>SUM(C24:C26)</f>
        <v>33565637.75</v>
      </c>
      <c r="D27" s="206">
        <f>SUM(D24:D26)</f>
        <v>7039151.02</v>
      </c>
      <c r="E27" s="206">
        <f>SUM(E24:E26)</f>
        <v>5660424.1</v>
      </c>
      <c r="F27" s="143">
        <f>(+D27-E27)/E27</f>
        <v>0.2435730778547141</v>
      </c>
      <c r="G27" s="217">
        <f>D27/C27</f>
        <v>0.20971301282663696</v>
      </c>
      <c r="H27" s="123"/>
    </row>
    <row r="28" spans="1:8" ht="15.75" customHeight="1" thickTop="1">
      <c r="A28" s="133"/>
      <c r="B28" s="134"/>
      <c r="C28" s="204"/>
      <c r="D28" s="204"/>
      <c r="E28" s="204"/>
      <c r="F28" s="132"/>
      <c r="G28" s="218"/>
      <c r="H28" s="123"/>
    </row>
    <row r="29" spans="1:8" ht="15" customHeight="1">
      <c r="A29" s="130" t="s">
        <v>39</v>
      </c>
      <c r="B29" s="131">
        <f>DATE(2019,7,1)</f>
        <v>43647</v>
      </c>
      <c r="C29" s="204">
        <v>14612843</v>
      </c>
      <c r="D29" s="204">
        <v>2665528.5</v>
      </c>
      <c r="E29" s="204">
        <v>3513953.5</v>
      </c>
      <c r="F29" s="132">
        <f>(+D29-E29)/E29</f>
        <v>-0.241444572331421</v>
      </c>
      <c r="G29" s="215">
        <f>D29/C29</f>
        <v>0.1824099868861932</v>
      </c>
      <c r="H29" s="123"/>
    </row>
    <row r="30" spans="1:8" ht="15" customHeight="1">
      <c r="A30" s="130"/>
      <c r="B30" s="131">
        <f>DATE(2019,8,1)</f>
        <v>43678</v>
      </c>
      <c r="C30" s="204">
        <v>15994186</v>
      </c>
      <c r="D30" s="204">
        <v>3359489.5</v>
      </c>
      <c r="E30" s="204">
        <v>3570821.5</v>
      </c>
      <c r="F30" s="132">
        <f>(+D30-E30)/E30</f>
        <v>-0.05918301992972765</v>
      </c>
      <c r="G30" s="215">
        <f>D30/C30</f>
        <v>0.21004441864062354</v>
      </c>
      <c r="H30" s="123"/>
    </row>
    <row r="31" spans="1:8" ht="15.75" thickBot="1">
      <c r="A31" s="133"/>
      <c r="B31" s="131"/>
      <c r="C31" s="204"/>
      <c r="D31" s="204"/>
      <c r="E31" s="204"/>
      <c r="F31" s="132"/>
      <c r="G31" s="215"/>
      <c r="H31" s="123"/>
    </row>
    <row r="32" spans="1:8" ht="17.25" customHeight="1" thickBot="1" thickTop="1">
      <c r="A32" s="141" t="s">
        <v>14</v>
      </c>
      <c r="B32" s="142"/>
      <c r="C32" s="207">
        <f>SUM(C29:C31)</f>
        <v>30607029</v>
      </c>
      <c r="D32" s="261">
        <f>SUM(D29:D31)</f>
        <v>6025018</v>
      </c>
      <c r="E32" s="206">
        <f>SUM(E29:E31)</f>
        <v>7084775</v>
      </c>
      <c r="F32" s="268">
        <f>(+D32-E32)/E32</f>
        <v>-0.14958230854190854</v>
      </c>
      <c r="G32" s="267">
        <f>D32/C32</f>
        <v>0.1968507952862723</v>
      </c>
      <c r="H32" s="123"/>
    </row>
    <row r="33" spans="1:8" ht="15.75" customHeight="1" thickTop="1">
      <c r="A33" s="130"/>
      <c r="B33" s="134"/>
      <c r="C33" s="204"/>
      <c r="D33" s="204"/>
      <c r="E33" s="204"/>
      <c r="F33" s="132"/>
      <c r="G33" s="218"/>
      <c r="H33" s="123"/>
    </row>
    <row r="34" spans="1:8" ht="15.75">
      <c r="A34" s="130" t="s">
        <v>66</v>
      </c>
      <c r="B34" s="131">
        <f>DATE(2019,7,1)</f>
        <v>43647</v>
      </c>
      <c r="C34" s="204">
        <v>2326207</v>
      </c>
      <c r="D34" s="204">
        <v>550912.5</v>
      </c>
      <c r="E34" s="204">
        <v>682875.5</v>
      </c>
      <c r="F34" s="132">
        <f>(+D34-E34)/E34</f>
        <v>-0.19324606022620522</v>
      </c>
      <c r="G34" s="215">
        <f>D34/C34</f>
        <v>0.2368286657206345</v>
      </c>
      <c r="H34" s="123"/>
    </row>
    <row r="35" spans="1:8" ht="15.75">
      <c r="A35" s="130"/>
      <c r="B35" s="131">
        <f>DATE(2019,8,1)</f>
        <v>43678</v>
      </c>
      <c r="C35" s="204">
        <v>2456667</v>
      </c>
      <c r="D35" s="204">
        <v>542692.5</v>
      </c>
      <c r="E35" s="204">
        <v>651283.5</v>
      </c>
      <c r="F35" s="132">
        <f>(+D35-E35)/E35</f>
        <v>-0.16673384171409225</v>
      </c>
      <c r="G35" s="215">
        <f>D35/C35</f>
        <v>0.22090600801818072</v>
      </c>
      <c r="H35" s="123"/>
    </row>
    <row r="36" spans="1:8" ht="15.75" customHeight="1" thickBot="1">
      <c r="A36" s="130"/>
      <c r="B36" s="131"/>
      <c r="C36" s="204"/>
      <c r="D36" s="204"/>
      <c r="E36" s="204"/>
      <c r="F36" s="132"/>
      <c r="G36" s="215"/>
      <c r="H36" s="123"/>
    </row>
    <row r="37" spans="1:8" ht="17.25" thickBot="1" thickTop="1">
      <c r="A37" s="141" t="s">
        <v>14</v>
      </c>
      <c r="B37" s="142"/>
      <c r="C37" s="207">
        <f>SUM(C34:C36)</f>
        <v>4782874</v>
      </c>
      <c r="D37" s="261">
        <f>SUM(D34:D36)</f>
        <v>1093605</v>
      </c>
      <c r="E37" s="207">
        <f>SUM(E34:E36)</f>
        <v>1334159</v>
      </c>
      <c r="F37" s="268">
        <f>(+D37-E37)/E37</f>
        <v>-0.18030384684284256</v>
      </c>
      <c r="G37" s="267">
        <f>D37/C37</f>
        <v>0.22865017978729943</v>
      </c>
      <c r="H37" s="123"/>
    </row>
    <row r="38" spans="1:8" ht="15.75" customHeight="1" thickTop="1">
      <c r="A38" s="130"/>
      <c r="B38" s="134"/>
      <c r="C38" s="204"/>
      <c r="D38" s="204"/>
      <c r="E38" s="204"/>
      <c r="F38" s="132"/>
      <c r="G38" s="218"/>
      <c r="H38" s="123"/>
    </row>
    <row r="39" spans="1:8" ht="15.75">
      <c r="A39" s="130" t="s">
        <v>17</v>
      </c>
      <c r="B39" s="131">
        <f>DATE(2019,7,1)</f>
        <v>43647</v>
      </c>
      <c r="C39" s="204">
        <v>1428358</v>
      </c>
      <c r="D39" s="204">
        <v>255421</v>
      </c>
      <c r="E39" s="204">
        <v>395162.5</v>
      </c>
      <c r="F39" s="132">
        <f>(+D39-E39)/E39</f>
        <v>-0.3536304684781577</v>
      </c>
      <c r="G39" s="215">
        <f>D39/C39</f>
        <v>0.17882141591953837</v>
      </c>
      <c r="H39" s="123"/>
    </row>
    <row r="40" spans="1:8" ht="15.75">
      <c r="A40" s="130"/>
      <c r="B40" s="131">
        <f>DATE(2019,8,1)</f>
        <v>43678</v>
      </c>
      <c r="C40" s="204">
        <v>1645771</v>
      </c>
      <c r="D40" s="204">
        <v>366605.5</v>
      </c>
      <c r="E40" s="204">
        <v>271146</v>
      </c>
      <c r="F40" s="132">
        <f>(+D40-E40)/E40</f>
        <v>0.3520594071090851</v>
      </c>
      <c r="G40" s="215">
        <f>D40/C40</f>
        <v>0.22275608210376777</v>
      </c>
      <c r="H40" s="123"/>
    </row>
    <row r="41" spans="1:8" ht="15.75" customHeight="1" thickBot="1">
      <c r="A41" s="130"/>
      <c r="B41" s="131"/>
      <c r="C41" s="204"/>
      <c r="D41" s="204"/>
      <c r="E41" s="204"/>
      <c r="F41" s="132"/>
      <c r="G41" s="215"/>
      <c r="H41" s="123"/>
    </row>
    <row r="42" spans="1:8" ht="17.25" thickBot="1" thickTop="1">
      <c r="A42" s="141" t="s">
        <v>14</v>
      </c>
      <c r="B42" s="142"/>
      <c r="C42" s="207">
        <f>SUM(C39:C41)</f>
        <v>3074129</v>
      </c>
      <c r="D42" s="261">
        <f>SUM(D39:D41)</f>
        <v>622026.5</v>
      </c>
      <c r="E42" s="207">
        <f>SUM(E39:E41)</f>
        <v>666308.5</v>
      </c>
      <c r="F42" s="269">
        <f>(+D42-E42)/E42</f>
        <v>-0.0664587049392286</v>
      </c>
      <c r="G42" s="267">
        <f>D42/C42</f>
        <v>0.2023423545335931</v>
      </c>
      <c r="H42" s="123"/>
    </row>
    <row r="43" spans="1:8" ht="15.75" customHeight="1" thickTop="1">
      <c r="A43" s="130"/>
      <c r="B43" s="139"/>
      <c r="C43" s="205"/>
      <c r="D43" s="205"/>
      <c r="E43" s="205"/>
      <c r="F43" s="140"/>
      <c r="G43" s="216"/>
      <c r="H43" s="123"/>
    </row>
    <row r="44" spans="1:8" ht="15.75">
      <c r="A44" s="130" t="s">
        <v>55</v>
      </c>
      <c r="B44" s="131">
        <f>DATE(2019,7,1)</f>
        <v>43647</v>
      </c>
      <c r="C44" s="204">
        <v>11352765</v>
      </c>
      <c r="D44" s="204">
        <v>1702754.86</v>
      </c>
      <c r="E44" s="204">
        <v>2057880.1</v>
      </c>
      <c r="F44" s="132">
        <f>(+D44-E44)/E44</f>
        <v>-0.17256847957274088</v>
      </c>
      <c r="G44" s="215">
        <f>D44/C44</f>
        <v>0.14998591620631627</v>
      </c>
      <c r="H44" s="123"/>
    </row>
    <row r="45" spans="1:8" ht="15.75">
      <c r="A45" s="130"/>
      <c r="B45" s="131">
        <f>DATE(2019,8,1)</f>
        <v>43678</v>
      </c>
      <c r="C45" s="204">
        <v>11116688</v>
      </c>
      <c r="D45" s="204">
        <v>2308275.88</v>
      </c>
      <c r="E45" s="204">
        <v>2105874.34</v>
      </c>
      <c r="F45" s="132">
        <f>(+D45-E45)/E45</f>
        <v>0.0961128288404901</v>
      </c>
      <c r="G45" s="215">
        <f>D45/C45</f>
        <v>0.2076406102249159</v>
      </c>
      <c r="H45" s="123"/>
    </row>
    <row r="46" spans="1:8" ht="15.75" customHeight="1" thickBot="1">
      <c r="A46" s="130"/>
      <c r="B46" s="131"/>
      <c r="C46" s="204"/>
      <c r="D46" s="204"/>
      <c r="E46" s="204"/>
      <c r="F46" s="132"/>
      <c r="G46" s="215"/>
      <c r="H46" s="123"/>
    </row>
    <row r="47" spans="1:8" ht="17.25" thickBot="1" thickTop="1">
      <c r="A47" s="141" t="s">
        <v>14</v>
      </c>
      <c r="B47" s="142"/>
      <c r="C47" s="206">
        <f>SUM(C44:C46)</f>
        <v>22469453</v>
      </c>
      <c r="D47" s="206">
        <f>SUM(D44:D46)</f>
        <v>4011030.74</v>
      </c>
      <c r="E47" s="206">
        <f>SUM(E44:E46)</f>
        <v>4163754.44</v>
      </c>
      <c r="F47" s="143">
        <f>(+D47-E47)/E47</f>
        <v>-0.03667932444162094</v>
      </c>
      <c r="G47" s="217">
        <f>D47/C47</f>
        <v>0.17851038652342807</v>
      </c>
      <c r="H47" s="123"/>
    </row>
    <row r="48" spans="1:8" ht="15.75" customHeight="1" thickTop="1">
      <c r="A48" s="138"/>
      <c r="B48" s="139"/>
      <c r="C48" s="205"/>
      <c r="D48" s="205"/>
      <c r="E48" s="205"/>
      <c r="F48" s="140"/>
      <c r="G48" s="216"/>
      <c r="H48" s="123"/>
    </row>
    <row r="49" spans="1:8" ht="15.75">
      <c r="A49" s="130" t="s">
        <v>18</v>
      </c>
      <c r="B49" s="131">
        <f>DATE(2019,7,1)</f>
        <v>43647</v>
      </c>
      <c r="C49" s="204">
        <v>12048647</v>
      </c>
      <c r="D49" s="204">
        <v>2126440.5</v>
      </c>
      <c r="E49" s="204">
        <v>2729067.84</v>
      </c>
      <c r="F49" s="132">
        <f>(+D49-E49)/E49</f>
        <v>-0.22081801381676167</v>
      </c>
      <c r="G49" s="215">
        <f>D49/C49</f>
        <v>0.1764879077293907</v>
      </c>
      <c r="H49" s="123"/>
    </row>
    <row r="50" spans="1:8" ht="15.75">
      <c r="A50" s="130"/>
      <c r="B50" s="131">
        <f>DATE(2019,8,1)</f>
        <v>43678</v>
      </c>
      <c r="C50" s="204">
        <v>12757078</v>
      </c>
      <c r="D50" s="204">
        <v>2726871</v>
      </c>
      <c r="E50" s="204">
        <v>2970026</v>
      </c>
      <c r="F50" s="132">
        <f>(+D50-E50)/E50</f>
        <v>-0.08186965366633155</v>
      </c>
      <c r="G50" s="215">
        <f>D50/C50</f>
        <v>0.21375357272253098</v>
      </c>
      <c r="H50" s="123"/>
    </row>
    <row r="51" spans="1:8" ht="15.75" customHeight="1" thickBot="1">
      <c r="A51" s="130"/>
      <c r="B51" s="131"/>
      <c r="C51" s="204"/>
      <c r="D51" s="204"/>
      <c r="E51" s="204"/>
      <c r="F51" s="132"/>
      <c r="G51" s="215"/>
      <c r="H51" s="123"/>
    </row>
    <row r="52" spans="1:8" ht="17.25" thickBot="1" thickTop="1">
      <c r="A52" s="141" t="s">
        <v>14</v>
      </c>
      <c r="B52" s="142"/>
      <c r="C52" s="206">
        <f>SUM(C49:C51)</f>
        <v>24805725</v>
      </c>
      <c r="D52" s="206">
        <f>SUM(D49:D51)</f>
        <v>4853311.5</v>
      </c>
      <c r="E52" s="206">
        <f>SUM(E49:E51)</f>
        <v>5699093.84</v>
      </c>
      <c r="F52" s="143">
        <f>(+D52-E52)/E52</f>
        <v>-0.14840645964867985</v>
      </c>
      <c r="G52" s="217">
        <f>D52/C52</f>
        <v>0.19565287851897092</v>
      </c>
      <c r="H52" s="123"/>
    </row>
    <row r="53" spans="1:8" ht="15.75" customHeight="1" thickTop="1">
      <c r="A53" s="138"/>
      <c r="B53" s="139"/>
      <c r="C53" s="205"/>
      <c r="D53" s="205"/>
      <c r="E53" s="205"/>
      <c r="F53" s="140"/>
      <c r="G53" s="216"/>
      <c r="H53" s="123"/>
    </row>
    <row r="54" spans="1:8" ht="15.75">
      <c r="A54" s="130" t="s">
        <v>58</v>
      </c>
      <c r="B54" s="131">
        <f>DATE(2019,7,1)</f>
        <v>43647</v>
      </c>
      <c r="C54" s="204">
        <v>11570649</v>
      </c>
      <c r="D54" s="204">
        <v>1977732.9</v>
      </c>
      <c r="E54" s="204">
        <v>2887936.73</v>
      </c>
      <c r="F54" s="132">
        <f>(+D54-E54)/E54</f>
        <v>-0.31517443597180195</v>
      </c>
      <c r="G54" s="215">
        <f>D54/C54</f>
        <v>0.1709267042842627</v>
      </c>
      <c r="H54" s="123"/>
    </row>
    <row r="55" spans="1:8" ht="15.75">
      <c r="A55" s="130"/>
      <c r="B55" s="131">
        <f>DATE(2019,8,1)</f>
        <v>43678</v>
      </c>
      <c r="C55" s="204">
        <v>12902308</v>
      </c>
      <c r="D55" s="204">
        <v>2645402.5</v>
      </c>
      <c r="E55" s="204">
        <v>2450226.84</v>
      </c>
      <c r="F55" s="132">
        <f>(+D55-E55)/E55</f>
        <v>0.07965615950888864</v>
      </c>
      <c r="G55" s="215">
        <f>D55/C55</f>
        <v>0.20503327776704758</v>
      </c>
      <c r="H55" s="123"/>
    </row>
    <row r="56" spans="1:8" ht="15.75" thickBot="1">
      <c r="A56" s="133"/>
      <c r="B56" s="131"/>
      <c r="C56" s="204"/>
      <c r="D56" s="204"/>
      <c r="E56" s="204"/>
      <c r="F56" s="132"/>
      <c r="G56" s="215"/>
      <c r="H56" s="123"/>
    </row>
    <row r="57" spans="1:8" ht="17.25" thickBot="1" thickTop="1">
      <c r="A57" s="141" t="s">
        <v>14</v>
      </c>
      <c r="B57" s="142"/>
      <c r="C57" s="207">
        <f>SUM(C54:C56)</f>
        <v>24472957</v>
      </c>
      <c r="D57" s="207">
        <f>SUM(D54:D56)</f>
        <v>4623135.4</v>
      </c>
      <c r="E57" s="207">
        <f>SUM(E54:E56)</f>
        <v>5338163.57</v>
      </c>
      <c r="F57" s="143">
        <f>(+D57-E57)/E57</f>
        <v>-0.1339464706586351</v>
      </c>
      <c r="G57" s="267">
        <f>D57/C57</f>
        <v>0.18890791987253525</v>
      </c>
      <c r="H57" s="123"/>
    </row>
    <row r="58" spans="1:8" ht="15.75" customHeight="1" thickTop="1">
      <c r="A58" s="138"/>
      <c r="B58" s="139"/>
      <c r="C58" s="205"/>
      <c r="D58" s="205"/>
      <c r="E58" s="205"/>
      <c r="F58" s="140"/>
      <c r="G58" s="219"/>
      <c r="H58" s="123"/>
    </row>
    <row r="59" spans="1:8" ht="15.75">
      <c r="A59" s="130" t="s">
        <v>59</v>
      </c>
      <c r="B59" s="131">
        <f>DATE(2019,7,1)</f>
        <v>43647</v>
      </c>
      <c r="C59" s="204">
        <v>679874</v>
      </c>
      <c r="D59" s="204">
        <v>135934</v>
      </c>
      <c r="E59" s="204">
        <v>154554.5</v>
      </c>
      <c r="F59" s="132">
        <f>(+D59-E59)/E59</f>
        <v>-0.12047853669741095</v>
      </c>
      <c r="G59" s="215">
        <f>D59/C59</f>
        <v>0.19993998888029252</v>
      </c>
      <c r="H59" s="123"/>
    </row>
    <row r="60" spans="1:8" ht="15.75">
      <c r="A60" s="130"/>
      <c r="B60" s="131">
        <f>DATE(2019,8,1)</f>
        <v>43678</v>
      </c>
      <c r="C60" s="204">
        <v>642745</v>
      </c>
      <c r="D60" s="204">
        <v>134255.5</v>
      </c>
      <c r="E60" s="204">
        <v>228200</v>
      </c>
      <c r="F60" s="132">
        <f>(+D60-E60)/E60</f>
        <v>-0.4116761612620508</v>
      </c>
      <c r="G60" s="215">
        <f>D60/C60</f>
        <v>0.20887832655252084</v>
      </c>
      <c r="H60" s="123"/>
    </row>
    <row r="61" spans="1:8" ht="15.75" thickBot="1">
      <c r="A61" s="133"/>
      <c r="B61" s="134"/>
      <c r="C61" s="204"/>
      <c r="D61" s="204"/>
      <c r="E61" s="204"/>
      <c r="F61" s="132"/>
      <c r="G61" s="215"/>
      <c r="H61" s="123"/>
    </row>
    <row r="62" spans="1:8" ht="17.25" thickBot="1" thickTop="1">
      <c r="A62" s="144" t="s">
        <v>14</v>
      </c>
      <c r="B62" s="145"/>
      <c r="C62" s="207">
        <f>SUM(C59:C61)</f>
        <v>1322619</v>
      </c>
      <c r="D62" s="207">
        <f>SUM(D59:D61)</f>
        <v>270189.5</v>
      </c>
      <c r="E62" s="207">
        <f>SUM(E59:E61)</f>
        <v>382754.5</v>
      </c>
      <c r="F62" s="143">
        <f>(+D62-E62)/E62</f>
        <v>-0.2940919048633001</v>
      </c>
      <c r="G62" s="217">
        <f>D62/C62</f>
        <v>0.20428369772398552</v>
      </c>
      <c r="H62" s="123"/>
    </row>
    <row r="63" spans="1:8" ht="15.75" customHeight="1" thickTop="1">
      <c r="A63" s="130"/>
      <c r="B63" s="134"/>
      <c r="C63" s="204"/>
      <c r="D63" s="204"/>
      <c r="E63" s="204"/>
      <c r="F63" s="132"/>
      <c r="G63" s="218"/>
      <c r="H63" s="123"/>
    </row>
    <row r="64" spans="1:8" ht="15.75">
      <c r="A64" s="130" t="s">
        <v>40</v>
      </c>
      <c r="B64" s="131">
        <f>DATE(2019,7,1)</f>
        <v>43647</v>
      </c>
      <c r="C64" s="204">
        <v>18493060</v>
      </c>
      <c r="D64" s="204">
        <v>3679275.65</v>
      </c>
      <c r="E64" s="204">
        <v>4013253.36</v>
      </c>
      <c r="F64" s="132">
        <f>(+D64-E64)/E64</f>
        <v>-0.08321869566689903</v>
      </c>
      <c r="G64" s="215">
        <f>D64/C64</f>
        <v>0.19895439965046346</v>
      </c>
      <c r="H64" s="123"/>
    </row>
    <row r="65" spans="1:8" ht="15.75">
      <c r="A65" s="130"/>
      <c r="B65" s="131">
        <f>DATE(2019,8,1)</f>
        <v>43678</v>
      </c>
      <c r="C65" s="204">
        <v>18036604</v>
      </c>
      <c r="D65" s="204">
        <v>3806818.41</v>
      </c>
      <c r="E65" s="204">
        <v>4154776.6</v>
      </c>
      <c r="F65" s="132">
        <f>(+D65-E65)/E65</f>
        <v>-0.08374895295212742</v>
      </c>
      <c r="G65" s="215">
        <f>D65/C65</f>
        <v>0.21106070799137133</v>
      </c>
      <c r="H65" s="123"/>
    </row>
    <row r="66" spans="1:8" ht="15.75" thickBot="1">
      <c r="A66" s="133"/>
      <c r="B66" s="134"/>
      <c r="C66" s="204"/>
      <c r="D66" s="204"/>
      <c r="E66" s="204"/>
      <c r="F66" s="132"/>
      <c r="G66" s="215"/>
      <c r="H66" s="123"/>
    </row>
    <row r="67" spans="1:8" ht="17.25" thickBot="1" thickTop="1">
      <c r="A67" s="141" t="s">
        <v>14</v>
      </c>
      <c r="B67" s="142"/>
      <c r="C67" s="206">
        <f>SUM(C64:C66)</f>
        <v>36529664</v>
      </c>
      <c r="D67" s="207">
        <f>SUM(D64:D66)</f>
        <v>7486094.0600000005</v>
      </c>
      <c r="E67" s="206">
        <f>SUM(E64:E66)</f>
        <v>8168029.96</v>
      </c>
      <c r="F67" s="143">
        <f>(+D67-E67)/E67</f>
        <v>-0.08348841805668394</v>
      </c>
      <c r="G67" s="217">
        <f>D67/C67</f>
        <v>0.2049319167019987</v>
      </c>
      <c r="H67" s="123"/>
    </row>
    <row r="68" spans="1:8" ht="15.75" customHeight="1" thickTop="1">
      <c r="A68" s="130"/>
      <c r="B68" s="134"/>
      <c r="C68" s="204"/>
      <c r="D68" s="204"/>
      <c r="E68" s="204"/>
      <c r="F68" s="132"/>
      <c r="G68" s="218"/>
      <c r="H68" s="123"/>
    </row>
    <row r="69" spans="1:8" ht="15.75">
      <c r="A69" s="130" t="s">
        <v>64</v>
      </c>
      <c r="B69" s="131">
        <f>DATE(2019,7,1)</f>
        <v>43647</v>
      </c>
      <c r="C69" s="204">
        <v>622244</v>
      </c>
      <c r="D69" s="204">
        <v>102948</v>
      </c>
      <c r="E69" s="204">
        <v>171143.5</v>
      </c>
      <c r="F69" s="132">
        <f>(+D69-E69)/E69</f>
        <v>-0.3984697052473509</v>
      </c>
      <c r="G69" s="215">
        <f>D69/C69</f>
        <v>0.16544635223481463</v>
      </c>
      <c r="H69" s="123"/>
    </row>
    <row r="70" spans="1:8" ht="15.75">
      <c r="A70" s="130"/>
      <c r="B70" s="131">
        <f>DATE(2019,8,1)</f>
        <v>43678</v>
      </c>
      <c r="C70" s="204">
        <v>680355</v>
      </c>
      <c r="D70" s="204">
        <v>208443.5</v>
      </c>
      <c r="E70" s="204">
        <v>217353.5</v>
      </c>
      <c r="F70" s="132">
        <f>(+D70-E70)/E70</f>
        <v>-0.040993128705081816</v>
      </c>
      <c r="G70" s="215">
        <f>D70/C70</f>
        <v>0.30637461325337506</v>
      </c>
      <c r="H70" s="123"/>
    </row>
    <row r="71" spans="1:8" ht="15.75" thickBot="1">
      <c r="A71" s="133"/>
      <c r="B71" s="134"/>
      <c r="C71" s="204"/>
      <c r="D71" s="204"/>
      <c r="E71" s="204"/>
      <c r="F71" s="132"/>
      <c r="G71" s="215"/>
      <c r="H71" s="123"/>
    </row>
    <row r="72" spans="1:8" ht="17.25" thickBot="1" thickTop="1">
      <c r="A72" s="135" t="s">
        <v>14</v>
      </c>
      <c r="B72" s="136"/>
      <c r="C72" s="201">
        <f>SUM(C69:C71)</f>
        <v>1302599</v>
      </c>
      <c r="D72" s="207">
        <f>SUM(D69:D71)</f>
        <v>311391.5</v>
      </c>
      <c r="E72" s="207">
        <f>SUM(E69:E71)</f>
        <v>388497</v>
      </c>
      <c r="F72" s="143">
        <f>(+D72-E72)/E72</f>
        <v>-0.19847128806657452</v>
      </c>
      <c r="G72" s="217">
        <f>D72/C72</f>
        <v>0.23905399896668122</v>
      </c>
      <c r="H72" s="123"/>
    </row>
    <row r="73" spans="1:8" ht="16.5" thickBot="1" thickTop="1">
      <c r="A73" s="146"/>
      <c r="B73" s="139"/>
      <c r="C73" s="205"/>
      <c r="D73" s="205"/>
      <c r="E73" s="205"/>
      <c r="F73" s="140"/>
      <c r="G73" s="216"/>
      <c r="H73" s="123"/>
    </row>
    <row r="74" spans="1:8" ht="17.25" thickBot="1" thickTop="1">
      <c r="A74" s="147" t="s">
        <v>41</v>
      </c>
      <c r="B74" s="121"/>
      <c r="C74" s="201">
        <f>C72+C67+C52+C42+C32+C22+C12+C27+C62+C17+C47+C57+C37</f>
        <v>211519361.75</v>
      </c>
      <c r="D74" s="201">
        <f>D72+D67+D52+D42+D32+D22+D12+D27+D62+D17+D47+D57+D37</f>
        <v>42419217.72</v>
      </c>
      <c r="E74" s="201">
        <f>E72+E67+E52+E42+E32+E22+E12+E27+E62+E17+E47+E57+E37</f>
        <v>44304596.41</v>
      </c>
      <c r="F74" s="137">
        <f>(+D74-E74)/E74</f>
        <v>-0.04255492302768046</v>
      </c>
      <c r="G74" s="212">
        <f>D74/C74</f>
        <v>0.20054531825855418</v>
      </c>
      <c r="H74" s="123"/>
    </row>
    <row r="75" spans="1:8" ht="17.25" thickBot="1" thickTop="1">
      <c r="A75" s="147"/>
      <c r="B75" s="121"/>
      <c r="C75" s="201"/>
      <c r="D75" s="201"/>
      <c r="E75" s="201"/>
      <c r="F75" s="137"/>
      <c r="G75" s="212"/>
      <c r="H75" s="123"/>
    </row>
    <row r="76" spans="1:8" ht="17.25" thickBot="1" thickTop="1">
      <c r="A76" s="265" t="s">
        <v>42</v>
      </c>
      <c r="B76" s="266"/>
      <c r="C76" s="206">
        <f>SUM(C10+C15+C20+C25+C30+C35+C40+C45+C50+C55+C60+C65+C70)</f>
        <v>106941041</v>
      </c>
      <c r="D76" s="206">
        <f>SUM(D10+D15+D20+D25+D30+D35+D40+D45+D50+D55+D60+D65+D70)</f>
        <v>22840553.91</v>
      </c>
      <c r="E76" s="206">
        <f>SUM(E10+E15+E20+E25+E30+E35+E40+E45+E50+E55+E60+E65+E70)</f>
        <v>22313826.14</v>
      </c>
      <c r="F76" s="143">
        <f>(+D76-E76)/E76</f>
        <v>0.02360544384881541</v>
      </c>
      <c r="G76" s="217">
        <f>D76/C76</f>
        <v>0.21358080767139717</v>
      </c>
      <c r="H76" s="123"/>
    </row>
    <row r="77" spans="1:8" ht="16.5" thickTop="1">
      <c r="A77" s="256"/>
      <c r="B77" s="258"/>
      <c r="C77" s="259"/>
      <c r="D77" s="259"/>
      <c r="E77" s="259"/>
      <c r="F77" s="260"/>
      <c r="G77" s="257"/>
      <c r="H77" s="257"/>
    </row>
    <row r="78" spans="1:7" ht="18.75">
      <c r="A78" s="263" t="s">
        <v>43</v>
      </c>
      <c r="B78" s="117"/>
      <c r="C78" s="208"/>
      <c r="D78" s="208"/>
      <c r="E78" s="208"/>
      <c r="F78" s="148"/>
      <c r="G78" s="220"/>
    </row>
    <row r="79" ht="15.75">
      <c r="A79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5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DATE(19,7,1)</f>
        <v>7122</v>
      </c>
      <c r="C10" s="226">
        <v>121214833.89</v>
      </c>
      <c r="D10" s="226">
        <v>12400602.17</v>
      </c>
      <c r="E10" s="226">
        <v>11548721.09</v>
      </c>
      <c r="F10" s="166">
        <f>(+D10-E10)/E10</f>
        <v>0.07376410542442151</v>
      </c>
      <c r="G10" s="241">
        <f>D10/C10</f>
        <v>0.10230267841024551</v>
      </c>
      <c r="H10" s="242">
        <f>1-G10</f>
        <v>0.8976973215897545</v>
      </c>
      <c r="I10" s="157"/>
    </row>
    <row r="11" spans="1:9" ht="15.75">
      <c r="A11" s="164"/>
      <c r="B11" s="165">
        <f>DATE(19,8,1)</f>
        <v>7153</v>
      </c>
      <c r="C11" s="226">
        <v>127273364.16</v>
      </c>
      <c r="D11" s="226">
        <v>12656746.98</v>
      </c>
      <c r="E11" s="226">
        <v>12278666.34</v>
      </c>
      <c r="F11" s="166">
        <f>(+D11-E11)/E11</f>
        <v>0.030791669838631727</v>
      </c>
      <c r="G11" s="241">
        <f>D11/C11</f>
        <v>0.0994453714925673</v>
      </c>
      <c r="H11" s="242">
        <f>1-G11</f>
        <v>0.9005546285074327</v>
      </c>
      <c r="I11" s="157"/>
    </row>
    <row r="12" spans="1:9" ht="15.75" thickBot="1">
      <c r="A12" s="167"/>
      <c r="B12" s="168"/>
      <c r="C12" s="226"/>
      <c r="D12" s="226"/>
      <c r="E12" s="226"/>
      <c r="F12" s="166"/>
      <c r="G12" s="241"/>
      <c r="H12" s="242"/>
      <c r="I12" s="157"/>
    </row>
    <row r="13" spans="1:9" ht="17.25" thickBot="1" thickTop="1">
      <c r="A13" s="169" t="s">
        <v>14</v>
      </c>
      <c r="B13" s="155"/>
      <c r="C13" s="223">
        <f>SUM(C10:C12)</f>
        <v>248488198.05</v>
      </c>
      <c r="D13" s="223">
        <f>SUM(D10:D12)</f>
        <v>25057349.15</v>
      </c>
      <c r="E13" s="223">
        <f>SUM(E10:E12)</f>
        <v>23827387.43</v>
      </c>
      <c r="F13" s="170">
        <f>(+D13-E13)/E13</f>
        <v>0.051619663448767734</v>
      </c>
      <c r="G13" s="236">
        <f>D13/C13</f>
        <v>0.100839192149311</v>
      </c>
      <c r="H13" s="237">
        <f>1-G13</f>
        <v>0.899160807850689</v>
      </c>
      <c r="I13" s="157"/>
    </row>
    <row r="14" spans="1:9" ht="15.75" thickTop="1">
      <c r="A14" s="171"/>
      <c r="B14" s="172"/>
      <c r="C14" s="227"/>
      <c r="D14" s="227"/>
      <c r="E14" s="227"/>
      <c r="F14" s="173"/>
      <c r="G14" s="243"/>
      <c r="H14" s="244"/>
      <c r="I14" s="157"/>
    </row>
    <row r="15" spans="1:9" ht="15.75">
      <c r="A15" s="19" t="s">
        <v>51</v>
      </c>
      <c r="B15" s="165">
        <f>DATE(19,7,1)</f>
        <v>7122</v>
      </c>
      <c r="C15" s="226">
        <v>61310653.93</v>
      </c>
      <c r="D15" s="226">
        <v>6237791.83</v>
      </c>
      <c r="E15" s="226">
        <v>6830347.76</v>
      </c>
      <c r="F15" s="166">
        <f>(+D15-E15)/E15</f>
        <v>-0.08675340565675674</v>
      </c>
      <c r="G15" s="241">
        <f>D15/C15</f>
        <v>0.10174074863272299</v>
      </c>
      <c r="H15" s="242">
        <f>1-G15</f>
        <v>0.898259251367277</v>
      </c>
      <c r="I15" s="157"/>
    </row>
    <row r="16" spans="1:9" ht="15.75">
      <c r="A16" s="19"/>
      <c r="B16" s="165">
        <f>DATE(19,8,1)</f>
        <v>7153</v>
      </c>
      <c r="C16" s="226">
        <v>61574144.38</v>
      </c>
      <c r="D16" s="226">
        <v>6248302.35</v>
      </c>
      <c r="E16" s="226">
        <v>6442436.26</v>
      </c>
      <c r="F16" s="166">
        <f>(+D16-E16)/E16</f>
        <v>-0.030133617495813635</v>
      </c>
      <c r="G16" s="241">
        <f>D16/C16</f>
        <v>0.10147607267490542</v>
      </c>
      <c r="H16" s="242">
        <f>1-G16</f>
        <v>0.8985239273250946</v>
      </c>
      <c r="I16" s="157"/>
    </row>
    <row r="17" spans="1:9" ht="15.75" thickBot="1">
      <c r="A17" s="167"/>
      <c r="B17" s="165"/>
      <c r="C17" s="226"/>
      <c r="D17" s="226"/>
      <c r="E17" s="226"/>
      <c r="F17" s="166"/>
      <c r="G17" s="241"/>
      <c r="H17" s="242"/>
      <c r="I17" s="157"/>
    </row>
    <row r="18" spans="1:9" ht="17.25" thickBot="1" thickTop="1">
      <c r="A18" s="169" t="s">
        <v>14</v>
      </c>
      <c r="B18" s="155"/>
      <c r="C18" s="223">
        <f>SUM(C15:C17)</f>
        <v>122884798.31</v>
      </c>
      <c r="D18" s="223">
        <f>SUM(D15:D17)</f>
        <v>12486094.18</v>
      </c>
      <c r="E18" s="223">
        <f>SUM(E15:E17)</f>
        <v>13272784.02</v>
      </c>
      <c r="F18" s="170">
        <f>(+D18-E18)/E18</f>
        <v>-0.05927089891725669</v>
      </c>
      <c r="G18" s="236">
        <f>D18/C18</f>
        <v>0.10160812689378779</v>
      </c>
      <c r="H18" s="237">
        <f>1-G18</f>
        <v>0.8983918731062122</v>
      </c>
      <c r="I18" s="157"/>
    </row>
    <row r="19" spans="1:9" ht="15.75" thickTop="1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.75">
      <c r="A20" s="19" t="s">
        <v>60</v>
      </c>
      <c r="B20" s="165">
        <f>DATE(19,7,1)</f>
        <v>7122</v>
      </c>
      <c r="C20" s="226">
        <v>27697147.81</v>
      </c>
      <c r="D20" s="226">
        <v>2967073.27</v>
      </c>
      <c r="E20" s="226">
        <v>2891699.85</v>
      </c>
      <c r="F20" s="166">
        <f>(+D20-E20)/E20</f>
        <v>0.026065436909020804</v>
      </c>
      <c r="G20" s="241">
        <f>D20/C20</f>
        <v>0.10712558890012293</v>
      </c>
      <c r="H20" s="242">
        <f>1-G20</f>
        <v>0.8928744110998771</v>
      </c>
      <c r="I20" s="157"/>
    </row>
    <row r="21" spans="1:9" ht="15.75">
      <c r="A21" s="19"/>
      <c r="B21" s="165">
        <f>DATE(19,8,1)</f>
        <v>7153</v>
      </c>
      <c r="C21" s="226">
        <v>27431300.71</v>
      </c>
      <c r="D21" s="226">
        <v>2916117.84</v>
      </c>
      <c r="E21" s="226">
        <v>2785511.76</v>
      </c>
      <c r="F21" s="166">
        <f>(+D21-E21)/E21</f>
        <v>0.04688764264990936</v>
      </c>
      <c r="G21" s="241">
        <f>D21/C21</f>
        <v>0.10630621824421682</v>
      </c>
      <c r="H21" s="242">
        <f>1-G21</f>
        <v>0.8936937817557832</v>
      </c>
      <c r="I21" s="157"/>
    </row>
    <row r="22" spans="1:9" ht="15.75" thickBot="1">
      <c r="A22" s="167"/>
      <c r="B22" s="165"/>
      <c r="C22" s="226"/>
      <c r="D22" s="226"/>
      <c r="E22" s="226"/>
      <c r="F22" s="166"/>
      <c r="G22" s="241"/>
      <c r="H22" s="242"/>
      <c r="I22" s="157"/>
    </row>
    <row r="23" spans="1:9" ht="17.25" thickBot="1" thickTop="1">
      <c r="A23" s="174" t="s">
        <v>14</v>
      </c>
      <c r="B23" s="175"/>
      <c r="C23" s="228">
        <f>SUM(C20:C22)</f>
        <v>55128448.519999996</v>
      </c>
      <c r="D23" s="228">
        <f>SUM(D20:D22)</f>
        <v>5883191.109999999</v>
      </c>
      <c r="E23" s="228">
        <f>SUM(E20:E22)</f>
        <v>5677211.609999999</v>
      </c>
      <c r="F23" s="176">
        <f>(+D23-E23)/E23</f>
        <v>0.03628180771651737</v>
      </c>
      <c r="G23" s="245">
        <f>D23/C23</f>
        <v>0.10671787920651607</v>
      </c>
      <c r="H23" s="246">
        <f>1-G23</f>
        <v>0.8932821207934839</v>
      </c>
      <c r="I23" s="157"/>
    </row>
    <row r="24" spans="1:9" ht="15.75" thickTop="1">
      <c r="A24" s="167"/>
      <c r="B24" s="168"/>
      <c r="C24" s="226"/>
      <c r="D24" s="226"/>
      <c r="E24" s="226"/>
      <c r="F24" s="166"/>
      <c r="G24" s="241"/>
      <c r="H24" s="242"/>
      <c r="I24" s="157"/>
    </row>
    <row r="25" spans="1:9" ht="15.75">
      <c r="A25" s="177" t="s">
        <v>65</v>
      </c>
      <c r="B25" s="165">
        <f>DATE(19,7,1)</f>
        <v>7122</v>
      </c>
      <c r="C25" s="226">
        <v>184825387.6</v>
      </c>
      <c r="D25" s="226">
        <v>17279710.35</v>
      </c>
      <c r="E25" s="226">
        <v>17539246.18</v>
      </c>
      <c r="F25" s="166">
        <f>(+D25-E25)/E25</f>
        <v>-0.014797433557660356</v>
      </c>
      <c r="G25" s="241">
        <f>D25/C25</f>
        <v>0.09349208230742</v>
      </c>
      <c r="H25" s="242">
        <f>1-G25</f>
        <v>0.90650791769258</v>
      </c>
      <c r="I25" s="157"/>
    </row>
    <row r="26" spans="1:9" ht="15.75">
      <c r="A26" s="177"/>
      <c r="B26" s="165">
        <f>DATE(19,8,1)</f>
        <v>7153</v>
      </c>
      <c r="C26" s="226">
        <v>191102191.72</v>
      </c>
      <c r="D26" s="226">
        <v>17467037.46</v>
      </c>
      <c r="E26" s="226">
        <v>17390823.88</v>
      </c>
      <c r="F26" s="166">
        <f>(+D26-E26)/E26</f>
        <v>0.004382401922179775</v>
      </c>
      <c r="G26" s="241">
        <f>D26/C26</f>
        <v>0.09140155485810668</v>
      </c>
      <c r="H26" s="242">
        <f>1-G26</f>
        <v>0.9085984451418934</v>
      </c>
      <c r="I26" s="157"/>
    </row>
    <row r="27" spans="1:9" ht="15.75" thickBot="1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7.25" thickBot="1" thickTop="1">
      <c r="A28" s="174" t="s">
        <v>14</v>
      </c>
      <c r="B28" s="178"/>
      <c r="C28" s="228">
        <f>SUM(C25:C27)</f>
        <v>375927579.32</v>
      </c>
      <c r="D28" s="228">
        <f>SUM(D25:D27)</f>
        <v>34746747.81</v>
      </c>
      <c r="E28" s="228">
        <f>SUM(E25:E27)</f>
        <v>34930070.06</v>
      </c>
      <c r="F28" s="176">
        <f>(+D28-E28)/E28</f>
        <v>-0.005248264595092541</v>
      </c>
      <c r="G28" s="245">
        <f>D28/C28</f>
        <v>0.09242936597748952</v>
      </c>
      <c r="H28" s="246">
        <f>1-G28</f>
        <v>0.9075706340225105</v>
      </c>
      <c r="I28" s="157"/>
    </row>
    <row r="29" spans="1:9" ht="15.75" thickTop="1">
      <c r="A29" s="167"/>
      <c r="B29" s="168"/>
      <c r="C29" s="226"/>
      <c r="D29" s="226"/>
      <c r="E29" s="226"/>
      <c r="F29" s="166"/>
      <c r="G29" s="241"/>
      <c r="H29" s="242"/>
      <c r="I29" s="157"/>
    </row>
    <row r="30" spans="1:9" ht="15.75">
      <c r="A30" s="164" t="s">
        <v>16</v>
      </c>
      <c r="B30" s="165">
        <f>DATE(19,7,1)</f>
        <v>7122</v>
      </c>
      <c r="C30" s="226">
        <v>115325495.95</v>
      </c>
      <c r="D30" s="226">
        <v>11411946.24</v>
      </c>
      <c r="E30" s="226">
        <v>11381105.73</v>
      </c>
      <c r="F30" s="166">
        <f>(+D30-E30)/E30</f>
        <v>0.0027097990943626684</v>
      </c>
      <c r="G30" s="241">
        <f>D30/C30</f>
        <v>0.09895423510641317</v>
      </c>
      <c r="H30" s="242">
        <f>1-G30</f>
        <v>0.9010457648935868</v>
      </c>
      <c r="I30" s="157"/>
    </row>
    <row r="31" spans="1:9" ht="15.75">
      <c r="A31" s="164"/>
      <c r="B31" s="165">
        <f>DATE(19,8,1)</f>
        <v>7153</v>
      </c>
      <c r="C31" s="226">
        <v>122607190.3</v>
      </c>
      <c r="D31" s="226">
        <v>12220877.76</v>
      </c>
      <c r="E31" s="226">
        <v>11018606.25</v>
      </c>
      <c r="F31" s="166">
        <f>(+D31-E31)/E31</f>
        <v>0.10911284809728089</v>
      </c>
      <c r="G31" s="241">
        <f>D31/C31</f>
        <v>0.09967504948198784</v>
      </c>
      <c r="H31" s="242">
        <f>1-G31</f>
        <v>0.9003249505180122</v>
      </c>
      <c r="I31" s="157"/>
    </row>
    <row r="32" spans="1:9" ht="15.75" thickBot="1">
      <c r="A32" s="167"/>
      <c r="B32" s="165"/>
      <c r="C32" s="226"/>
      <c r="D32" s="226"/>
      <c r="E32" s="226"/>
      <c r="F32" s="166"/>
      <c r="G32" s="241"/>
      <c r="H32" s="242"/>
      <c r="I32" s="157"/>
    </row>
    <row r="33" spans="1:9" ht="17.25" thickBot="1" thickTop="1">
      <c r="A33" s="174" t="s">
        <v>14</v>
      </c>
      <c r="B33" s="175"/>
      <c r="C33" s="228">
        <f>SUM(C30:C32)</f>
        <v>237932686.25</v>
      </c>
      <c r="D33" s="230">
        <f>SUM(D30:D32)</f>
        <v>23632824</v>
      </c>
      <c r="E33" s="271">
        <f>SUM(E30:E32)</f>
        <v>22399711.98</v>
      </c>
      <c r="F33" s="272">
        <f>(+D33-E33)/E33</f>
        <v>0.0550503515893868</v>
      </c>
      <c r="G33" s="249">
        <f>D33/C33</f>
        <v>0.09932567219944125</v>
      </c>
      <c r="H33" s="270">
        <f>1-G33</f>
        <v>0.9006743278005588</v>
      </c>
      <c r="I33" s="157"/>
    </row>
    <row r="34" spans="1:9" ht="15.75" thickTop="1">
      <c r="A34" s="167"/>
      <c r="B34" s="168"/>
      <c r="C34" s="226"/>
      <c r="D34" s="226"/>
      <c r="E34" s="226"/>
      <c r="F34" s="166"/>
      <c r="G34" s="241"/>
      <c r="H34" s="242"/>
      <c r="I34" s="157"/>
    </row>
    <row r="35" spans="1:9" ht="15.75">
      <c r="A35" s="164" t="s">
        <v>66</v>
      </c>
      <c r="B35" s="165">
        <f>DATE(19,7,1)</f>
        <v>7122</v>
      </c>
      <c r="C35" s="226">
        <v>39783172.6</v>
      </c>
      <c r="D35" s="226">
        <v>3906046.69</v>
      </c>
      <c r="E35" s="226">
        <v>4536017.05</v>
      </c>
      <c r="F35" s="166">
        <f>(+D35-E35)/E35</f>
        <v>-0.1388818324657752</v>
      </c>
      <c r="G35" s="241">
        <f>D35/C35</f>
        <v>0.09818338847113464</v>
      </c>
      <c r="H35" s="242">
        <f>1-G35</f>
        <v>0.9018166115288654</v>
      </c>
      <c r="I35" s="157"/>
    </row>
    <row r="36" spans="1:9" ht="15.75">
      <c r="A36" s="164"/>
      <c r="B36" s="165">
        <f>DATE(19,8,1)</f>
        <v>7153</v>
      </c>
      <c r="C36" s="226">
        <v>43743175.45</v>
      </c>
      <c r="D36" s="226">
        <v>4672462</v>
      </c>
      <c r="E36" s="226">
        <v>4611969.17</v>
      </c>
      <c r="F36" s="166">
        <f>(+D36-E36)/E36</f>
        <v>0.013116486205826063</v>
      </c>
      <c r="G36" s="241">
        <f>D36/C36</f>
        <v>0.10681579359369531</v>
      </c>
      <c r="H36" s="242">
        <f>1-G36</f>
        <v>0.8931842064063047</v>
      </c>
      <c r="I36" s="157"/>
    </row>
    <row r="37" spans="1:9" ht="15.7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Bot="1" thickTop="1">
      <c r="A38" s="174" t="s">
        <v>14</v>
      </c>
      <c r="B38" s="175"/>
      <c r="C38" s="228">
        <f>SUM(C35:C37)</f>
        <v>83526348.05000001</v>
      </c>
      <c r="D38" s="230">
        <f>SUM(D35:D37)</f>
        <v>8578508.69</v>
      </c>
      <c r="E38" s="271">
        <f>SUM(E35:E37)</f>
        <v>9147986.219999999</v>
      </c>
      <c r="F38" s="272">
        <f>(+D38-E38)/E38</f>
        <v>-0.06225168209752719</v>
      </c>
      <c r="G38" s="249">
        <f>D38/C38</f>
        <v>0.10270422316159192</v>
      </c>
      <c r="H38" s="270">
        <f>1-G38</f>
        <v>0.8972957768384081</v>
      </c>
      <c r="I38" s="157"/>
    </row>
    <row r="39" spans="1:9" ht="15.75" thickTop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>
      <c r="A40" s="164" t="s">
        <v>17</v>
      </c>
      <c r="B40" s="165">
        <f>DATE(19,7,1)</f>
        <v>7122</v>
      </c>
      <c r="C40" s="226">
        <v>45458425.4</v>
      </c>
      <c r="D40" s="226">
        <v>4987956.2</v>
      </c>
      <c r="E40" s="226">
        <v>5381167.31</v>
      </c>
      <c r="F40" s="166">
        <f>(+D40-E40)/E40</f>
        <v>-0.07307171239022475</v>
      </c>
      <c r="G40" s="241">
        <f>D40/C40</f>
        <v>0.10972567034844986</v>
      </c>
      <c r="H40" s="242">
        <f>1-G40</f>
        <v>0.8902743296515502</v>
      </c>
      <c r="I40" s="157"/>
    </row>
    <row r="41" spans="1:9" ht="15.75">
      <c r="A41" s="164"/>
      <c r="B41" s="165">
        <f>DATE(19,8,1)</f>
        <v>7153</v>
      </c>
      <c r="C41" s="226">
        <v>47408888.34</v>
      </c>
      <c r="D41" s="226">
        <v>5297182</v>
      </c>
      <c r="E41" s="226">
        <v>5291596.82</v>
      </c>
      <c r="F41" s="166">
        <f>(+D41-E41)/E41</f>
        <v>0.0010554810182986886</v>
      </c>
      <c r="G41" s="241">
        <f>D41/C41</f>
        <v>0.1117339424204689</v>
      </c>
      <c r="H41" s="242">
        <f>1-G41</f>
        <v>0.8882660575795311</v>
      </c>
      <c r="I41" s="157"/>
    </row>
    <row r="42" spans="1:9" ht="15.75" thickBot="1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7.25" thickBot="1" thickTop="1">
      <c r="A43" s="174" t="s">
        <v>14</v>
      </c>
      <c r="B43" s="175"/>
      <c r="C43" s="228">
        <f>SUM(C40:C42)</f>
        <v>92867313.74000001</v>
      </c>
      <c r="D43" s="230">
        <f>SUM(D40:D42)</f>
        <v>10285138.2</v>
      </c>
      <c r="E43" s="271">
        <f>SUM(E40:E42)</f>
        <v>10672764.129999999</v>
      </c>
      <c r="F43" s="272">
        <f>(+D43-E43)/E43</f>
        <v>-0.03631916954956633</v>
      </c>
      <c r="G43" s="249">
        <f>D43/C43</f>
        <v>0.11075089593735027</v>
      </c>
      <c r="H43" s="270">
        <f>1-G43</f>
        <v>0.8892491040626498</v>
      </c>
      <c r="I43" s="157"/>
    </row>
    <row r="44" spans="1:9" ht="15.75" thickTop="1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.75">
      <c r="A45" s="164" t="s">
        <v>67</v>
      </c>
      <c r="B45" s="165">
        <f>DATE(19,7,1)</f>
        <v>7122</v>
      </c>
      <c r="C45" s="226">
        <v>108871593.49</v>
      </c>
      <c r="D45" s="226">
        <v>10859844.9</v>
      </c>
      <c r="E45" s="226">
        <v>11368416.64</v>
      </c>
      <c r="F45" s="166">
        <f>(+D45-E45)/E45</f>
        <v>-0.04473549449362899</v>
      </c>
      <c r="G45" s="241">
        <f>D45/C45</f>
        <v>0.09974911316970383</v>
      </c>
      <c r="H45" s="242">
        <f>1-G45</f>
        <v>0.9002508868302962</v>
      </c>
      <c r="I45" s="157"/>
    </row>
    <row r="46" spans="1:9" ht="15.75">
      <c r="A46" s="164"/>
      <c r="B46" s="165">
        <f>DATE(19,8,1)</f>
        <v>7153</v>
      </c>
      <c r="C46" s="226">
        <v>110085881.99</v>
      </c>
      <c r="D46" s="226">
        <v>10606265.73</v>
      </c>
      <c r="E46" s="226">
        <v>11900739.72</v>
      </c>
      <c r="F46" s="166">
        <f>(+D46-E46)/E46</f>
        <v>-0.10877256544183962</v>
      </c>
      <c r="G46" s="241">
        <f>D46/C46</f>
        <v>0.09634537633956963</v>
      </c>
      <c r="H46" s="242">
        <f>1-G46</f>
        <v>0.9036546236604304</v>
      </c>
      <c r="I46" s="157"/>
    </row>
    <row r="47" spans="1:9" ht="15.75" thickBot="1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Bot="1" thickTop="1">
      <c r="A48" s="174" t="s">
        <v>14</v>
      </c>
      <c r="B48" s="175"/>
      <c r="C48" s="228">
        <f>SUM(C45:C47)</f>
        <v>218957475.48</v>
      </c>
      <c r="D48" s="230">
        <f>SUM(D45:D47)</f>
        <v>21466110.630000003</v>
      </c>
      <c r="E48" s="271">
        <f>SUM(E45:E47)</f>
        <v>23269156.36</v>
      </c>
      <c r="F48" s="176">
        <f>(+D48-E48)/E48</f>
        <v>-0.0774865105595086</v>
      </c>
      <c r="G48" s="249">
        <f>D48/C48</f>
        <v>0.09803780657838632</v>
      </c>
      <c r="H48" s="270">
        <f>1-G48</f>
        <v>0.9019621934216137</v>
      </c>
      <c r="I48" s="157"/>
    </row>
    <row r="49" spans="1:9" ht="15.75" thickTop="1">
      <c r="A49" s="167"/>
      <c r="B49" s="179"/>
      <c r="C49" s="229"/>
      <c r="D49" s="229"/>
      <c r="E49" s="229"/>
      <c r="F49" s="180"/>
      <c r="G49" s="247"/>
      <c r="H49" s="248"/>
      <c r="I49" s="157"/>
    </row>
    <row r="50" spans="1:9" ht="15.75">
      <c r="A50" s="164" t="s">
        <v>18</v>
      </c>
      <c r="B50" s="165">
        <f>DATE(19,7,1)</f>
        <v>7122</v>
      </c>
      <c r="C50" s="226">
        <v>139620069.69</v>
      </c>
      <c r="D50" s="226">
        <v>13562944.53</v>
      </c>
      <c r="E50" s="226">
        <v>14899456.87</v>
      </c>
      <c r="F50" s="166">
        <f>(+D50-E50)/E50</f>
        <v>-0.08970208455658961</v>
      </c>
      <c r="G50" s="241">
        <f>D50/C50</f>
        <v>0.0971417974515695</v>
      </c>
      <c r="H50" s="242">
        <f>1-G50</f>
        <v>0.9028582025484305</v>
      </c>
      <c r="I50" s="157"/>
    </row>
    <row r="51" spans="1:9" ht="15.75">
      <c r="A51" s="164"/>
      <c r="B51" s="165">
        <f>DATE(19,8,1)</f>
        <v>7153</v>
      </c>
      <c r="C51" s="226">
        <v>145301923.24</v>
      </c>
      <c r="D51" s="226">
        <v>13870661.28</v>
      </c>
      <c r="E51" s="226">
        <v>14829432.53</v>
      </c>
      <c r="F51" s="166">
        <f>(+D51-E51)/E51</f>
        <v>-0.06465326627033112</v>
      </c>
      <c r="G51" s="241">
        <f>D51/C51</f>
        <v>0.0954609613603625</v>
      </c>
      <c r="H51" s="242">
        <f>1-G51</f>
        <v>0.9045390386396375</v>
      </c>
      <c r="I51" s="157"/>
    </row>
    <row r="52" spans="1:9" ht="15.75" customHeight="1" thickBot="1">
      <c r="A52" s="164"/>
      <c r="B52" s="165"/>
      <c r="C52" s="226"/>
      <c r="D52" s="226"/>
      <c r="E52" s="226"/>
      <c r="F52" s="166"/>
      <c r="G52" s="241"/>
      <c r="H52" s="242"/>
      <c r="I52" s="157"/>
    </row>
    <row r="53" spans="1:9" ht="17.25" thickBot="1" thickTop="1">
      <c r="A53" s="174" t="s">
        <v>14</v>
      </c>
      <c r="B53" s="181"/>
      <c r="C53" s="228">
        <f>SUM(C50:C52)</f>
        <v>284921992.93</v>
      </c>
      <c r="D53" s="228">
        <f>SUM(D50:D52)</f>
        <v>27433605.81</v>
      </c>
      <c r="E53" s="228">
        <f>SUM(E50:E52)</f>
        <v>29728889.4</v>
      </c>
      <c r="F53" s="176">
        <f>(+D53-E53)/E53</f>
        <v>-0.07720717579177377</v>
      </c>
      <c r="G53" s="245">
        <f>D53/C53</f>
        <v>0.09628461996873622</v>
      </c>
      <c r="H53" s="246">
        <f>1-G53</f>
        <v>0.9037153800312638</v>
      </c>
      <c r="I53" s="157"/>
    </row>
    <row r="54" spans="1:9" ht="15.75" thickTop="1">
      <c r="A54" s="171"/>
      <c r="B54" s="172"/>
      <c r="C54" s="227"/>
      <c r="D54" s="227"/>
      <c r="E54" s="227"/>
      <c r="F54" s="173"/>
      <c r="G54" s="243"/>
      <c r="H54" s="244"/>
      <c r="I54" s="157"/>
    </row>
    <row r="55" spans="1:9" ht="15.75">
      <c r="A55" s="164" t="s">
        <v>58</v>
      </c>
      <c r="B55" s="165">
        <f>DATE(19,7,1)</f>
        <v>7122</v>
      </c>
      <c r="C55" s="226">
        <v>172895652.1</v>
      </c>
      <c r="D55" s="226">
        <v>16249508.9</v>
      </c>
      <c r="E55" s="226">
        <v>16699225.8</v>
      </c>
      <c r="F55" s="166">
        <f>(+D55-E55)/E55</f>
        <v>-0.026930404162808574</v>
      </c>
      <c r="G55" s="241">
        <f>D55/C55</f>
        <v>0.09398448545485431</v>
      </c>
      <c r="H55" s="242">
        <f>1-G55</f>
        <v>0.9060155145451457</v>
      </c>
      <c r="I55" s="157"/>
    </row>
    <row r="56" spans="1:9" ht="15.75">
      <c r="A56" s="164"/>
      <c r="B56" s="165">
        <f>DATE(19,8,1)</f>
        <v>7153</v>
      </c>
      <c r="C56" s="226">
        <v>180380059.75</v>
      </c>
      <c r="D56" s="226">
        <v>16871517.8</v>
      </c>
      <c r="E56" s="226">
        <v>16622760.62</v>
      </c>
      <c r="F56" s="166">
        <f>(+D56-E56)/E56</f>
        <v>0.014964853653773038</v>
      </c>
      <c r="G56" s="241">
        <f>D56/C56</f>
        <v>0.09353316449380986</v>
      </c>
      <c r="H56" s="242">
        <f>1-G56</f>
        <v>0.9064668355061901</v>
      </c>
      <c r="I56" s="157"/>
    </row>
    <row r="57" spans="1:9" ht="15.75" thickBot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7.25" thickBot="1" thickTop="1">
      <c r="A58" s="174" t="s">
        <v>14</v>
      </c>
      <c r="B58" s="175"/>
      <c r="C58" s="228">
        <f>SUM(C55:C57)</f>
        <v>353275711.85</v>
      </c>
      <c r="D58" s="228">
        <f>SUM(D55:D57)</f>
        <v>33121026.700000003</v>
      </c>
      <c r="E58" s="228">
        <f>SUM(E55:E57)</f>
        <v>33321986.42</v>
      </c>
      <c r="F58" s="176">
        <f>(+D58-E58)/E58</f>
        <v>-0.006030844544111029</v>
      </c>
      <c r="G58" s="249">
        <f>D58/C58</f>
        <v>0.09375404418989072</v>
      </c>
      <c r="H58" s="270">
        <f>1-G58</f>
        <v>0.9062459558101092</v>
      </c>
      <c r="I58" s="157"/>
    </row>
    <row r="59" spans="1:9" ht="15.75" thickTop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.75">
      <c r="A60" s="164" t="s">
        <v>59</v>
      </c>
      <c r="B60" s="165">
        <f>DATE(19,7,1)</f>
        <v>7122</v>
      </c>
      <c r="C60" s="226">
        <v>23534671.4</v>
      </c>
      <c r="D60" s="226">
        <v>2612988.94</v>
      </c>
      <c r="E60" s="226">
        <v>2665233.29</v>
      </c>
      <c r="F60" s="166">
        <f>(+D60-E60)/E60</f>
        <v>-0.01960216773369212</v>
      </c>
      <c r="G60" s="241">
        <f>D60/C60</f>
        <v>0.11102721153778251</v>
      </c>
      <c r="H60" s="242">
        <f>1-G60</f>
        <v>0.8889727884622175</v>
      </c>
      <c r="I60" s="157"/>
    </row>
    <row r="61" spans="1:9" ht="15.75">
      <c r="A61" s="164"/>
      <c r="B61" s="165">
        <f>DATE(19,8,1)</f>
        <v>7153</v>
      </c>
      <c r="C61" s="226">
        <v>25945368.86</v>
      </c>
      <c r="D61" s="226">
        <v>2826240.12</v>
      </c>
      <c r="E61" s="226">
        <v>2551392.61</v>
      </c>
      <c r="F61" s="166">
        <f>(+D61-E61)/E61</f>
        <v>0.10772450657838985</v>
      </c>
      <c r="G61" s="241">
        <f>D61/C61</f>
        <v>0.10893042743968143</v>
      </c>
      <c r="H61" s="242">
        <f>1-G61</f>
        <v>0.8910695725603186</v>
      </c>
      <c r="I61" s="157"/>
    </row>
    <row r="62" spans="1:9" ht="15.75" thickBot="1">
      <c r="A62" s="167"/>
      <c r="B62" s="168"/>
      <c r="C62" s="226"/>
      <c r="D62" s="226"/>
      <c r="E62" s="226"/>
      <c r="F62" s="166"/>
      <c r="G62" s="241"/>
      <c r="H62" s="242"/>
      <c r="I62" s="157"/>
    </row>
    <row r="63" spans="1:9" ht="17.25" thickBot="1" thickTop="1">
      <c r="A63" s="182" t="s">
        <v>14</v>
      </c>
      <c r="B63" s="183"/>
      <c r="C63" s="230">
        <f>SUM(C60:C62)</f>
        <v>49480040.26</v>
      </c>
      <c r="D63" s="230">
        <f>SUM(D60:D62)</f>
        <v>5439229.0600000005</v>
      </c>
      <c r="E63" s="230">
        <f>SUM(E60:E62)</f>
        <v>5216625.9</v>
      </c>
      <c r="F63" s="176">
        <f>(+D63-E63)/E63</f>
        <v>0.042671865736049835</v>
      </c>
      <c r="G63" s="249">
        <f>D63/C63</f>
        <v>0.10992774119460672</v>
      </c>
      <c r="H63" s="246">
        <f>1-G63</f>
        <v>0.8900722588053933</v>
      </c>
      <c r="I63" s="157"/>
    </row>
    <row r="64" spans="1:9" ht="15.75" thickTop="1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.75">
      <c r="A65" s="164" t="s">
        <v>40</v>
      </c>
      <c r="B65" s="165">
        <f>DATE(19,7,1)</f>
        <v>7122</v>
      </c>
      <c r="C65" s="226">
        <v>209413515.11</v>
      </c>
      <c r="D65" s="226">
        <v>19119192.24</v>
      </c>
      <c r="E65" s="226">
        <v>19406302.42</v>
      </c>
      <c r="F65" s="166">
        <f>(+D65-E65)/E65</f>
        <v>-0.014794687508533808</v>
      </c>
      <c r="G65" s="241">
        <f>D65/C65</f>
        <v>0.09129875036936912</v>
      </c>
      <c r="H65" s="242">
        <f>1-G65</f>
        <v>0.9087012496306309</v>
      </c>
      <c r="I65" s="157"/>
    </row>
    <row r="66" spans="1:9" ht="15.75">
      <c r="A66" s="164"/>
      <c r="B66" s="165">
        <f>DATE(19,8,1)</f>
        <v>7153</v>
      </c>
      <c r="C66" s="226">
        <v>212666539.37</v>
      </c>
      <c r="D66" s="226">
        <v>19394509.94</v>
      </c>
      <c r="E66" s="226">
        <v>19632454.71</v>
      </c>
      <c r="F66" s="166">
        <f>(+D66-E66)/E66</f>
        <v>-0.01211997040180614</v>
      </c>
      <c r="G66" s="241">
        <f>D66/C66</f>
        <v>0.09119680979177068</v>
      </c>
      <c r="H66" s="242">
        <f>1-G66</f>
        <v>0.9088031902082293</v>
      </c>
      <c r="I66" s="157"/>
    </row>
    <row r="67" spans="1:9" ht="15.75" thickBot="1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Bot="1" thickTop="1">
      <c r="A68" s="174" t="s">
        <v>14</v>
      </c>
      <c r="B68" s="175"/>
      <c r="C68" s="228">
        <f>SUM(C65:C67)</f>
        <v>422080054.48</v>
      </c>
      <c r="D68" s="228">
        <f>SUM(D65:D67)</f>
        <v>38513702.18</v>
      </c>
      <c r="E68" s="228">
        <f>SUM(E65:E67)</f>
        <v>39038757.13</v>
      </c>
      <c r="F68" s="176">
        <f>(+D68-E68)/E68</f>
        <v>-0.013449581610694145</v>
      </c>
      <c r="G68" s="245">
        <f>D68/C68</f>
        <v>0.09124738724612003</v>
      </c>
      <c r="H68" s="246">
        <f>1-G68</f>
        <v>0.90875261275388</v>
      </c>
      <c r="I68" s="157"/>
    </row>
    <row r="69" spans="1:9" ht="15.7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>
      <c r="A70" s="164" t="s">
        <v>64</v>
      </c>
      <c r="B70" s="165">
        <f>DATE(19,7,1)</f>
        <v>7122</v>
      </c>
      <c r="C70" s="226">
        <v>30055377.4</v>
      </c>
      <c r="D70" s="226">
        <v>3293709.88</v>
      </c>
      <c r="E70" s="226">
        <v>3425449</v>
      </c>
      <c r="F70" s="166">
        <f>(+D70-E70)/E70</f>
        <v>-0.038458934872479526</v>
      </c>
      <c r="G70" s="241">
        <f>D70/C70</f>
        <v>0.10958803931039642</v>
      </c>
      <c r="H70" s="242">
        <f>1-G70</f>
        <v>0.8904119606896036</v>
      </c>
      <c r="I70" s="157"/>
    </row>
    <row r="71" spans="1:9" ht="15.75">
      <c r="A71" s="164"/>
      <c r="B71" s="165">
        <f>DATE(19,8,1)</f>
        <v>7153</v>
      </c>
      <c r="C71" s="226">
        <v>32273780.59</v>
      </c>
      <c r="D71" s="226">
        <v>3283356.99</v>
      </c>
      <c r="E71" s="226">
        <v>3421840.59</v>
      </c>
      <c r="F71" s="166">
        <f>(+D71-E71)/E71</f>
        <v>-0.04047050011759888</v>
      </c>
      <c r="G71" s="241">
        <f>D71/C71</f>
        <v>0.1017345018146819</v>
      </c>
      <c r="H71" s="242">
        <f>1-G71</f>
        <v>0.8982654981853181</v>
      </c>
      <c r="I71" s="157"/>
    </row>
    <row r="72" spans="1:9" ht="15.75" thickBot="1">
      <c r="A72" s="167"/>
      <c r="B72" s="168"/>
      <c r="C72" s="226"/>
      <c r="D72" s="226"/>
      <c r="E72" s="226"/>
      <c r="F72" s="166"/>
      <c r="G72" s="241"/>
      <c r="H72" s="242"/>
      <c r="I72" s="157"/>
    </row>
    <row r="73" spans="1:9" ht="17.25" thickBot="1" thickTop="1">
      <c r="A73" s="169" t="s">
        <v>14</v>
      </c>
      <c r="B73" s="155"/>
      <c r="C73" s="223">
        <f>SUM(C70:C72)</f>
        <v>62329157.989999995</v>
      </c>
      <c r="D73" s="223">
        <f>SUM(D70:D72)</f>
        <v>6577066.87</v>
      </c>
      <c r="E73" s="223">
        <f>SUM(E70:E72)</f>
        <v>6847289.59</v>
      </c>
      <c r="F73" s="176">
        <f>(+D73-E73)/E73</f>
        <v>-0.03946418746399183</v>
      </c>
      <c r="G73" s="245">
        <f>D73/C73</f>
        <v>0.10552151002994803</v>
      </c>
      <c r="H73" s="246">
        <f>1-G73</f>
        <v>0.894478489970052</v>
      </c>
      <c r="I73" s="157"/>
    </row>
    <row r="74" spans="1:9" ht="16.5" thickBot="1" thickTop="1">
      <c r="A74" s="171"/>
      <c r="B74" s="172"/>
      <c r="C74" s="227"/>
      <c r="D74" s="227"/>
      <c r="E74" s="227"/>
      <c r="F74" s="173"/>
      <c r="G74" s="243"/>
      <c r="H74" s="244"/>
      <c r="I74" s="157"/>
    </row>
    <row r="75" spans="1:9" ht="17.25" thickBot="1" thickTop="1">
      <c r="A75" s="184" t="s">
        <v>41</v>
      </c>
      <c r="B75" s="155"/>
      <c r="C75" s="223">
        <f>C73+C68+C53+C43+C33+C23+C13+C28+C63+C18+C48+C58+C38</f>
        <v>2607799805.23</v>
      </c>
      <c r="D75" s="223">
        <f>D73+D68+D53+D43+D33+D23+D13+D28+D63+D18+D48+D58+D38</f>
        <v>253220594.39</v>
      </c>
      <c r="E75" s="223">
        <f>E73+E68+E53+E43+E33+E23+E13+E28+E63+E18+E48+E58+E38</f>
        <v>257350620.25000003</v>
      </c>
      <c r="F75" s="170">
        <f>(+D75-E75)/E75</f>
        <v>-0.016048245214983287</v>
      </c>
      <c r="G75" s="236">
        <f>D75/C75</f>
        <v>0.09710123985827458</v>
      </c>
      <c r="H75" s="237">
        <f>1-G75</f>
        <v>0.9028987601417254</v>
      </c>
      <c r="I75" s="157"/>
    </row>
    <row r="76" spans="1:9" ht="17.25" thickBot="1" thickTop="1">
      <c r="A76" s="184"/>
      <c r="B76" s="155"/>
      <c r="C76" s="223"/>
      <c r="D76" s="223"/>
      <c r="E76" s="223"/>
      <c r="F76" s="170"/>
      <c r="G76" s="236"/>
      <c r="H76" s="237"/>
      <c r="I76" s="157"/>
    </row>
    <row r="77" spans="1:9" ht="17.25" thickBot="1" thickTop="1">
      <c r="A77" s="184" t="s">
        <v>42</v>
      </c>
      <c r="B77" s="155"/>
      <c r="C77" s="223">
        <f>SUM(C11+C16+C21+C26+C31+C36+C41+C46+C51+C56+C61+C66+C71)</f>
        <v>1327793808.86</v>
      </c>
      <c r="D77" s="223">
        <f>SUM(D11+D16+D21+D26+D31+D36+D41+D46+D51+D56+D61+D66+D71)</f>
        <v>128331278.24999999</v>
      </c>
      <c r="E77" s="223">
        <f>SUM(E11+E16+E21+E26+E31+E36+E41+E46+E51+E56+E61+E66+E71)</f>
        <v>128778231.26000002</v>
      </c>
      <c r="F77" s="170">
        <f>(+D77-E77)/E77</f>
        <v>-0.0034707186581686175</v>
      </c>
      <c r="G77" s="236">
        <f>D77/C77</f>
        <v>0.09665000498848612</v>
      </c>
      <c r="H77" s="246">
        <f>1-G77</f>
        <v>0.9033499950115139</v>
      </c>
      <c r="I77" s="157"/>
    </row>
    <row r="78" spans="1:9" ht="16.5" thickTop="1">
      <c r="A78" s="185"/>
      <c r="B78" s="186"/>
      <c r="C78" s="231"/>
      <c r="D78" s="231"/>
      <c r="E78" s="231"/>
      <c r="F78" s="187"/>
      <c r="G78" s="250"/>
      <c r="H78" s="250"/>
      <c r="I78" s="151"/>
    </row>
    <row r="79" spans="1:9" ht="16.5" customHeight="1">
      <c r="A79" s="188" t="s">
        <v>52</v>
      </c>
      <c r="B79" s="189"/>
      <c r="C79" s="232"/>
      <c r="D79" s="232"/>
      <c r="E79" s="232"/>
      <c r="F79" s="190"/>
      <c r="G79" s="251"/>
      <c r="H79" s="251"/>
      <c r="I79" s="151"/>
    </row>
    <row r="80" spans="1:9" ht="15.75">
      <c r="A80" s="191"/>
      <c r="B80" s="189"/>
      <c r="C80" s="232"/>
      <c r="D80" s="232"/>
      <c r="E80" s="232"/>
      <c r="F80" s="190"/>
      <c r="G80" s="257"/>
      <c r="H80" s="257"/>
      <c r="I80" s="151"/>
    </row>
    <row r="81" spans="1:9" ht="15.75">
      <c r="A81" s="72"/>
      <c r="I81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2019-09-09T15:16:16Z</cp:lastPrinted>
  <dcterms:created xsi:type="dcterms:W3CDTF">2003-09-09T14:41:43Z</dcterms:created>
  <dcterms:modified xsi:type="dcterms:W3CDTF">2019-09-09T19:57:27Z</dcterms:modified>
  <cp:category/>
  <cp:version/>
  <cp:contentType/>
  <cp:contentStatus/>
</cp:coreProperties>
</file>